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tracker\"/>
    </mc:Choice>
  </mc:AlternateContent>
  <bookViews>
    <workbookView xWindow="1140" yWindow="0" windowWidth="6360" windowHeight="3390"/>
  </bookViews>
  <sheets>
    <sheet name="States" sheetId="6" r:id="rId1"/>
    <sheet name="Entities &gt;&gt;" sheetId="18" r:id="rId2"/>
    <sheet name="Entities" sheetId="7" r:id="rId3"/>
    <sheet name="Cards" sheetId="12" r:id="rId4"/>
    <sheet name="Views" sheetId="11" r:id="rId5"/>
    <sheet name="cust-code" sheetId="8" r:id="rId6"/>
    <sheet name="group-code" sheetId="15" r:id="rId7"/>
    <sheet name="Automations &gt;&gt;" sheetId="19" r:id="rId8"/>
    <sheet name="Auto Categories" sheetId="4" r:id="rId9"/>
    <sheet name="Automations" sheetId="1" r:id="rId10"/>
    <sheet name="ref&gt;&gt;" sheetId="17" r:id="rId11"/>
    <sheet name="Lookup" sheetId="16" r:id="rId12"/>
    <sheet name="card-code" sheetId="9" r:id="rId13"/>
    <sheet name="view-code" sheetId="14" r:id="rId14"/>
    <sheet name="yaml processing example" sheetId="13" r:id="rId15"/>
  </sheets>
  <definedNames>
    <definedName name="_xlnm._FilterDatabase" localSheetId="8" hidden="1">'Auto Categories'!$B$2:$D$12</definedName>
    <definedName name="_xlnm._FilterDatabase" localSheetId="14" hidden="1">'yaml processing example'!$B$6:$O$252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6" l="1"/>
  <c r="I87" i="6" l="1"/>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E87" i="6"/>
  <c r="F87" i="6" s="1"/>
  <c r="G87" i="6" s="1"/>
  <c r="E88" i="6"/>
  <c r="F88" i="6" s="1"/>
  <c r="G88" i="6" s="1"/>
  <c r="E89" i="6"/>
  <c r="F89" i="6" s="1"/>
  <c r="G89" i="6" s="1"/>
  <c r="E90" i="6"/>
  <c r="F90" i="6" s="1"/>
  <c r="G90" i="6" s="1"/>
  <c r="E91" i="6"/>
  <c r="F91" i="6" s="1"/>
  <c r="E92" i="6"/>
  <c r="F92" i="6" s="1"/>
  <c r="G92" i="6" s="1"/>
  <c r="E93" i="6"/>
  <c r="F93" i="6" s="1"/>
  <c r="G93" i="6" s="1"/>
  <c r="E94" i="6"/>
  <c r="F94" i="6" s="1"/>
  <c r="G94" i="6" s="1"/>
  <c r="E95" i="6"/>
  <c r="F95" i="6" s="1"/>
  <c r="G95" i="6" s="1"/>
  <c r="E96" i="6"/>
  <c r="F96" i="6" s="1"/>
  <c r="G96" i="6" s="1"/>
  <c r="E97" i="6"/>
  <c r="F97" i="6" s="1"/>
  <c r="E98" i="6"/>
  <c r="F98" i="6" s="1"/>
  <c r="G98" i="6" s="1"/>
  <c r="E99" i="6"/>
  <c r="F99" i="6" s="1"/>
  <c r="G99" i="6" s="1"/>
  <c r="E100" i="6"/>
  <c r="F100" i="6" s="1"/>
  <c r="G100" i="6" s="1"/>
  <c r="E101" i="6"/>
  <c r="F101" i="6" s="1"/>
  <c r="G101" i="6" s="1"/>
  <c r="E102" i="6"/>
  <c r="F102" i="6" s="1"/>
  <c r="G102" i="6" s="1"/>
  <c r="E103" i="6"/>
  <c r="F103" i="6" s="1"/>
  <c r="G103" i="6" s="1"/>
  <c r="E104" i="6"/>
  <c r="F104" i="6" s="1"/>
  <c r="G104" i="6" s="1"/>
  <c r="E105" i="6"/>
  <c r="F105" i="6" s="1"/>
  <c r="G105" i="6" s="1"/>
  <c r="E106" i="6"/>
  <c r="F106" i="6" s="1"/>
  <c r="G106" i="6" s="1"/>
  <c r="E107" i="6"/>
  <c r="E108" i="6"/>
  <c r="F108" i="6" s="1"/>
  <c r="G108" i="6" s="1"/>
  <c r="E109" i="6"/>
  <c r="F109" i="6" s="1"/>
  <c r="G109" i="6" s="1"/>
  <c r="E110" i="6"/>
  <c r="F110" i="6" s="1"/>
  <c r="G110" i="6" s="1"/>
  <c r="E111" i="6"/>
  <c r="F111" i="6" s="1"/>
  <c r="G111" i="6" s="1"/>
  <c r="E112" i="6"/>
  <c r="F112" i="6" s="1"/>
  <c r="G112" i="6" s="1"/>
  <c r="E113" i="6"/>
  <c r="F113" i="6" s="1"/>
  <c r="E114" i="6"/>
  <c r="F114" i="6" s="1"/>
  <c r="G114" i="6" s="1"/>
  <c r="E115" i="6"/>
  <c r="F115" i="6" s="1"/>
  <c r="G115" i="6" s="1"/>
  <c r="E116" i="6"/>
  <c r="F116" i="6" s="1"/>
  <c r="G116" i="6" s="1"/>
  <c r="E117" i="6"/>
  <c r="F117" i="6" s="1"/>
  <c r="G117" i="6" s="1"/>
  <c r="E118" i="6"/>
  <c r="F118" i="6" s="1"/>
  <c r="G118" i="6" s="1"/>
  <c r="E119" i="6"/>
  <c r="E120" i="6"/>
  <c r="F120" i="6" s="1"/>
  <c r="G120" i="6" s="1"/>
  <c r="E121" i="6"/>
  <c r="F121" i="6" s="1"/>
  <c r="G121" i="6" s="1"/>
  <c r="E122" i="6"/>
  <c r="F122" i="6" s="1"/>
  <c r="G122" i="6" s="1"/>
  <c r="E123" i="6"/>
  <c r="E124" i="6"/>
  <c r="F124" i="6" s="1"/>
  <c r="G124" i="6" s="1"/>
  <c r="E125" i="6"/>
  <c r="F125" i="6" s="1"/>
  <c r="G125" i="6" s="1"/>
  <c r="E126" i="6"/>
  <c r="F126" i="6" s="1"/>
  <c r="G126" i="6" s="1"/>
  <c r="E127" i="6"/>
  <c r="F127" i="6" s="1"/>
  <c r="G127" i="6" s="1"/>
  <c r="E128" i="6"/>
  <c r="F128" i="6" s="1"/>
  <c r="G128" i="6" s="1"/>
  <c r="E129" i="6"/>
  <c r="F129" i="6" s="1"/>
  <c r="G129" i="6" s="1"/>
  <c r="E130" i="6"/>
  <c r="F130" i="6" s="1"/>
  <c r="G130" i="6" s="1"/>
  <c r="E131" i="6"/>
  <c r="F131" i="6" s="1"/>
  <c r="G131" i="6" s="1"/>
  <c r="E132" i="6"/>
  <c r="F132" i="6" s="1"/>
  <c r="G132" i="6" s="1"/>
  <c r="E133" i="6"/>
  <c r="F133" i="6" s="1"/>
  <c r="G133" i="6" s="1"/>
  <c r="E134" i="6"/>
  <c r="F134" i="6" s="1"/>
  <c r="G134" i="6" s="1"/>
  <c r="E135" i="6"/>
  <c r="F135" i="6" s="1"/>
  <c r="G135" i="6" s="1"/>
  <c r="E136" i="6"/>
  <c r="F136" i="6" s="1"/>
  <c r="G136" i="6" s="1"/>
  <c r="E137" i="6"/>
  <c r="F137" i="6" s="1"/>
  <c r="G137" i="6" s="1"/>
  <c r="E138" i="6"/>
  <c r="F138" i="6" s="1"/>
  <c r="G138" i="6" s="1"/>
  <c r="E139" i="6"/>
  <c r="E140" i="6"/>
  <c r="F140" i="6" s="1"/>
  <c r="G140" i="6" s="1"/>
  <c r="E141" i="6"/>
  <c r="F141" i="6" s="1"/>
  <c r="G141" i="6" s="1"/>
  <c r="E142" i="6"/>
  <c r="F142" i="6" s="1"/>
  <c r="G142" i="6" s="1"/>
  <c r="E143" i="6"/>
  <c r="F143" i="6" s="1"/>
  <c r="G143" i="6" s="1"/>
  <c r="E144" i="6"/>
  <c r="F144" i="6" s="1"/>
  <c r="G144" i="6" s="1"/>
  <c r="E145" i="6"/>
  <c r="E146" i="6"/>
  <c r="F146" i="6" s="1"/>
  <c r="G146" i="6" s="1"/>
  <c r="E147" i="6"/>
  <c r="E148" i="6"/>
  <c r="F148" i="6" s="1"/>
  <c r="G148" i="6" s="1"/>
  <c r="E149" i="6"/>
  <c r="F149" i="6" s="1"/>
  <c r="G149" i="6" s="1"/>
  <c r="E150" i="6"/>
  <c r="F150" i="6" s="1"/>
  <c r="G150" i="6" s="1"/>
  <c r="E151" i="6"/>
  <c r="F151" i="6" s="1"/>
  <c r="G151" i="6" s="1"/>
  <c r="E152" i="6"/>
  <c r="F152" i="6" s="1"/>
  <c r="G152" i="6" s="1"/>
  <c r="E153" i="6"/>
  <c r="F153" i="6" s="1"/>
  <c r="G153" i="6" s="1"/>
  <c r="E154" i="6"/>
  <c r="F154" i="6" s="1"/>
  <c r="G154" i="6" s="1"/>
  <c r="E155" i="6"/>
  <c r="F155" i="6" s="1"/>
  <c r="G155" i="6" s="1"/>
  <c r="E156" i="6"/>
  <c r="F156" i="6" s="1"/>
  <c r="G156" i="6" s="1"/>
  <c r="E157" i="6"/>
  <c r="F157" i="6" s="1"/>
  <c r="G157" i="6" s="1"/>
  <c r="E158" i="6"/>
  <c r="F158" i="6" s="1"/>
  <c r="G158" i="6" s="1"/>
  <c r="E159" i="6"/>
  <c r="F159" i="6" s="1"/>
  <c r="G159" i="6" s="1"/>
  <c r="E160" i="6"/>
  <c r="F160" i="6" s="1"/>
  <c r="G160" i="6" s="1"/>
  <c r="E161" i="6"/>
  <c r="F161" i="6" s="1"/>
  <c r="G161" i="6" s="1"/>
  <c r="E162" i="6"/>
  <c r="F162" i="6" s="1"/>
  <c r="G162" i="6" s="1"/>
  <c r="E163" i="6"/>
  <c r="E164" i="6"/>
  <c r="F164" i="6" s="1"/>
  <c r="G164" i="6" s="1"/>
  <c r="E165" i="6"/>
  <c r="F165" i="6" s="1"/>
  <c r="G165" i="6" s="1"/>
  <c r="E166" i="6"/>
  <c r="F166" i="6" s="1"/>
  <c r="G166" i="6" s="1"/>
  <c r="E167" i="6"/>
  <c r="E168" i="6"/>
  <c r="F168" i="6" s="1"/>
  <c r="G168" i="6" s="1"/>
  <c r="E169" i="6"/>
  <c r="E170" i="6"/>
  <c r="F170" i="6" s="1"/>
  <c r="G170" i="6" s="1"/>
  <c r="E171" i="6"/>
  <c r="F171" i="6" s="1"/>
  <c r="G171" i="6" s="1"/>
  <c r="E172" i="6"/>
  <c r="F172" i="6" s="1"/>
  <c r="G172" i="6" s="1"/>
  <c r="F107" i="6"/>
  <c r="G107" i="6" s="1"/>
  <c r="F119" i="6"/>
  <c r="G119" i="6" s="1"/>
  <c r="F123" i="6"/>
  <c r="G123" i="6" s="1"/>
  <c r="F139" i="6"/>
  <c r="G139" i="6" s="1"/>
  <c r="F145" i="6"/>
  <c r="G145" i="6" s="1"/>
  <c r="F147" i="6"/>
  <c r="G147" i="6" s="1"/>
  <c r="F163" i="6"/>
  <c r="G163" i="6" s="1"/>
  <c r="F167" i="6"/>
  <c r="G167" i="6" s="1"/>
  <c r="I11" i="7"/>
  <c r="I14" i="7"/>
  <c r="AB14" i="7" s="1"/>
  <c r="I21" i="7"/>
  <c r="J11" i="7"/>
  <c r="L11" i="7" s="1" a="1"/>
  <c r="L11" i="7" s="1"/>
  <c r="P11" i="7" s="1"/>
  <c r="J14" i="7"/>
  <c r="L14" i="7" s="1" a="1"/>
  <c r="L14" i="7" s="1"/>
  <c r="P14" i="7" s="1"/>
  <c r="J21" i="7"/>
  <c r="K21" i="7" s="1"/>
  <c r="E11" i="1"/>
  <c r="F11" i="1"/>
  <c r="E22" i="1"/>
  <c r="F22" i="1"/>
  <c r="AE8" i="11"/>
  <c r="G91" i="6" l="1"/>
  <c r="T11" i="7" a="1"/>
  <c r="T11" i="7" s="1"/>
  <c r="V11" i="7" s="1"/>
  <c r="W11" i="7" s="1" a="1"/>
  <c r="W11" i="7" s="1"/>
  <c r="AB11" i="7"/>
  <c r="X11" i="7" a="1"/>
  <c r="X11" i="7" s="1"/>
  <c r="X21" i="7" a="1"/>
  <c r="X21" i="7" s="1"/>
  <c r="AB21" i="7"/>
  <c r="X14" i="7" a="1"/>
  <c r="X14" i="7" s="1"/>
  <c r="G113" i="6"/>
  <c r="G97" i="6"/>
  <c r="F169" i="6"/>
  <c r="G169" i="6" s="1"/>
  <c r="T14" i="7" a="1"/>
  <c r="T14" i="7" s="1"/>
  <c r="N21" i="7" a="1"/>
  <c r="N21" i="7" s="1"/>
  <c r="R21" i="7" s="1"/>
  <c r="M14" i="7" a="1"/>
  <c r="M14" i="7" s="1"/>
  <c r="Q14" i="7" s="1"/>
  <c r="M11" i="7" a="1"/>
  <c r="M11" i="7" s="1"/>
  <c r="Q11" i="7" s="1"/>
  <c r="O11" i="7" a="1"/>
  <c r="O11" i="7" s="1"/>
  <c r="S11" i="7" s="1"/>
  <c r="K14" i="7"/>
  <c r="N14" i="7" a="1"/>
  <c r="N14" i="7" s="1"/>
  <c r="R14" i="7" s="1"/>
  <c r="O21" i="7" a="1"/>
  <c r="O21" i="7" s="1"/>
  <c r="S21" i="7" s="1"/>
  <c r="L21" i="7" a="1"/>
  <c r="L21" i="7" s="1"/>
  <c r="P21" i="7" s="1"/>
  <c r="T21" i="7" a="1"/>
  <c r="T21" i="7" s="1"/>
  <c r="O14" i="7" a="1"/>
  <c r="O14" i="7" s="1"/>
  <c r="S14" i="7" s="1"/>
  <c r="M21" i="7" a="1"/>
  <c r="M21" i="7" s="1"/>
  <c r="Q21" i="7" s="1"/>
  <c r="K11" i="7"/>
  <c r="N11" i="7" a="1"/>
  <c r="N11" i="7" s="1"/>
  <c r="R11" i="7" s="1"/>
  <c r="AE9" i="11"/>
  <c r="AE10" i="11"/>
  <c r="AE11" i="11"/>
  <c r="AE12" i="11"/>
  <c r="AE9" i="12"/>
  <c r="AE10" i="12"/>
  <c r="AE11" i="12"/>
  <c r="AE12" i="12"/>
  <c r="AE13" i="12"/>
  <c r="AE15" i="12"/>
  <c r="AE14" i="12"/>
  <c r="AE18" i="12"/>
  <c r="AE19" i="12"/>
  <c r="AE20" i="12"/>
  <c r="AE21" i="12"/>
  <c r="AE22" i="12"/>
  <c r="AE23" i="12"/>
  <c r="AE24" i="12"/>
  <c r="AE16" i="12"/>
  <c r="AE25" i="12"/>
  <c r="AE17" i="12"/>
  <c r="AE26" i="12"/>
  <c r="AE27" i="12"/>
  <c r="AE28" i="12"/>
  <c r="AE29" i="12"/>
  <c r="AE30" i="12"/>
  <c r="AE31" i="12"/>
  <c r="AE8" i="12"/>
  <c r="Y11" i="7" l="1"/>
  <c r="Z11" i="7" s="1"/>
  <c r="U11" i="7"/>
  <c r="V14" i="7"/>
  <c r="W14" i="7" s="1" a="1"/>
  <c r="W14" i="7" s="1"/>
  <c r="Y14" i="7" s="1"/>
  <c r="U14" i="7"/>
  <c r="AA11" i="7"/>
  <c r="V21" i="7"/>
  <c r="W21" i="7" s="1" a="1"/>
  <c r="W21" i="7" s="1"/>
  <c r="Y21" i="7" s="1"/>
  <c r="U21" i="7"/>
  <c r="I123" i="7"/>
  <c r="AB123" i="7" s="1"/>
  <c r="J123" i="7"/>
  <c r="I33" i="7"/>
  <c r="J33" i="7"/>
  <c r="E33" i="1"/>
  <c r="F33" i="1"/>
  <c r="I110" i="7"/>
  <c r="J110" i="7"/>
  <c r="M110" i="7" s="1" a="1"/>
  <c r="M110" i="7" s="1"/>
  <c r="Q110" i="7" s="1"/>
  <c r="I169" i="7"/>
  <c r="J169" i="7"/>
  <c r="K169" i="7" s="1"/>
  <c r="AK9" i="11"/>
  <c r="AL9" i="11"/>
  <c r="AM9" i="11"/>
  <c r="AN9" i="11"/>
  <c r="AO9" i="11"/>
  <c r="AP9" i="11"/>
  <c r="AQ9" i="11"/>
  <c r="AR9" i="11"/>
  <c r="AS9" i="11"/>
  <c r="AT9" i="11"/>
  <c r="AU9" i="11"/>
  <c r="AV9" i="11"/>
  <c r="AW9" i="11"/>
  <c r="AX9" i="11"/>
  <c r="AY9" i="11"/>
  <c r="AZ9" i="11"/>
  <c r="BA9" i="11"/>
  <c r="BB9" i="11"/>
  <c r="BC9" i="11"/>
  <c r="BD9" i="11"/>
  <c r="BE9" i="11"/>
  <c r="BF9" i="11"/>
  <c r="AJ11" i="11"/>
  <c r="AK11" i="11"/>
  <c r="AL11" i="11"/>
  <c r="AM11" i="11"/>
  <c r="AN11" i="11"/>
  <c r="AO11" i="11"/>
  <c r="AP11" i="11"/>
  <c r="AQ11" i="11"/>
  <c r="AR11" i="11"/>
  <c r="AS11" i="11"/>
  <c r="AT11" i="11"/>
  <c r="AU11" i="11"/>
  <c r="AV11" i="11"/>
  <c r="AW11" i="11"/>
  <c r="AX11" i="11"/>
  <c r="AY11" i="11"/>
  <c r="AZ11" i="11"/>
  <c r="BA11" i="11"/>
  <c r="BB11" i="11"/>
  <c r="BC11" i="11"/>
  <c r="BD11" i="11"/>
  <c r="BE11" i="11"/>
  <c r="BF11" i="11"/>
  <c r="AN12" i="11"/>
  <c r="AO12" i="11"/>
  <c r="AP12" i="11"/>
  <c r="AQ12" i="11"/>
  <c r="AR12" i="11"/>
  <c r="AS12" i="11"/>
  <c r="AT12" i="11"/>
  <c r="AU12" i="11"/>
  <c r="AV12" i="11"/>
  <c r="AW12" i="11"/>
  <c r="AX12" i="11"/>
  <c r="AY12" i="11"/>
  <c r="AZ12" i="11"/>
  <c r="BA12" i="11"/>
  <c r="BB12" i="11"/>
  <c r="BC12" i="11"/>
  <c r="BD12" i="11"/>
  <c r="BE12" i="11"/>
  <c r="BF12" i="11"/>
  <c r="AJ10" i="11"/>
  <c r="AK10" i="11"/>
  <c r="AL10" i="11"/>
  <c r="AM10" i="11"/>
  <c r="AN10" i="11"/>
  <c r="AO10" i="11"/>
  <c r="AP10" i="11"/>
  <c r="AQ10" i="11"/>
  <c r="AR10" i="11"/>
  <c r="AS10" i="11"/>
  <c r="AT10" i="11"/>
  <c r="AU10" i="11"/>
  <c r="AV10" i="11"/>
  <c r="AW10" i="11"/>
  <c r="AX10" i="11"/>
  <c r="AY10" i="11"/>
  <c r="AZ10" i="11"/>
  <c r="BA10" i="11"/>
  <c r="BB10" i="11"/>
  <c r="BC10" i="11"/>
  <c r="BD10" i="11"/>
  <c r="BE10" i="11"/>
  <c r="BF10" i="11"/>
  <c r="AM8" i="11"/>
  <c r="AN8" i="11"/>
  <c r="AO8" i="11"/>
  <c r="AP8" i="11"/>
  <c r="AQ8" i="11"/>
  <c r="AR8" i="11"/>
  <c r="AS8" i="11"/>
  <c r="AT8" i="11"/>
  <c r="AU8" i="11"/>
  <c r="AV8" i="11"/>
  <c r="AW8" i="11"/>
  <c r="AX8" i="11"/>
  <c r="AY8" i="11"/>
  <c r="AZ8" i="11"/>
  <c r="BA8" i="11"/>
  <c r="BB8" i="11"/>
  <c r="BC8" i="11"/>
  <c r="BD8" i="11"/>
  <c r="BE8" i="11"/>
  <c r="BF8" i="11"/>
  <c r="I65" i="7"/>
  <c r="AB65" i="7" s="1"/>
  <c r="I66" i="7"/>
  <c r="I67" i="7"/>
  <c r="I68" i="7"/>
  <c r="I69" i="7"/>
  <c r="I70" i="7"/>
  <c r="I71" i="7"/>
  <c r="I72" i="7"/>
  <c r="I73" i="7"/>
  <c r="I74" i="7"/>
  <c r="I75" i="7"/>
  <c r="AB75" i="7" s="1"/>
  <c r="I76" i="7"/>
  <c r="I77" i="7"/>
  <c r="I78" i="7"/>
  <c r="I79" i="7"/>
  <c r="I80" i="7"/>
  <c r="I81" i="7"/>
  <c r="I82" i="7"/>
  <c r="I83" i="7"/>
  <c r="I84" i="7"/>
  <c r="I85" i="7"/>
  <c r="I86" i="7"/>
  <c r="I87" i="7"/>
  <c r="I88" i="7"/>
  <c r="I89" i="7"/>
  <c r="I90" i="7"/>
  <c r="I91" i="7"/>
  <c r="I92" i="7"/>
  <c r="I93" i="7"/>
  <c r="I94" i="7"/>
  <c r="I95" i="7"/>
  <c r="AB95" i="7" s="1"/>
  <c r="I96" i="7"/>
  <c r="I97" i="7"/>
  <c r="I98" i="7"/>
  <c r="I99" i="7"/>
  <c r="I100" i="7"/>
  <c r="J65" i="7"/>
  <c r="O65" i="7" s="1" a="1"/>
  <c r="O65" i="7" s="1"/>
  <c r="S65" i="7" s="1"/>
  <c r="J66" i="7"/>
  <c r="O66" i="7" s="1" a="1"/>
  <c r="O66" i="7" s="1"/>
  <c r="S66" i="7" s="1"/>
  <c r="J67" i="7"/>
  <c r="L67" i="7" s="1" a="1"/>
  <c r="L67" i="7" s="1"/>
  <c r="P67" i="7" s="1"/>
  <c r="J68" i="7"/>
  <c r="M68" i="7" s="1" a="1"/>
  <c r="M68" i="7" s="1"/>
  <c r="Q68" i="7" s="1"/>
  <c r="J69" i="7"/>
  <c r="N69" i="7" s="1" a="1"/>
  <c r="N69" i="7" s="1"/>
  <c r="R69" i="7" s="1"/>
  <c r="J70" i="7"/>
  <c r="M70" i="7" s="1" a="1"/>
  <c r="M70" i="7" s="1"/>
  <c r="Q70" i="7" s="1"/>
  <c r="J71" i="7"/>
  <c r="L71" i="7" s="1" a="1"/>
  <c r="L71" i="7" s="1"/>
  <c r="P71" i="7" s="1"/>
  <c r="J72" i="7"/>
  <c r="L72" i="7" s="1" a="1"/>
  <c r="L72" i="7" s="1"/>
  <c r="P72" i="7" s="1"/>
  <c r="J73" i="7"/>
  <c r="M73" i="7" s="1" a="1"/>
  <c r="M73" i="7" s="1"/>
  <c r="Q73" i="7" s="1"/>
  <c r="J74" i="7"/>
  <c r="L74" i="7" s="1" a="1"/>
  <c r="L74" i="7" s="1"/>
  <c r="P74" i="7" s="1"/>
  <c r="J75" i="7"/>
  <c r="L75" i="7" s="1" a="1"/>
  <c r="L75" i="7" s="1"/>
  <c r="P75" i="7" s="1"/>
  <c r="J76" i="7"/>
  <c r="N76" i="7" s="1" a="1"/>
  <c r="N76" i="7" s="1"/>
  <c r="R76" i="7" s="1"/>
  <c r="J77" i="7"/>
  <c r="L77" i="7" s="1" a="1"/>
  <c r="L77" i="7" s="1"/>
  <c r="P77" i="7" s="1"/>
  <c r="J78" i="7"/>
  <c r="L78" i="7" s="1" a="1"/>
  <c r="L78" i="7" s="1"/>
  <c r="P78" i="7" s="1"/>
  <c r="J79" i="7"/>
  <c r="L79" i="7" s="1" a="1"/>
  <c r="L79" i="7" s="1"/>
  <c r="P79" i="7" s="1"/>
  <c r="J80" i="7"/>
  <c r="M80" i="7" s="1" a="1"/>
  <c r="M80" i="7" s="1"/>
  <c r="Q80" i="7" s="1"/>
  <c r="J81" i="7"/>
  <c r="O81" i="7" s="1" a="1"/>
  <c r="O81" i="7" s="1"/>
  <c r="S81" i="7" s="1"/>
  <c r="J82" i="7"/>
  <c r="N82" i="7" s="1" a="1"/>
  <c r="N82" i="7" s="1"/>
  <c r="R82" i="7" s="1"/>
  <c r="J83" i="7"/>
  <c r="L83" i="7" s="1" a="1"/>
  <c r="L83" i="7" s="1"/>
  <c r="P83" i="7" s="1"/>
  <c r="J84" i="7"/>
  <c r="M84" i="7" s="1" a="1"/>
  <c r="M84" i="7" s="1"/>
  <c r="Q84" i="7" s="1"/>
  <c r="J85" i="7"/>
  <c r="N85" i="7" s="1" a="1"/>
  <c r="N85" i="7" s="1"/>
  <c r="R85" i="7" s="1"/>
  <c r="J86" i="7"/>
  <c r="O86" i="7" s="1" a="1"/>
  <c r="O86" i="7" s="1"/>
  <c r="S86" i="7" s="1"/>
  <c r="J87" i="7"/>
  <c r="L87" i="7" s="1" a="1"/>
  <c r="L87" i="7" s="1"/>
  <c r="P87" i="7" s="1"/>
  <c r="J88" i="7"/>
  <c r="L88" i="7" s="1" a="1"/>
  <c r="L88" i="7" s="1"/>
  <c r="P88" i="7" s="1"/>
  <c r="J89" i="7"/>
  <c r="M89" i="7" s="1" a="1"/>
  <c r="M89" i="7" s="1"/>
  <c r="Q89" i="7" s="1"/>
  <c r="J90" i="7"/>
  <c r="L90" i="7" s="1" a="1"/>
  <c r="L90" i="7" s="1"/>
  <c r="P90" i="7" s="1"/>
  <c r="J91" i="7"/>
  <c r="L91" i="7" s="1" a="1"/>
  <c r="L91" i="7" s="1"/>
  <c r="P91" i="7" s="1"/>
  <c r="J92" i="7"/>
  <c r="M92" i="7" s="1" a="1"/>
  <c r="M92" i="7" s="1"/>
  <c r="Q92" i="7" s="1"/>
  <c r="J93" i="7"/>
  <c r="L93" i="7" s="1" a="1"/>
  <c r="L93" i="7" s="1"/>
  <c r="P93" i="7" s="1"/>
  <c r="J94" i="7"/>
  <c r="L94" i="7" s="1" a="1"/>
  <c r="L94" i="7" s="1"/>
  <c r="P94" i="7" s="1"/>
  <c r="J95" i="7"/>
  <c r="L95" i="7" s="1" a="1"/>
  <c r="L95" i="7" s="1"/>
  <c r="P95" i="7" s="1"/>
  <c r="J96" i="7"/>
  <c r="L96" i="7" s="1" a="1"/>
  <c r="L96" i="7" s="1"/>
  <c r="P96" i="7" s="1"/>
  <c r="J97" i="7"/>
  <c r="O97" i="7" s="1" a="1"/>
  <c r="O97" i="7" s="1"/>
  <c r="S97" i="7" s="1"/>
  <c r="J98" i="7"/>
  <c r="M98" i="7" s="1" a="1"/>
  <c r="M98" i="7" s="1"/>
  <c r="Q98" i="7" s="1"/>
  <c r="J99" i="7"/>
  <c r="L99" i="7" s="1" a="1"/>
  <c r="L99" i="7" s="1"/>
  <c r="P99" i="7" s="1"/>
  <c r="J100" i="7"/>
  <c r="M100" i="7" s="1" a="1"/>
  <c r="M100" i="7" s="1"/>
  <c r="Q100" i="7" s="1"/>
  <c r="K65" i="7"/>
  <c r="K66" i="7"/>
  <c r="K67" i="7"/>
  <c r="K68" i="7"/>
  <c r="K69" i="7"/>
  <c r="K70" i="7"/>
  <c r="K71" i="7"/>
  <c r="K84" i="7"/>
  <c r="K85" i="7"/>
  <c r="I32" i="7"/>
  <c r="AB32" i="7" s="1"/>
  <c r="J32" i="7"/>
  <c r="M32" i="7" s="1" a="1"/>
  <c r="M32" i="7" s="1"/>
  <c r="Q32" i="7" s="1"/>
  <c r="E29" i="1"/>
  <c r="F29" i="1"/>
  <c r="K89" i="7" l="1"/>
  <c r="K88" i="7"/>
  <c r="X75" i="7" a="1"/>
  <c r="X75" i="7" s="1"/>
  <c r="K90" i="7"/>
  <c r="K86" i="7"/>
  <c r="K82" i="7"/>
  <c r="K87" i="7"/>
  <c r="K83" i="7"/>
  <c r="T99" i="7" a="1"/>
  <c r="T99" i="7" s="1"/>
  <c r="AB99" i="7"/>
  <c r="T91" i="7" a="1"/>
  <c r="T91" i="7" s="1"/>
  <c r="V91" i="7" s="1"/>
  <c r="W91" i="7" s="1" a="1"/>
  <c r="W91" i="7" s="1"/>
  <c r="AB91" i="7"/>
  <c r="T87" i="7" a="1"/>
  <c r="T87" i="7" s="1"/>
  <c r="AB87" i="7"/>
  <c r="T83" i="7" a="1"/>
  <c r="T83" i="7" s="1"/>
  <c r="V83" i="7" s="1"/>
  <c r="AB83" i="7"/>
  <c r="T79" i="7" a="1"/>
  <c r="T79" i="7" s="1"/>
  <c r="AB79" i="7"/>
  <c r="T71" i="7" a="1"/>
  <c r="T71" i="7" s="1"/>
  <c r="V71" i="7" s="1"/>
  <c r="AB71" i="7"/>
  <c r="X98" i="7" a="1"/>
  <c r="X98" i="7" s="1"/>
  <c r="AB98" i="7"/>
  <c r="X90" i="7" a="1"/>
  <c r="X90" i="7" s="1"/>
  <c r="AB90" i="7"/>
  <c r="X82" i="7" a="1"/>
  <c r="X82" i="7" s="1"/>
  <c r="AB82" i="7"/>
  <c r="T78" i="7" a="1"/>
  <c r="T78" i="7" s="1"/>
  <c r="V78" i="7" s="1"/>
  <c r="AB78" i="7"/>
  <c r="T74" i="7" a="1"/>
  <c r="T74" i="7" s="1"/>
  <c r="AB74" i="7"/>
  <c r="T70" i="7" a="1"/>
  <c r="T70" i="7" s="1"/>
  <c r="U70" i="7" s="1"/>
  <c r="AB70" i="7"/>
  <c r="T66" i="7" a="1"/>
  <c r="T66" i="7" s="1"/>
  <c r="AB66" i="7"/>
  <c r="T169" i="7" a="1"/>
  <c r="T169" i="7" s="1"/>
  <c r="V169" i="7" s="1"/>
  <c r="W169" i="7" s="1" a="1"/>
  <c r="W169" i="7" s="1"/>
  <c r="AB169" i="7"/>
  <c r="U123" i="7"/>
  <c r="Z123" i="7"/>
  <c r="X97" i="7" a="1"/>
  <c r="X97" i="7" s="1"/>
  <c r="AB97" i="7"/>
  <c r="T93" i="7" a="1"/>
  <c r="T93" i="7" s="1"/>
  <c r="V93" i="7" s="1"/>
  <c r="AB93" i="7"/>
  <c r="T89" i="7" a="1"/>
  <c r="T89" i="7" s="1"/>
  <c r="V89" i="7" s="1"/>
  <c r="AB89" i="7"/>
  <c r="X85" i="7" a="1"/>
  <c r="X85" i="7" s="1"/>
  <c r="AB85" i="7"/>
  <c r="X81" i="7" a="1"/>
  <c r="X81" i="7" s="1"/>
  <c r="AB81" i="7"/>
  <c r="X77" i="7" a="1"/>
  <c r="X77" i="7" s="1"/>
  <c r="AB77" i="7"/>
  <c r="X73" i="7" a="1"/>
  <c r="X73" i="7" s="1"/>
  <c r="AB73" i="7"/>
  <c r="X69" i="7" a="1"/>
  <c r="X69" i="7" s="1"/>
  <c r="AB69" i="7"/>
  <c r="T67" i="7" a="1"/>
  <c r="T67" i="7" s="1"/>
  <c r="V67" i="7" s="1"/>
  <c r="AB67" i="7"/>
  <c r="X94" i="7" a="1"/>
  <c r="X94" i="7" s="1"/>
  <c r="AB94" i="7"/>
  <c r="X86" i="7" a="1"/>
  <c r="X86" i="7" s="1"/>
  <c r="AB86" i="7"/>
  <c r="Z32" i="7"/>
  <c r="U32" i="7"/>
  <c r="X100" i="7" a="1"/>
  <c r="X100" i="7" s="1"/>
  <c r="AB100" i="7"/>
  <c r="X96" i="7" a="1"/>
  <c r="X96" i="7" s="1"/>
  <c r="AB96" i="7"/>
  <c r="X92" i="7" a="1"/>
  <c r="X92" i="7" s="1"/>
  <c r="AB92" i="7"/>
  <c r="X88" i="7" a="1"/>
  <c r="X88" i="7" s="1"/>
  <c r="AB88" i="7"/>
  <c r="X84" i="7" a="1"/>
  <c r="X84" i="7" s="1"/>
  <c r="AB84" i="7"/>
  <c r="X80" i="7" a="1"/>
  <c r="X80" i="7" s="1"/>
  <c r="AB80" i="7"/>
  <c r="X76" i="7" a="1"/>
  <c r="X76" i="7" s="1"/>
  <c r="AB76" i="7"/>
  <c r="X72" i="7" a="1"/>
  <c r="X72" i="7" s="1"/>
  <c r="AB72" i="7"/>
  <c r="X68" i="7" a="1"/>
  <c r="X68" i="7" s="1"/>
  <c r="AB68" i="7"/>
  <c r="X110" i="7" a="1"/>
  <c r="X110" i="7" s="1"/>
  <c r="AB110" i="7"/>
  <c r="T33" i="7" a="1"/>
  <c r="T33" i="7" s="1"/>
  <c r="V33" i="7" s="1"/>
  <c r="W33" i="7" s="1" a="1"/>
  <c r="W33" i="7" s="1"/>
  <c r="AB33" i="7"/>
  <c r="AA21" i="7"/>
  <c r="Z21" i="7"/>
  <c r="AA14" i="7"/>
  <c r="Z14" i="7"/>
  <c r="V99" i="7"/>
  <c r="X65" i="7" a="1"/>
  <c r="X65" i="7" s="1"/>
  <c r="T68" i="7" a="1"/>
  <c r="T68" i="7" s="1"/>
  <c r="T77" i="7" a="1"/>
  <c r="T77" i="7" s="1"/>
  <c r="T123" i="7" a="1"/>
  <c r="T123" i="7" s="1"/>
  <c r="V123" i="7" s="1"/>
  <c r="X123" i="7" a="1"/>
  <c r="X123" i="7" s="1"/>
  <c r="T95" i="7" a="1"/>
  <c r="T95" i="7" s="1"/>
  <c r="X91" i="7" a="1"/>
  <c r="X91" i="7" s="1"/>
  <c r="X79" i="7" a="1"/>
  <c r="X79" i="7" s="1"/>
  <c r="T75" i="7" a="1"/>
  <c r="T75" i="7" s="1"/>
  <c r="K93" i="7"/>
  <c r="K92" i="7"/>
  <c r="K96" i="7"/>
  <c r="K94" i="7"/>
  <c r="K91" i="7"/>
  <c r="K98" i="7"/>
  <c r="K97" i="7"/>
  <c r="K95" i="7"/>
  <c r="X95" i="7" a="1"/>
  <c r="X95" i="7" s="1"/>
  <c r="T97" i="7" a="1"/>
  <c r="T97" i="7" s="1"/>
  <c r="T69" i="7" a="1"/>
  <c r="T69" i="7" s="1"/>
  <c r="X33" i="7" a="1"/>
  <c r="X33" i="7" s="1"/>
  <c r="X87" i="7" a="1"/>
  <c r="X87" i="7" s="1"/>
  <c r="X71" i="7" a="1"/>
  <c r="X71" i="7" s="1"/>
  <c r="X99" i="7" a="1"/>
  <c r="X99" i="7" s="1"/>
  <c r="X83" i="7" a="1"/>
  <c r="X83" i="7" s="1"/>
  <c r="X67" i="7" a="1"/>
  <c r="X67" i="7" s="1"/>
  <c r="T85" i="7" a="1"/>
  <c r="T85" i="7" s="1"/>
  <c r="X93" i="7" a="1"/>
  <c r="X93" i="7" s="1"/>
  <c r="T81" i="7" a="1"/>
  <c r="T81" i="7" s="1"/>
  <c r="T73" i="7" a="1"/>
  <c r="T73" i="7" s="1"/>
  <c r="T65" i="7" a="1"/>
  <c r="T65" i="7" s="1"/>
  <c r="X89" i="7" a="1"/>
  <c r="X89" i="7" s="1"/>
  <c r="T76" i="7" a="1"/>
  <c r="T76" i="7" s="1"/>
  <c r="O123" i="7" a="1"/>
  <c r="O123" i="7" s="1"/>
  <c r="S123" i="7" s="1"/>
  <c r="L65" i="7" a="1"/>
  <c r="L65" i="7" s="1"/>
  <c r="P65" i="7" s="1"/>
  <c r="M123" i="7" a="1"/>
  <c r="M123" i="7" s="1"/>
  <c r="Q123" i="7" s="1"/>
  <c r="O33" i="7" a="1"/>
  <c r="O33" i="7" s="1"/>
  <c r="S33" i="7" s="1"/>
  <c r="N123" i="7" a="1"/>
  <c r="N123" i="7" s="1"/>
  <c r="R123" i="7" s="1"/>
  <c r="L123" i="7" a="1"/>
  <c r="L123" i="7" s="1"/>
  <c r="P123" i="7" s="1"/>
  <c r="N33" i="7" a="1"/>
  <c r="N33" i="7" s="1"/>
  <c r="R33" i="7" s="1"/>
  <c r="M33" i="7" a="1"/>
  <c r="M33" i="7" s="1"/>
  <c r="Q33" i="7" s="1"/>
  <c r="L33" i="7" a="1"/>
  <c r="L33" i="7" s="1"/>
  <c r="P33" i="7" s="1"/>
  <c r="L66" i="7" a="1"/>
  <c r="L66" i="7" s="1"/>
  <c r="P66" i="7" s="1"/>
  <c r="K100" i="7"/>
  <c r="K99" i="7"/>
  <c r="T110" i="7" a="1"/>
  <c r="T110" i="7" s="1"/>
  <c r="V110" i="7" s="1"/>
  <c r="T98" i="7" a="1"/>
  <c r="T98" i="7" s="1"/>
  <c r="T94" i="7" a="1"/>
  <c r="T94" i="7" s="1"/>
  <c r="T90" i="7" a="1"/>
  <c r="T90" i="7" s="1"/>
  <c r="T86" i="7" a="1"/>
  <c r="T86" i="7" s="1"/>
  <c r="T82" i="7" a="1"/>
  <c r="T82" i="7" s="1"/>
  <c r="T72" i="7" a="1"/>
  <c r="T72" i="7" s="1"/>
  <c r="T100" i="7" a="1"/>
  <c r="T100" i="7" s="1"/>
  <c r="T96" i="7" a="1"/>
  <c r="T96" i="7" s="1"/>
  <c r="T92" i="7" a="1"/>
  <c r="T92" i="7" s="1"/>
  <c r="T88" i="7" a="1"/>
  <c r="T88" i="7" s="1"/>
  <c r="T84" i="7" a="1"/>
  <c r="T84" i="7" s="1"/>
  <c r="T80" i="7" a="1"/>
  <c r="T80" i="7" s="1"/>
  <c r="O74" i="7" a="1"/>
  <c r="O74" i="7" s="1"/>
  <c r="S74" i="7" s="1"/>
  <c r="N110" i="7" a="1"/>
  <c r="N110" i="7" s="1"/>
  <c r="R110" i="7" s="1"/>
  <c r="L110" i="7" a="1"/>
  <c r="L110" i="7" s="1"/>
  <c r="P110" i="7" s="1"/>
  <c r="X78" i="7" a="1"/>
  <c r="X78" i="7" s="1"/>
  <c r="X74" i="7" a="1"/>
  <c r="X74" i="7" s="1"/>
  <c r="X70" i="7" a="1"/>
  <c r="X70" i="7" s="1"/>
  <c r="X66" i="7" a="1"/>
  <c r="X66" i="7" s="1"/>
  <c r="O70" i="7" a="1"/>
  <c r="O70" i="7" s="1"/>
  <c r="S70" i="7" s="1"/>
  <c r="X169" i="7" a="1"/>
  <c r="X169" i="7" s="1"/>
  <c r="K110" i="7"/>
  <c r="N78" i="7" a="1"/>
  <c r="N78" i="7" s="1"/>
  <c r="R78" i="7" s="1"/>
  <c r="O110" i="7" a="1"/>
  <c r="O110" i="7" s="1"/>
  <c r="S110" i="7" s="1"/>
  <c r="M74" i="7" a="1"/>
  <c r="M74" i="7" s="1"/>
  <c r="Q74" i="7" s="1"/>
  <c r="N73" i="7" a="1"/>
  <c r="N73" i="7" s="1"/>
  <c r="R73" i="7" s="1"/>
  <c r="O69" i="7" a="1"/>
  <c r="O69" i="7" s="1"/>
  <c r="S69" i="7" s="1"/>
  <c r="N70" i="7" a="1"/>
  <c r="N70" i="7" s="1"/>
  <c r="R70" i="7" s="1"/>
  <c r="L86" i="7" a="1"/>
  <c r="L86" i="7" s="1"/>
  <c r="P86" i="7" s="1"/>
  <c r="O90" i="7" a="1"/>
  <c r="O90" i="7" s="1"/>
  <c r="S90" i="7" s="1"/>
  <c r="N89" i="7" a="1"/>
  <c r="N89" i="7" s="1"/>
  <c r="R89" i="7" s="1"/>
  <c r="M86" i="7" a="1"/>
  <c r="M86" i="7" s="1"/>
  <c r="Q86" i="7" s="1"/>
  <c r="L81" i="7" a="1"/>
  <c r="L81" i="7" s="1"/>
  <c r="P81" i="7" s="1"/>
  <c r="M77" i="7" a="1"/>
  <c r="M77" i="7" s="1"/>
  <c r="Q77" i="7" s="1"/>
  <c r="O94" i="7" a="1"/>
  <c r="O94" i="7" s="1"/>
  <c r="S94" i="7" s="1"/>
  <c r="O169" i="7" a="1"/>
  <c r="O169" i="7" s="1"/>
  <c r="S169" i="7" s="1"/>
  <c r="O82" i="7" a="1"/>
  <c r="O82" i="7" s="1"/>
  <c r="S82" i="7" s="1"/>
  <c r="M94" i="7" a="1"/>
  <c r="M94" i="7" s="1"/>
  <c r="Q94" i="7" s="1"/>
  <c r="L98" i="7" a="1"/>
  <c r="L98" i="7" s="1"/>
  <c r="P98" i="7" s="1"/>
  <c r="O85" i="7" a="1"/>
  <c r="O85" i="7" s="1"/>
  <c r="S85" i="7" s="1"/>
  <c r="L68" i="7" a="1"/>
  <c r="L68" i="7" s="1"/>
  <c r="P68" i="7" s="1"/>
  <c r="L97" i="7" a="1"/>
  <c r="L97" i="7" s="1"/>
  <c r="P97" i="7" s="1"/>
  <c r="M169" i="7" a="1"/>
  <c r="M169" i="7" s="1"/>
  <c r="Q169" i="7" s="1"/>
  <c r="N98" i="7" a="1"/>
  <c r="N98" i="7" s="1"/>
  <c r="R98" i="7" s="1"/>
  <c r="L82" i="7" a="1"/>
  <c r="L82" i="7" s="1"/>
  <c r="P82" i="7" s="1"/>
  <c r="N96" i="7" a="1"/>
  <c r="N96" i="7" s="1"/>
  <c r="R96" i="7" s="1"/>
  <c r="M96" i="7" a="1"/>
  <c r="M96" i="7" s="1"/>
  <c r="Q96" i="7" s="1"/>
  <c r="N88" i="7" a="1"/>
  <c r="N88" i="7" s="1"/>
  <c r="R88" i="7" s="1"/>
  <c r="M93" i="7" a="1"/>
  <c r="M93" i="7" s="1"/>
  <c r="Q93" i="7" s="1"/>
  <c r="O96" i="7" a="1"/>
  <c r="O96" i="7" s="1"/>
  <c r="S96" i="7" s="1"/>
  <c r="N80" i="7" a="1"/>
  <c r="N80" i="7" s="1"/>
  <c r="R80" i="7" s="1"/>
  <c r="N68" i="7" a="1"/>
  <c r="N68" i="7" s="1"/>
  <c r="R68" i="7" s="1"/>
  <c r="M88" i="7" a="1"/>
  <c r="M88" i="7" s="1"/>
  <c r="Q88" i="7" s="1"/>
  <c r="L100" i="7" a="1"/>
  <c r="L100" i="7" s="1"/>
  <c r="P100" i="7" s="1"/>
  <c r="O98" i="7" a="1"/>
  <c r="O98" i="7" s="1"/>
  <c r="S98" i="7" s="1"/>
  <c r="O88" i="7" a="1"/>
  <c r="O88" i="7" s="1"/>
  <c r="S88" i="7" s="1"/>
  <c r="O80" i="7" a="1"/>
  <c r="O80" i="7" s="1"/>
  <c r="S80" i="7" s="1"/>
  <c r="N94" i="7" a="1"/>
  <c r="N94" i="7" s="1"/>
  <c r="R94" i="7" s="1"/>
  <c r="N86" i="7" a="1"/>
  <c r="N86" i="7" s="1"/>
  <c r="R86" i="7" s="1"/>
  <c r="N74" i="7" a="1"/>
  <c r="N74" i="7" s="1"/>
  <c r="R74" i="7" s="1"/>
  <c r="N66" i="7" a="1"/>
  <c r="N66" i="7" s="1"/>
  <c r="R66" i="7" s="1"/>
  <c r="M82" i="7" a="1"/>
  <c r="M82" i="7" s="1"/>
  <c r="Q82" i="7" s="1"/>
  <c r="M66" i="7" a="1"/>
  <c r="M66" i="7" s="1"/>
  <c r="Q66" i="7" s="1"/>
  <c r="O78" i="7" a="1"/>
  <c r="O78" i="7" s="1"/>
  <c r="S78" i="7" s="1"/>
  <c r="N90" i="7" a="1"/>
  <c r="N90" i="7" s="1"/>
  <c r="R90" i="7" s="1"/>
  <c r="M90" i="7" a="1"/>
  <c r="M90" i="7" s="1"/>
  <c r="Q90" i="7" s="1"/>
  <c r="M78" i="7" a="1"/>
  <c r="M78" i="7" s="1"/>
  <c r="Q78" i="7" s="1"/>
  <c r="L70" i="7" a="1"/>
  <c r="L70" i="7" s="1"/>
  <c r="P70" i="7" s="1"/>
  <c r="O68" i="7" a="1"/>
  <c r="O68" i="7" s="1"/>
  <c r="S68" i="7" s="1"/>
  <c r="M76" i="7" a="1"/>
  <c r="M76" i="7" s="1"/>
  <c r="Q76" i="7" s="1"/>
  <c r="L80" i="7" a="1"/>
  <c r="L80" i="7" s="1"/>
  <c r="P80" i="7" s="1"/>
  <c r="O72" i="7" a="1"/>
  <c r="O72" i="7" s="1"/>
  <c r="S72" i="7" s="1"/>
  <c r="L84" i="7" a="1"/>
  <c r="L84" i="7" s="1"/>
  <c r="P84" i="7" s="1"/>
  <c r="O100" i="7" a="1"/>
  <c r="O100" i="7" s="1"/>
  <c r="S100" i="7" s="1"/>
  <c r="O92" i="7" a="1"/>
  <c r="O92" i="7" s="1"/>
  <c r="S92" i="7" s="1"/>
  <c r="N100" i="7" a="1"/>
  <c r="N100" i="7" s="1"/>
  <c r="R100" i="7" s="1"/>
  <c r="N92" i="7" a="1"/>
  <c r="N92" i="7" s="1"/>
  <c r="R92" i="7" s="1"/>
  <c r="N72" i="7" a="1"/>
  <c r="N72" i="7" s="1"/>
  <c r="R72" i="7" s="1"/>
  <c r="M72" i="7" a="1"/>
  <c r="M72" i="7" s="1"/>
  <c r="Q72" i="7" s="1"/>
  <c r="L92" i="7" a="1"/>
  <c r="L92" i="7" s="1"/>
  <c r="P92" i="7" s="1"/>
  <c r="L76" i="7" a="1"/>
  <c r="L76" i="7" s="1"/>
  <c r="P76" i="7" s="1"/>
  <c r="O84" i="7" a="1"/>
  <c r="O84" i="7" s="1"/>
  <c r="S84" i="7" s="1"/>
  <c r="O76" i="7" a="1"/>
  <c r="O76" i="7" s="1"/>
  <c r="S76" i="7" s="1"/>
  <c r="N84" i="7" a="1"/>
  <c r="N84" i="7" s="1"/>
  <c r="R84" i="7" s="1"/>
  <c r="N169" i="7" a="1"/>
  <c r="N169" i="7" s="1"/>
  <c r="R169" i="7" s="1"/>
  <c r="L169" i="7" a="1"/>
  <c r="L169" i="7" s="1"/>
  <c r="P169" i="7" s="1"/>
  <c r="O89" i="7" a="1"/>
  <c r="O89" i="7" s="1"/>
  <c r="S89" i="7" s="1"/>
  <c r="O73" i="7" a="1"/>
  <c r="O73" i="7" s="1"/>
  <c r="S73" i="7" s="1"/>
  <c r="N93" i="7" a="1"/>
  <c r="N93" i="7" s="1"/>
  <c r="R93" i="7" s="1"/>
  <c r="N77" i="7" a="1"/>
  <c r="N77" i="7" s="1"/>
  <c r="R77" i="7" s="1"/>
  <c r="M97" i="7" a="1"/>
  <c r="M97" i="7" s="1"/>
  <c r="Q97" i="7" s="1"/>
  <c r="M81" i="7" a="1"/>
  <c r="M81" i="7" s="1"/>
  <c r="Q81" i="7" s="1"/>
  <c r="M65" i="7" a="1"/>
  <c r="M65" i="7" s="1"/>
  <c r="Q65" i="7" s="1"/>
  <c r="L85" i="7" a="1"/>
  <c r="L85" i="7" s="1"/>
  <c r="P85" i="7" s="1"/>
  <c r="L69" i="7" a="1"/>
  <c r="L69" i="7" s="1"/>
  <c r="P69" i="7" s="1"/>
  <c r="O93" i="7" a="1"/>
  <c r="O93" i="7" s="1"/>
  <c r="S93" i="7" s="1"/>
  <c r="O77" i="7" a="1"/>
  <c r="O77" i="7" s="1"/>
  <c r="S77" i="7" s="1"/>
  <c r="N97" i="7" a="1"/>
  <c r="N97" i="7" s="1"/>
  <c r="R97" i="7" s="1"/>
  <c r="N81" i="7" a="1"/>
  <c r="N81" i="7" s="1"/>
  <c r="R81" i="7" s="1"/>
  <c r="N65" i="7" a="1"/>
  <c r="N65" i="7" s="1"/>
  <c r="R65" i="7" s="1"/>
  <c r="M85" i="7" a="1"/>
  <c r="M85" i="7" s="1"/>
  <c r="Q85" i="7" s="1"/>
  <c r="M69" i="7" a="1"/>
  <c r="M69" i="7" s="1"/>
  <c r="Q69" i="7" s="1"/>
  <c r="L89" i="7" a="1"/>
  <c r="L89" i="7" s="1"/>
  <c r="P89" i="7" s="1"/>
  <c r="L73" i="7" a="1"/>
  <c r="L73" i="7" s="1"/>
  <c r="P73" i="7" s="1"/>
  <c r="O99" i="7" a="1"/>
  <c r="O99" i="7" s="1"/>
  <c r="S99" i="7" s="1"/>
  <c r="O95" i="7" a="1"/>
  <c r="O95" i="7" s="1"/>
  <c r="S95" i="7" s="1"/>
  <c r="O91" i="7" a="1"/>
  <c r="O91" i="7" s="1"/>
  <c r="S91" i="7" s="1"/>
  <c r="O87" i="7" a="1"/>
  <c r="O87" i="7" s="1"/>
  <c r="S87" i="7" s="1"/>
  <c r="O83" i="7" a="1"/>
  <c r="O83" i="7" s="1"/>
  <c r="S83" i="7" s="1"/>
  <c r="O79" i="7" a="1"/>
  <c r="O79" i="7" s="1"/>
  <c r="S79" i="7" s="1"/>
  <c r="O75" i="7" a="1"/>
  <c r="O75" i="7" s="1"/>
  <c r="S75" i="7" s="1"/>
  <c r="O71" i="7" a="1"/>
  <c r="O71" i="7" s="1"/>
  <c r="S71" i="7" s="1"/>
  <c r="O67" i="7" a="1"/>
  <c r="O67" i="7" s="1"/>
  <c r="S67" i="7" s="1"/>
  <c r="N99" i="7" a="1"/>
  <c r="N99" i="7" s="1"/>
  <c r="R99" i="7" s="1"/>
  <c r="N95" i="7" a="1"/>
  <c r="N95" i="7" s="1"/>
  <c r="R95" i="7" s="1"/>
  <c r="N91" i="7" a="1"/>
  <c r="N91" i="7" s="1"/>
  <c r="R91" i="7" s="1"/>
  <c r="N87" i="7" a="1"/>
  <c r="N87" i="7" s="1"/>
  <c r="R87" i="7" s="1"/>
  <c r="N83" i="7" a="1"/>
  <c r="N83" i="7" s="1"/>
  <c r="R83" i="7" s="1"/>
  <c r="N79" i="7" a="1"/>
  <c r="N79" i="7" s="1"/>
  <c r="R79" i="7" s="1"/>
  <c r="N75" i="7" a="1"/>
  <c r="N75" i="7" s="1"/>
  <c r="R75" i="7" s="1"/>
  <c r="N71" i="7" a="1"/>
  <c r="N71" i="7" s="1"/>
  <c r="R71" i="7" s="1"/>
  <c r="N67" i="7" a="1"/>
  <c r="N67" i="7" s="1"/>
  <c r="R67" i="7" s="1"/>
  <c r="M99" i="7" a="1"/>
  <c r="M99" i="7" s="1"/>
  <c r="Q99" i="7" s="1"/>
  <c r="M95" i="7" a="1"/>
  <c r="M95" i="7" s="1"/>
  <c r="Q95" i="7" s="1"/>
  <c r="M91" i="7" a="1"/>
  <c r="M91" i="7" s="1"/>
  <c r="Q91" i="7" s="1"/>
  <c r="M87" i="7" a="1"/>
  <c r="M87" i="7" s="1"/>
  <c r="Q87" i="7" s="1"/>
  <c r="M83" i="7" a="1"/>
  <c r="M83" i="7" s="1"/>
  <c r="Q83" i="7" s="1"/>
  <c r="M79" i="7" a="1"/>
  <c r="M79" i="7" s="1"/>
  <c r="Q79" i="7" s="1"/>
  <c r="M75" i="7" a="1"/>
  <c r="M75" i="7" s="1"/>
  <c r="Q75" i="7" s="1"/>
  <c r="M71" i="7" a="1"/>
  <c r="M71" i="7" s="1"/>
  <c r="Q71" i="7" s="1"/>
  <c r="M67" i="7" a="1"/>
  <c r="M67" i="7" s="1"/>
  <c r="Q67" i="7" s="1"/>
  <c r="T32" i="7" a="1"/>
  <c r="T32" i="7" s="1"/>
  <c r="V32" i="7" s="1"/>
  <c r="X32" i="7" a="1"/>
  <c r="X32" i="7" s="1"/>
  <c r="N32" i="7" a="1"/>
  <c r="N32" i="7" s="1"/>
  <c r="R32" i="7" s="1"/>
  <c r="L32" i="7" a="1"/>
  <c r="L32" i="7" s="1"/>
  <c r="P32" i="7" s="1"/>
  <c r="O32" i="7" a="1"/>
  <c r="O32" i="7" s="1"/>
  <c r="S32" i="7" s="1"/>
  <c r="I111" i="7"/>
  <c r="AB111" i="7" s="1"/>
  <c r="J111" i="7"/>
  <c r="L111" i="7" s="1" a="1"/>
  <c r="L111" i="7" s="1"/>
  <c r="P111" i="7" s="1"/>
  <c r="E32" i="1"/>
  <c r="F32" i="1"/>
  <c r="U66" i="7" l="1"/>
  <c r="U74" i="7"/>
  <c r="U79" i="7"/>
  <c r="U87" i="7"/>
  <c r="U99" i="7"/>
  <c r="V66" i="7"/>
  <c r="W66" i="7" s="1" a="1"/>
  <c r="W66" i="7" s="1"/>
  <c r="Y66" i="7" s="1"/>
  <c r="U71" i="7"/>
  <c r="V70" i="7"/>
  <c r="W70" i="7" s="1" a="1"/>
  <c r="W70" i="7" s="1"/>
  <c r="Y70" i="7" s="1"/>
  <c r="U67" i="7"/>
  <c r="U89" i="7"/>
  <c r="U91" i="7"/>
  <c r="Y91" i="7"/>
  <c r="Z91" i="7" s="1"/>
  <c r="V79" i="7"/>
  <c r="W79" i="7" s="1" a="1"/>
  <c r="W79" i="7" s="1"/>
  <c r="Y79" i="7" s="1"/>
  <c r="U169" i="7"/>
  <c r="U78" i="7"/>
  <c r="U83" i="7"/>
  <c r="U93" i="7"/>
  <c r="V74" i="7"/>
  <c r="W74" i="7" s="1" a="1"/>
  <c r="W74" i="7" s="1"/>
  <c r="Y74" i="7" s="1"/>
  <c r="V87" i="7"/>
  <c r="W87" i="7" s="1" a="1"/>
  <c r="W87" i="7" s="1"/>
  <c r="Y87" i="7" s="1"/>
  <c r="Z33" i="7"/>
  <c r="U33" i="7"/>
  <c r="Z110" i="7"/>
  <c r="U110" i="7"/>
  <c r="V82" i="7"/>
  <c r="W82" i="7" s="1" a="1"/>
  <c r="W82" i="7" s="1"/>
  <c r="Y82" i="7" s="1"/>
  <c r="U82" i="7"/>
  <c r="V96" i="7"/>
  <c r="W96" i="7" s="1" a="1"/>
  <c r="W96" i="7" s="1"/>
  <c r="Y96" i="7" s="1"/>
  <c r="U96" i="7"/>
  <c r="V86" i="7"/>
  <c r="W86" i="7" s="1" a="1"/>
  <c r="W86" i="7" s="1"/>
  <c r="Y86" i="7" s="1"/>
  <c r="U86" i="7"/>
  <c r="V65" i="7"/>
  <c r="W65" i="7" s="1" a="1"/>
  <c r="W65" i="7" s="1"/>
  <c r="Y65" i="7" s="1"/>
  <c r="U65" i="7"/>
  <c r="V85" i="7"/>
  <c r="W85" i="7" s="1" a="1"/>
  <c r="W85" i="7" s="1"/>
  <c r="Y85" i="7" s="1"/>
  <c r="U85" i="7"/>
  <c r="V97" i="7"/>
  <c r="W97" i="7" s="1" a="1"/>
  <c r="W97" i="7" s="1"/>
  <c r="Y97" i="7" s="1"/>
  <c r="U97" i="7"/>
  <c r="V77" i="7"/>
  <c r="U77" i="7"/>
  <c r="V92" i="7"/>
  <c r="W92" i="7" s="1" a="1"/>
  <c r="W92" i="7" s="1"/>
  <c r="Y92" i="7" s="1"/>
  <c r="U92" i="7"/>
  <c r="V69" i="7"/>
  <c r="W69" i="7" s="1" a="1"/>
  <c r="W69" i="7" s="1"/>
  <c r="Y69" i="7" s="1"/>
  <c r="U69" i="7"/>
  <c r="V80" i="7"/>
  <c r="W80" i="7" s="1" a="1"/>
  <c r="W80" i="7" s="1"/>
  <c r="Y80" i="7" s="1"/>
  <c r="U80" i="7"/>
  <c r="V84" i="7"/>
  <c r="W84" i="7" s="1" a="1"/>
  <c r="W84" i="7" s="1"/>
  <c r="Y84" i="7" s="1"/>
  <c r="U84" i="7"/>
  <c r="V100" i="7"/>
  <c r="W100" i="7" s="1" a="1"/>
  <c r="W100" i="7" s="1"/>
  <c r="Y100" i="7" s="1"/>
  <c r="U100" i="7"/>
  <c r="V90" i="7"/>
  <c r="W90" i="7" s="1" a="1"/>
  <c r="W90" i="7" s="1"/>
  <c r="Y90" i="7" s="1"/>
  <c r="U90" i="7"/>
  <c r="V73" i="7"/>
  <c r="W73" i="7" s="1" a="1"/>
  <c r="W73" i="7" s="1"/>
  <c r="Y73" i="7" s="1"/>
  <c r="U73" i="7"/>
  <c r="V95" i="7"/>
  <c r="W95" i="7" s="1" a="1"/>
  <c r="W95" i="7" s="1"/>
  <c r="Y95" i="7" s="1"/>
  <c r="U95" i="7"/>
  <c r="V68" i="7"/>
  <c r="W68" i="7" s="1" a="1"/>
  <c r="W68" i="7" s="1"/>
  <c r="Y68" i="7" s="1"/>
  <c r="U68" i="7"/>
  <c r="AA91" i="7"/>
  <c r="V98" i="7"/>
  <c r="W98" i="7" s="1" a="1"/>
  <c r="W98" i="7" s="1"/>
  <c r="Y98" i="7" s="1"/>
  <c r="U98" i="7"/>
  <c r="V88" i="7"/>
  <c r="W88" i="7" s="1" a="1"/>
  <c r="W88" i="7" s="1"/>
  <c r="Y88" i="7" s="1"/>
  <c r="U88" i="7"/>
  <c r="V72" i="7"/>
  <c r="W72" i="7" s="1" a="1"/>
  <c r="W72" i="7" s="1"/>
  <c r="Y72" i="7" s="1"/>
  <c r="U72" i="7"/>
  <c r="V94" i="7"/>
  <c r="W94" i="7" s="1" a="1"/>
  <c r="W94" i="7" s="1"/>
  <c r="Y94" i="7" s="1"/>
  <c r="U94" i="7"/>
  <c r="V76" i="7"/>
  <c r="W76" i="7" s="1" a="1"/>
  <c r="W76" i="7" s="1"/>
  <c r="Y76" i="7" s="1"/>
  <c r="U76" i="7"/>
  <c r="V81" i="7"/>
  <c r="U81" i="7"/>
  <c r="V75" i="7"/>
  <c r="W75" i="7" s="1" a="1"/>
  <c r="W75" i="7" s="1"/>
  <c r="Y75" i="7" s="1"/>
  <c r="U75" i="7"/>
  <c r="W93" i="7" a="1"/>
  <c r="W93" i="7" s="1"/>
  <c r="Y93" i="7" s="1"/>
  <c r="W89" i="7" a="1"/>
  <c r="W89" i="7" s="1"/>
  <c r="Y89" i="7" s="1"/>
  <c r="W67" i="7" a="1"/>
  <c r="W67" i="7" s="1"/>
  <c r="Y67" i="7" s="1"/>
  <c r="W83" i="7" a="1"/>
  <c r="W83" i="7" s="1"/>
  <c r="Y83" i="7" s="1"/>
  <c r="W71" i="7" a="1"/>
  <c r="W71" i="7" s="1"/>
  <c r="Y71" i="7" s="1"/>
  <c r="W78" i="7" a="1"/>
  <c r="W78" i="7" s="1"/>
  <c r="Y78" i="7" s="1"/>
  <c r="W99" i="7" a="1"/>
  <c r="W99" i="7" s="1"/>
  <c r="Y99" i="7" s="1"/>
  <c r="W32" i="7" a="1"/>
  <c r="W32" i="7" s="1"/>
  <c r="Y32" i="7" s="1"/>
  <c r="AA32" i="7" s="1"/>
  <c r="W123" i="7" a="1"/>
  <c r="W123" i="7" s="1"/>
  <c r="Y123" i="7" s="1"/>
  <c r="AA123" i="7" s="1"/>
  <c r="W77" i="7" a="1"/>
  <c r="W77" i="7" s="1"/>
  <c r="Y77" i="7" s="1"/>
  <c r="Y33" i="7"/>
  <c r="AA33" i="7" s="1"/>
  <c r="W81" i="7" a="1"/>
  <c r="W81" i="7" s="1"/>
  <c r="Y81" i="7" s="1"/>
  <c r="W110" i="7" a="1"/>
  <c r="W110" i="7" s="1"/>
  <c r="Y110" i="7" s="1"/>
  <c r="AA110" i="7" s="1"/>
  <c r="Y169" i="7"/>
  <c r="X111" i="7" a="1"/>
  <c r="X111" i="7" s="1"/>
  <c r="M111" i="7" a="1"/>
  <c r="M111" i="7" s="1"/>
  <c r="Q111" i="7" s="1"/>
  <c r="O111" i="7" a="1"/>
  <c r="O111" i="7" s="1"/>
  <c r="S111" i="7" s="1"/>
  <c r="T111" i="7" a="1"/>
  <c r="T111" i="7" s="1"/>
  <c r="N111" i="7" a="1"/>
  <c r="N111" i="7" s="1"/>
  <c r="R111" i="7" s="1"/>
  <c r="I38" i="7"/>
  <c r="J38" i="7"/>
  <c r="N38" i="7" s="1" a="1"/>
  <c r="N38" i="7" s="1"/>
  <c r="R38" i="7" s="1"/>
  <c r="I113" i="7"/>
  <c r="J113" i="7"/>
  <c r="M113" i="7" s="1" a="1"/>
  <c r="M113" i="7" s="1"/>
  <c r="Q113" i="7" s="1"/>
  <c r="I112" i="7"/>
  <c r="J112" i="7"/>
  <c r="T113" i="7" l="1" a="1"/>
  <c r="T113" i="7" s="1"/>
  <c r="U113" i="7" s="1"/>
  <c r="AB113" i="7"/>
  <c r="X112" i="7" a="1"/>
  <c r="X112" i="7" s="1"/>
  <c r="AB112" i="7"/>
  <c r="T38" i="7" a="1"/>
  <c r="T38" i="7" s="1"/>
  <c r="V38" i="7" s="1"/>
  <c r="W38" i="7" s="1" a="1"/>
  <c r="W38" i="7" s="1"/>
  <c r="AB38" i="7"/>
  <c r="AA74" i="7"/>
  <c r="Z74" i="7"/>
  <c r="AA67" i="7"/>
  <c r="Z67" i="7"/>
  <c r="AA79" i="7"/>
  <c r="Z79" i="7"/>
  <c r="AA70" i="7"/>
  <c r="Z70" i="7"/>
  <c r="AA84" i="7"/>
  <c r="Z84" i="7"/>
  <c r="AA81" i="7"/>
  <c r="Z81" i="7"/>
  <c r="AA80" i="7"/>
  <c r="Z80" i="7"/>
  <c r="AA73" i="7"/>
  <c r="Z73" i="7"/>
  <c r="AA66" i="7"/>
  <c r="Z66" i="7"/>
  <c r="AA78" i="7"/>
  <c r="Z78" i="7"/>
  <c r="AA93" i="7"/>
  <c r="Z93" i="7"/>
  <c r="AA100" i="7"/>
  <c r="Z100" i="7"/>
  <c r="AA96" i="7"/>
  <c r="Z96" i="7"/>
  <c r="AA72" i="7"/>
  <c r="Z72" i="7"/>
  <c r="AA95" i="7"/>
  <c r="Z95" i="7"/>
  <c r="AA68" i="7"/>
  <c r="Z68" i="7"/>
  <c r="AA83" i="7"/>
  <c r="Z83" i="7"/>
  <c r="AA82" i="7"/>
  <c r="Z82" i="7"/>
  <c r="AA99" i="7"/>
  <c r="Z99" i="7"/>
  <c r="AA90" i="7"/>
  <c r="Z90" i="7"/>
  <c r="AA76" i="7"/>
  <c r="Z76" i="7"/>
  <c r="AA65" i="7"/>
  <c r="Z65" i="7"/>
  <c r="AA69" i="7"/>
  <c r="Z69" i="7"/>
  <c r="AA77" i="7"/>
  <c r="Z77" i="7"/>
  <c r="AA86" i="7"/>
  <c r="Z86" i="7"/>
  <c r="AA71" i="7"/>
  <c r="Z71" i="7"/>
  <c r="V111" i="7"/>
  <c r="W111" i="7" s="1" a="1"/>
  <c r="W111" i="7" s="1"/>
  <c r="Y111" i="7" s="1"/>
  <c r="U111" i="7"/>
  <c r="AA169" i="7"/>
  <c r="Z169" i="7"/>
  <c r="AA88" i="7"/>
  <c r="Z88" i="7"/>
  <c r="AA92" i="7"/>
  <c r="Z92" i="7"/>
  <c r="AA94" i="7"/>
  <c r="Z94" i="7"/>
  <c r="AA75" i="7"/>
  <c r="Z75" i="7"/>
  <c r="AA85" i="7"/>
  <c r="Z85" i="7"/>
  <c r="AA98" i="7"/>
  <c r="Z98" i="7"/>
  <c r="AA97" i="7"/>
  <c r="Z97" i="7"/>
  <c r="AA89" i="7"/>
  <c r="Z89" i="7"/>
  <c r="AA87" i="7"/>
  <c r="Z87" i="7"/>
  <c r="X113" i="7" a="1"/>
  <c r="X113" i="7" s="1"/>
  <c r="O38" i="7" a="1"/>
  <c r="O38" i="7" s="1"/>
  <c r="S38" i="7" s="1"/>
  <c r="X38" i="7" a="1"/>
  <c r="X38" i="7" s="1"/>
  <c r="M38" i="7" a="1"/>
  <c r="M38" i="7" s="1"/>
  <c r="Q38" i="7" s="1"/>
  <c r="L38" i="7" a="1"/>
  <c r="L38" i="7" s="1"/>
  <c r="P38" i="7" s="1"/>
  <c r="L113" i="7" a="1"/>
  <c r="L113" i="7" s="1"/>
  <c r="P113" i="7" s="1"/>
  <c r="K113" i="7"/>
  <c r="O113" i="7" a="1"/>
  <c r="O113" i="7" s="1"/>
  <c r="S113" i="7" s="1"/>
  <c r="N113" i="7" a="1"/>
  <c r="N113" i="7" s="1"/>
  <c r="R113" i="7" s="1"/>
  <c r="T112" i="7" a="1"/>
  <c r="T112" i="7" s="1"/>
  <c r="M112" i="7" a="1"/>
  <c r="M112" i="7" s="1"/>
  <c r="Q112" i="7" s="1"/>
  <c r="L112" i="7" a="1"/>
  <c r="L112" i="7" s="1"/>
  <c r="P112" i="7" s="1"/>
  <c r="O112" i="7" a="1"/>
  <c r="O112" i="7" s="1"/>
  <c r="S112" i="7" s="1"/>
  <c r="N112" i="7" a="1"/>
  <c r="N112" i="7" s="1"/>
  <c r="R112" i="7" s="1"/>
  <c r="G8" i="8"/>
  <c r="I118" i="7"/>
  <c r="AB118" i="7" s="1"/>
  <c r="J118" i="7"/>
  <c r="L118" i="7" s="1" a="1"/>
  <c r="L118" i="7" s="1"/>
  <c r="P118" i="7" s="1"/>
  <c r="J5" i="9"/>
  <c r="I5" i="9"/>
  <c r="N5" i="9"/>
  <c r="L5" i="9"/>
  <c r="K5" i="9"/>
  <c r="M5" i="9"/>
  <c r="V113" i="7" l="1"/>
  <c r="W113" i="7" s="1" a="1"/>
  <c r="W113" i="7" s="1"/>
  <c r="Y113" i="7" s="1"/>
  <c r="Z38" i="7"/>
  <c r="U38" i="7"/>
  <c r="V112" i="7"/>
  <c r="W112" i="7" s="1" a="1"/>
  <c r="W112" i="7" s="1"/>
  <c r="Y112" i="7" s="1"/>
  <c r="U112" i="7"/>
  <c r="AA111" i="7"/>
  <c r="Z111" i="7"/>
  <c r="Y38" i="7"/>
  <c r="AA38" i="7" s="1"/>
  <c r="O118" i="7" a="1"/>
  <c r="O118" i="7" s="1"/>
  <c r="S118" i="7" s="1"/>
  <c r="X118" i="7" a="1"/>
  <c r="X118" i="7" s="1"/>
  <c r="T118" i="7" a="1"/>
  <c r="T118" i="7" s="1"/>
  <c r="M118" i="7" a="1"/>
  <c r="M118" i="7" s="1"/>
  <c r="P5" i="9"/>
  <c r="D5" i="14"/>
  <c r="AF8" i="11"/>
  <c r="AG8" i="11" a="1"/>
  <c r="AG8" i="11" s="1"/>
  <c r="BG8" i="12"/>
  <c r="BH8" i="12" s="1" a="1"/>
  <c r="BH8" i="12" s="1"/>
  <c r="BJ8" i="12" s="1"/>
  <c r="BG9" i="12"/>
  <c r="BH9" i="12" s="1" a="1"/>
  <c r="BH9" i="12" s="1"/>
  <c r="BJ9" i="12" s="1"/>
  <c r="BG10" i="12"/>
  <c r="BH10" i="12" s="1" a="1"/>
  <c r="BH10" i="12" s="1"/>
  <c r="BJ10" i="12" s="1"/>
  <c r="BG11" i="12"/>
  <c r="BH11" i="12" s="1" a="1"/>
  <c r="BH11" i="12" s="1"/>
  <c r="BJ11" i="12" s="1"/>
  <c r="BG12" i="12"/>
  <c r="BH12" i="12" s="1" a="1"/>
  <c r="BH12" i="12" s="1"/>
  <c r="BJ12" i="12" s="1"/>
  <c r="BG13" i="12"/>
  <c r="BH13" i="12" s="1" a="1"/>
  <c r="BH13" i="12" s="1"/>
  <c r="BJ13" i="12" s="1"/>
  <c r="BG15" i="12"/>
  <c r="BH15" i="12" s="1" a="1"/>
  <c r="BH15" i="12" s="1"/>
  <c r="BJ15" i="12" s="1"/>
  <c r="BG14" i="12"/>
  <c r="BH14" i="12" s="1" a="1"/>
  <c r="BH14" i="12" s="1"/>
  <c r="BJ14" i="12" s="1"/>
  <c r="BG16" i="12"/>
  <c r="BH16" i="12" s="1" a="1"/>
  <c r="BH16" i="12" s="1"/>
  <c r="BJ16" i="12" s="1"/>
  <c r="BG19" i="12"/>
  <c r="BH19" i="12" s="1" a="1"/>
  <c r="BH19" i="12" s="1"/>
  <c r="BJ19" i="12" s="1"/>
  <c r="BG20" i="12"/>
  <c r="BH20" i="12" s="1" a="1"/>
  <c r="BH20" i="12" s="1"/>
  <c r="BJ20" i="12" s="1"/>
  <c r="BG21" i="12"/>
  <c r="BH21" i="12" s="1" a="1"/>
  <c r="BH21" i="12" s="1"/>
  <c r="BJ21" i="12" s="1"/>
  <c r="BG22" i="12"/>
  <c r="BH22" i="12" s="1" a="1"/>
  <c r="BH22" i="12" s="1"/>
  <c r="BJ22" i="12" s="1"/>
  <c r="BG23" i="12"/>
  <c r="BH23" i="12" s="1" a="1"/>
  <c r="BH23" i="12" s="1"/>
  <c r="BJ23" i="12" s="1"/>
  <c r="BG24" i="12"/>
  <c r="BH24" i="12" s="1" a="1"/>
  <c r="BH24" i="12" s="1"/>
  <c r="BJ24" i="12" s="1"/>
  <c r="BG18" i="12"/>
  <c r="BH18" i="12" s="1" a="1"/>
  <c r="BH18" i="12" s="1"/>
  <c r="BJ18" i="12" s="1"/>
  <c r="BG25" i="12"/>
  <c r="BH25" i="12" s="1" a="1"/>
  <c r="BH25" i="12" s="1"/>
  <c r="BJ25" i="12" s="1"/>
  <c r="BG17" i="12"/>
  <c r="BH17" i="12" s="1" a="1"/>
  <c r="BH17" i="12" s="1"/>
  <c r="BJ17" i="12" s="1"/>
  <c r="BG29" i="12"/>
  <c r="BH29" i="12" s="1" a="1"/>
  <c r="BH29" i="12" s="1"/>
  <c r="BJ29" i="12" s="1"/>
  <c r="BG26" i="12"/>
  <c r="BH26" i="12" s="1" a="1"/>
  <c r="BH26" i="12" s="1"/>
  <c r="BJ26" i="12" s="1"/>
  <c r="BG27" i="12"/>
  <c r="BH27" i="12" s="1" a="1"/>
  <c r="BH27" i="12" s="1"/>
  <c r="BJ27" i="12" s="1"/>
  <c r="BG28" i="12"/>
  <c r="BH28" i="12" s="1" a="1"/>
  <c r="BH28" i="12" s="1"/>
  <c r="BJ28" i="12" s="1"/>
  <c r="BG30" i="12"/>
  <c r="BH30" i="12" s="1" a="1"/>
  <c r="BH30" i="12" s="1"/>
  <c r="BJ30" i="12" s="1"/>
  <c r="BG31" i="12"/>
  <c r="BH31" i="12" s="1" a="1"/>
  <c r="BH31" i="12" s="1"/>
  <c r="BJ31" i="12" s="1"/>
  <c r="AK9" i="12"/>
  <c r="AL9" i="12"/>
  <c r="AM9" i="12"/>
  <c r="AN9" i="12"/>
  <c r="AO9" i="12"/>
  <c r="AP9" i="12"/>
  <c r="AQ9" i="12"/>
  <c r="AR9" i="12"/>
  <c r="AS9" i="12"/>
  <c r="AT9" i="12"/>
  <c r="AU9" i="12"/>
  <c r="AV9" i="12"/>
  <c r="AW9" i="12"/>
  <c r="AX9" i="12"/>
  <c r="AY9" i="12"/>
  <c r="AZ9" i="12"/>
  <c r="BA9" i="12"/>
  <c r="BB9" i="12"/>
  <c r="BC9" i="12"/>
  <c r="BD9" i="12"/>
  <c r="BE9" i="12"/>
  <c r="BF9" i="12"/>
  <c r="AL10" i="12"/>
  <c r="AM10" i="12"/>
  <c r="AN10" i="12"/>
  <c r="AO10" i="12"/>
  <c r="AP10" i="12"/>
  <c r="AQ10" i="12"/>
  <c r="AR10" i="12"/>
  <c r="AS10" i="12"/>
  <c r="AT10" i="12"/>
  <c r="AU10" i="12"/>
  <c r="AV10" i="12"/>
  <c r="AW10" i="12"/>
  <c r="AX10" i="12"/>
  <c r="AY10" i="12"/>
  <c r="AZ10" i="12"/>
  <c r="BA10" i="12"/>
  <c r="BB10" i="12"/>
  <c r="BC10" i="12"/>
  <c r="BD10" i="12"/>
  <c r="BE10" i="12"/>
  <c r="BF10" i="12"/>
  <c r="AK11" i="12"/>
  <c r="AL11" i="12"/>
  <c r="AM11" i="12"/>
  <c r="AN11" i="12"/>
  <c r="AO11" i="12"/>
  <c r="AP11" i="12"/>
  <c r="AQ11" i="12"/>
  <c r="AR11" i="12"/>
  <c r="AS11" i="12"/>
  <c r="AT11" i="12"/>
  <c r="AU11" i="12"/>
  <c r="AV11" i="12"/>
  <c r="AW11" i="12"/>
  <c r="AX11" i="12"/>
  <c r="AY11" i="12"/>
  <c r="AZ11" i="12"/>
  <c r="BA11" i="12"/>
  <c r="BB11" i="12"/>
  <c r="BC11" i="12"/>
  <c r="BD11" i="12"/>
  <c r="BE11" i="12"/>
  <c r="BF11" i="12"/>
  <c r="AJ12" i="12"/>
  <c r="AK12" i="12"/>
  <c r="AL12" i="12"/>
  <c r="AM12" i="12"/>
  <c r="AN12" i="12"/>
  <c r="AO12" i="12"/>
  <c r="AP12" i="12"/>
  <c r="AQ12" i="12"/>
  <c r="AR12" i="12"/>
  <c r="AS12" i="12"/>
  <c r="AT12" i="12"/>
  <c r="AU12" i="12"/>
  <c r="AV12" i="12"/>
  <c r="AW12" i="12"/>
  <c r="AX12" i="12"/>
  <c r="AY12" i="12"/>
  <c r="AZ12" i="12"/>
  <c r="BA12" i="12"/>
  <c r="BB12" i="12"/>
  <c r="BC12" i="12"/>
  <c r="BD12" i="12"/>
  <c r="BE12" i="12"/>
  <c r="BF12" i="12"/>
  <c r="AN13" i="12"/>
  <c r="AO13" i="12"/>
  <c r="AP13" i="12"/>
  <c r="AQ13" i="12"/>
  <c r="AR13" i="12"/>
  <c r="AS13" i="12"/>
  <c r="AT13" i="12"/>
  <c r="AU13" i="12"/>
  <c r="AV13" i="12"/>
  <c r="AW13" i="12"/>
  <c r="AX13" i="12"/>
  <c r="AY13" i="12"/>
  <c r="AZ13" i="12"/>
  <c r="BA13" i="12"/>
  <c r="BB13" i="12"/>
  <c r="BC13" i="12"/>
  <c r="BD13" i="12"/>
  <c r="BE13" i="12"/>
  <c r="BF13" i="12"/>
  <c r="AJ15" i="12"/>
  <c r="AK15" i="12"/>
  <c r="AL15" i="12"/>
  <c r="AM15" i="12"/>
  <c r="AN15" i="12"/>
  <c r="AO15" i="12"/>
  <c r="AP15" i="12"/>
  <c r="AQ15" i="12"/>
  <c r="AR15" i="12"/>
  <c r="AS15" i="12"/>
  <c r="AT15" i="12"/>
  <c r="AU15" i="12"/>
  <c r="AV15" i="12"/>
  <c r="AW15" i="12"/>
  <c r="AX15" i="12"/>
  <c r="AY15" i="12"/>
  <c r="AZ15" i="12"/>
  <c r="BA15" i="12"/>
  <c r="BB15" i="12"/>
  <c r="BC15" i="12"/>
  <c r="BD15" i="12"/>
  <c r="BE15" i="12"/>
  <c r="BF15" i="12"/>
  <c r="AM14" i="12"/>
  <c r="AN14" i="12"/>
  <c r="AO14" i="12"/>
  <c r="AP14" i="12"/>
  <c r="AQ14" i="12"/>
  <c r="AR14" i="12"/>
  <c r="AS14" i="12"/>
  <c r="AT14" i="12"/>
  <c r="AU14" i="12"/>
  <c r="AV14" i="12"/>
  <c r="AW14" i="12"/>
  <c r="AX14" i="12"/>
  <c r="AY14" i="12"/>
  <c r="AZ14" i="12"/>
  <c r="BA14" i="12"/>
  <c r="BB14" i="12"/>
  <c r="BC14" i="12"/>
  <c r="BD14" i="12"/>
  <c r="BE14" i="12"/>
  <c r="BF14" i="12"/>
  <c r="AJ16" i="12"/>
  <c r="AK16" i="12"/>
  <c r="AL16" i="12"/>
  <c r="AM16" i="12"/>
  <c r="AN16" i="12"/>
  <c r="AO16" i="12"/>
  <c r="AP16" i="12"/>
  <c r="AQ16" i="12"/>
  <c r="AR16" i="12"/>
  <c r="AS16" i="12"/>
  <c r="AT16" i="12"/>
  <c r="AU16" i="12"/>
  <c r="AV16" i="12"/>
  <c r="AW16" i="12"/>
  <c r="AX16" i="12"/>
  <c r="AY16" i="12"/>
  <c r="AZ16" i="12"/>
  <c r="BA16" i="12"/>
  <c r="BB16" i="12"/>
  <c r="BC16" i="12"/>
  <c r="BD16" i="12"/>
  <c r="BE16" i="12"/>
  <c r="BF16" i="12"/>
  <c r="AO19" i="12"/>
  <c r="AP19" i="12"/>
  <c r="AQ19" i="12"/>
  <c r="AR19" i="12"/>
  <c r="AS19" i="12"/>
  <c r="AT19" i="12"/>
  <c r="AU19" i="12"/>
  <c r="AV19" i="12"/>
  <c r="AW19" i="12"/>
  <c r="AX19" i="12"/>
  <c r="AY19" i="12"/>
  <c r="AZ19" i="12"/>
  <c r="BA19" i="12"/>
  <c r="BB19" i="12"/>
  <c r="BC19" i="12"/>
  <c r="BD19" i="12"/>
  <c r="BE19" i="12"/>
  <c r="BF19" i="12"/>
  <c r="AK20" i="12"/>
  <c r="AL20" i="12"/>
  <c r="AM20" i="12"/>
  <c r="AN20" i="12"/>
  <c r="AO20" i="12"/>
  <c r="AP20" i="12"/>
  <c r="AQ20" i="12"/>
  <c r="AR20" i="12"/>
  <c r="AS20" i="12"/>
  <c r="AT20" i="12"/>
  <c r="AU20" i="12"/>
  <c r="AV20" i="12"/>
  <c r="AW20" i="12"/>
  <c r="AX20" i="12"/>
  <c r="AY20" i="12"/>
  <c r="AZ20" i="12"/>
  <c r="BA20" i="12"/>
  <c r="BB20" i="12"/>
  <c r="BC20" i="12"/>
  <c r="BD20" i="12"/>
  <c r="BE20" i="12"/>
  <c r="BF20" i="12"/>
  <c r="AJ21" i="12"/>
  <c r="AK21" i="12"/>
  <c r="AL21" i="12"/>
  <c r="AM21" i="12"/>
  <c r="AN21" i="12"/>
  <c r="AO21" i="12"/>
  <c r="AP21" i="12"/>
  <c r="AQ21" i="12"/>
  <c r="AR21" i="12"/>
  <c r="AS21" i="12"/>
  <c r="AT21" i="12"/>
  <c r="AU21" i="12"/>
  <c r="AV21" i="12"/>
  <c r="AW21" i="12"/>
  <c r="AX21" i="12"/>
  <c r="AY21" i="12"/>
  <c r="AZ21" i="12"/>
  <c r="BA21" i="12"/>
  <c r="BB21" i="12"/>
  <c r="BC21" i="12"/>
  <c r="BD21" i="12"/>
  <c r="BE21" i="12"/>
  <c r="BF21" i="12"/>
  <c r="AL22" i="12"/>
  <c r="AM22" i="12"/>
  <c r="AN22" i="12"/>
  <c r="AO22" i="12"/>
  <c r="AP22" i="12"/>
  <c r="AQ22" i="12"/>
  <c r="AR22" i="12"/>
  <c r="AS22" i="12"/>
  <c r="AT22" i="12"/>
  <c r="AU22" i="12"/>
  <c r="AV22" i="12"/>
  <c r="AW22" i="12"/>
  <c r="AX22" i="12"/>
  <c r="AY22" i="12"/>
  <c r="AZ22" i="12"/>
  <c r="BA22" i="12"/>
  <c r="BB22" i="12"/>
  <c r="BC22" i="12"/>
  <c r="BD22" i="12"/>
  <c r="BE22" i="12"/>
  <c r="BF22" i="12"/>
  <c r="AM23" i="12"/>
  <c r="AN23" i="12"/>
  <c r="AO23" i="12"/>
  <c r="AP23" i="12"/>
  <c r="AQ23" i="12"/>
  <c r="AR23" i="12"/>
  <c r="AS23" i="12"/>
  <c r="AT23" i="12"/>
  <c r="AU23" i="12"/>
  <c r="AV23" i="12"/>
  <c r="AW23" i="12"/>
  <c r="AX23" i="12"/>
  <c r="AY23" i="12"/>
  <c r="AZ23" i="12"/>
  <c r="BA23" i="12"/>
  <c r="BB23" i="12"/>
  <c r="BC23" i="12"/>
  <c r="BD23" i="12"/>
  <c r="BE23" i="12"/>
  <c r="BF23" i="12"/>
  <c r="BE24" i="12"/>
  <c r="BF24" i="12"/>
  <c r="AJ18" i="12"/>
  <c r="AK18" i="12"/>
  <c r="AL18" i="12"/>
  <c r="AM18" i="12"/>
  <c r="AN18" i="12"/>
  <c r="AO18" i="12"/>
  <c r="AP18" i="12"/>
  <c r="AQ18" i="12"/>
  <c r="AR18" i="12"/>
  <c r="AS18" i="12"/>
  <c r="AT18" i="12"/>
  <c r="AU18" i="12"/>
  <c r="AV18" i="12"/>
  <c r="AW18" i="12"/>
  <c r="AX18" i="12"/>
  <c r="AY18" i="12"/>
  <c r="AZ18" i="12"/>
  <c r="BA18" i="12"/>
  <c r="BB18" i="12"/>
  <c r="BC18" i="12"/>
  <c r="BD18" i="12"/>
  <c r="BE18" i="12"/>
  <c r="BF18" i="12"/>
  <c r="AN25" i="12"/>
  <c r="AO25" i="12"/>
  <c r="AP25" i="12"/>
  <c r="AQ25" i="12"/>
  <c r="AR25" i="12"/>
  <c r="AS25" i="12"/>
  <c r="AT25" i="12"/>
  <c r="AU25" i="12"/>
  <c r="AV25" i="12"/>
  <c r="AW25" i="12"/>
  <c r="AX25" i="12"/>
  <c r="AY25" i="12"/>
  <c r="AZ25" i="12"/>
  <c r="BA25" i="12"/>
  <c r="BB25" i="12"/>
  <c r="BC25" i="12"/>
  <c r="BD25" i="12"/>
  <c r="BE25" i="12"/>
  <c r="BF25" i="12"/>
  <c r="AK17" i="12"/>
  <c r="AL17" i="12"/>
  <c r="AM17" i="12"/>
  <c r="AN17" i="12"/>
  <c r="AO17" i="12"/>
  <c r="AP17" i="12"/>
  <c r="AQ17" i="12"/>
  <c r="AR17" i="12"/>
  <c r="AS17" i="12"/>
  <c r="AT17" i="12"/>
  <c r="AU17" i="12"/>
  <c r="AV17" i="12"/>
  <c r="AW17" i="12"/>
  <c r="AX17" i="12"/>
  <c r="AY17" i="12"/>
  <c r="AZ17" i="12"/>
  <c r="BA17" i="12"/>
  <c r="BB17" i="12"/>
  <c r="BC17" i="12"/>
  <c r="BD17" i="12"/>
  <c r="BE17" i="12"/>
  <c r="BF17" i="12"/>
  <c r="AN29" i="12"/>
  <c r="AO29" i="12"/>
  <c r="AP29" i="12"/>
  <c r="AQ29" i="12"/>
  <c r="AR29" i="12"/>
  <c r="AS29" i="12"/>
  <c r="AT29" i="12"/>
  <c r="AU29" i="12"/>
  <c r="AV29" i="12"/>
  <c r="AW29" i="12"/>
  <c r="AX29" i="12"/>
  <c r="AY29" i="12"/>
  <c r="AZ29" i="12"/>
  <c r="BA29" i="12"/>
  <c r="BB29" i="12"/>
  <c r="BC29" i="12"/>
  <c r="BD29" i="12"/>
  <c r="BE29" i="12"/>
  <c r="BF29" i="12"/>
  <c r="AK26" i="12"/>
  <c r="AL26" i="12"/>
  <c r="AM26" i="12"/>
  <c r="AN26" i="12"/>
  <c r="AO26" i="12"/>
  <c r="AP26" i="12"/>
  <c r="AQ26" i="12"/>
  <c r="AR26" i="12"/>
  <c r="AS26" i="12"/>
  <c r="AT26" i="12"/>
  <c r="AU26" i="12"/>
  <c r="AV26" i="12"/>
  <c r="AW26" i="12"/>
  <c r="AX26" i="12"/>
  <c r="AY26" i="12"/>
  <c r="AZ26" i="12"/>
  <c r="BA26" i="12"/>
  <c r="BB26" i="12"/>
  <c r="BC26" i="12"/>
  <c r="BD26" i="12"/>
  <c r="BE26" i="12"/>
  <c r="BF26" i="12"/>
  <c r="AV27" i="12"/>
  <c r="AW27" i="12"/>
  <c r="AX27" i="12"/>
  <c r="AY27" i="12"/>
  <c r="AZ27" i="12"/>
  <c r="BA27" i="12"/>
  <c r="BB27" i="12"/>
  <c r="BC27" i="12"/>
  <c r="BD27" i="12"/>
  <c r="BE27" i="12"/>
  <c r="BF27" i="12"/>
  <c r="AS28" i="12"/>
  <c r="AT28" i="12"/>
  <c r="AU28" i="12"/>
  <c r="AV28" i="12"/>
  <c r="AW28" i="12"/>
  <c r="AX28" i="12"/>
  <c r="AY28" i="12"/>
  <c r="AZ28" i="12"/>
  <c r="BA28" i="12"/>
  <c r="BB28" i="12"/>
  <c r="BC28" i="12"/>
  <c r="BD28" i="12"/>
  <c r="BE28" i="12"/>
  <c r="BF28" i="12"/>
  <c r="AM30" i="12"/>
  <c r="AN30" i="12"/>
  <c r="AO30" i="12"/>
  <c r="AP30" i="12"/>
  <c r="AQ30" i="12"/>
  <c r="AR30" i="12"/>
  <c r="AS30" i="12"/>
  <c r="AT30" i="12"/>
  <c r="AU30" i="12"/>
  <c r="AV30" i="12"/>
  <c r="AW30" i="12"/>
  <c r="AX30" i="12"/>
  <c r="AY30" i="12"/>
  <c r="AZ30" i="12"/>
  <c r="BA30" i="12"/>
  <c r="BB30" i="12"/>
  <c r="BC30" i="12"/>
  <c r="BD30" i="12"/>
  <c r="BE30" i="12"/>
  <c r="BF30" i="12"/>
  <c r="BD31" i="12"/>
  <c r="BE31" i="12"/>
  <c r="BF31" i="12"/>
  <c r="AI8" i="12"/>
  <c r="AJ8" i="12"/>
  <c r="AK8" i="12"/>
  <c r="AL8" i="12"/>
  <c r="AM8" i="12"/>
  <c r="AN8" i="12"/>
  <c r="AO8" i="12"/>
  <c r="AP8" i="12"/>
  <c r="AQ8" i="12"/>
  <c r="AR8" i="12"/>
  <c r="AS8" i="12"/>
  <c r="AT8" i="12"/>
  <c r="AU8" i="12"/>
  <c r="AV8" i="12"/>
  <c r="AW8" i="12"/>
  <c r="AX8" i="12"/>
  <c r="AY8" i="12"/>
  <c r="AZ8" i="12"/>
  <c r="BA8" i="12"/>
  <c r="BB8" i="12"/>
  <c r="BC8" i="12"/>
  <c r="BD8" i="12"/>
  <c r="BE8" i="12"/>
  <c r="BF8" i="12"/>
  <c r="AA112" i="7" l="1"/>
  <c r="Z112" i="7"/>
  <c r="V118" i="7"/>
  <c r="W118" i="7" s="1" a="1"/>
  <c r="W118" i="7" s="1"/>
  <c r="Y118" i="7" s="1"/>
  <c r="U118" i="7"/>
  <c r="AA113" i="7"/>
  <c r="Z113" i="7"/>
  <c r="Q118" i="7"/>
  <c r="N118" i="7" a="1"/>
  <c r="N118" i="7" s="1"/>
  <c r="R118" i="7" s="1"/>
  <c r="N5" i="14"/>
  <c r="K5" i="14"/>
  <c r="L5" i="14"/>
  <c r="M5" i="14"/>
  <c r="I5" i="14"/>
  <c r="J5" i="14"/>
  <c r="BG8" i="11"/>
  <c r="AF20" i="12"/>
  <c r="AG20" i="12" a="1"/>
  <c r="AG20" i="12" s="1"/>
  <c r="G5" i="14"/>
  <c r="AA118" i="7" l="1"/>
  <c r="Z118" i="7"/>
  <c r="P5" i="14"/>
  <c r="BI20" i="12"/>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87" i="15" s="1"/>
  <c r="B88" i="15" s="1"/>
  <c r="B89" i="15" s="1"/>
  <c r="B90" i="15" s="1"/>
  <c r="B91" i="15" s="1"/>
  <c r="B92" i="15" s="1"/>
  <c r="B93" i="15" s="1"/>
  <c r="B94" i="15" s="1"/>
  <c r="B95" i="15" s="1"/>
  <c r="B96" i="15" s="1"/>
  <c r="B97" i="15" s="1"/>
  <c r="B98" i="15" s="1"/>
  <c r="B99" i="15" s="1"/>
  <c r="B100" i="15" s="1"/>
  <c r="B101" i="15" s="1"/>
  <c r="B102" i="15" s="1"/>
  <c r="B103" i="15" s="1"/>
  <c r="B104" i="15" s="1"/>
  <c r="B105" i="15" s="1"/>
  <c r="B106" i="15" s="1"/>
  <c r="B107" i="15" s="1"/>
  <c r="B108" i="15" s="1"/>
  <c r="B109" i="15" s="1"/>
  <c r="B110" i="15" s="1"/>
  <c r="B111" i="15" s="1"/>
  <c r="B112" i="15" s="1"/>
  <c r="B113" i="15" s="1"/>
  <c r="B114" i="15" s="1"/>
  <c r="B115" i="15" s="1"/>
  <c r="B116" i="15" s="1"/>
  <c r="B117" i="15" s="1"/>
  <c r="B118" i="15" s="1"/>
  <c r="B119" i="15" s="1"/>
  <c r="B120" i="15" s="1"/>
  <c r="B121" i="15" s="1"/>
  <c r="B122" i="15" s="1"/>
  <c r="B123" i="15" s="1"/>
  <c r="B124" i="15" s="1"/>
  <c r="B125" i="15" s="1"/>
  <c r="B126" i="15" s="1"/>
  <c r="B127" i="15" s="1"/>
  <c r="B128" i="15" s="1"/>
  <c r="B129" i="15" s="1"/>
  <c r="B130" i="15" s="1"/>
  <c r="B131" i="15" s="1"/>
  <c r="B132" i="15" s="1"/>
  <c r="B133" i="15" s="1"/>
  <c r="B134" i="15" s="1"/>
  <c r="B135" i="15" s="1"/>
  <c r="B136" i="15" s="1"/>
  <c r="B137" i="15" s="1"/>
  <c r="B138" i="15" s="1"/>
  <c r="B139" i="15" s="1"/>
  <c r="B140" i="15" s="1"/>
  <c r="B141" i="15" s="1"/>
  <c r="B142" i="15" s="1"/>
  <c r="B143" i="15" s="1"/>
  <c r="B144" i="15" s="1"/>
  <c r="B145" i="15" s="1"/>
  <c r="B146" i="15" s="1"/>
  <c r="B147" i="15" s="1"/>
  <c r="B148" i="15" s="1"/>
  <c r="B149" i="15" s="1"/>
  <c r="B150" i="15" s="1"/>
  <c r="B151" i="15" s="1"/>
  <c r="B152" i="15" s="1"/>
  <c r="B153" i="15" s="1"/>
  <c r="B154" i="15" s="1"/>
  <c r="B155" i="15" s="1"/>
  <c r="B156" i="15" s="1"/>
  <c r="B157" i="15" s="1"/>
  <c r="B158" i="15" s="1"/>
  <c r="B159" i="15" s="1"/>
  <c r="B160" i="15" s="1"/>
  <c r="B161" i="15" s="1"/>
  <c r="B162" i="15" s="1"/>
  <c r="B163" i="15" s="1"/>
  <c r="B164" i="15" s="1"/>
  <c r="B165" i="15" s="1"/>
  <c r="B166" i="15" s="1"/>
  <c r="B167" i="15" s="1"/>
  <c r="B168" i="15" s="1"/>
  <c r="B169" i="15" s="1"/>
  <c r="B170" i="15" s="1"/>
  <c r="B171" i="15" s="1"/>
  <c r="B172" i="15" s="1"/>
  <c r="B173" i="15" s="1"/>
  <c r="B174" i="15" s="1"/>
  <c r="B175" i="15" s="1"/>
  <c r="B176" i="15" s="1"/>
  <c r="B177" i="15" s="1"/>
  <c r="B178" i="15" s="1"/>
  <c r="B179" i="15" s="1"/>
  <c r="B180" i="15" s="1"/>
  <c r="B181" i="15" s="1"/>
  <c r="B182" i="15" s="1"/>
  <c r="B183" i="15" s="1"/>
  <c r="B184" i="15" s="1"/>
  <c r="B185" i="15" s="1"/>
  <c r="B186" i="15" s="1"/>
  <c r="B187" i="15" s="1"/>
  <c r="B188" i="15" s="1"/>
  <c r="B189" i="15" s="1"/>
  <c r="B190" i="15" s="1"/>
  <c r="B191" i="15" s="1"/>
  <c r="B192" i="15" s="1"/>
  <c r="B193" i="15" s="1"/>
  <c r="B194" i="15" s="1"/>
  <c r="B195" i="15" s="1"/>
  <c r="B196" i="15" s="1"/>
  <c r="B197" i="15" s="1"/>
  <c r="B198" i="15" s="1"/>
  <c r="B199" i="15" s="1"/>
  <c r="B200" i="15" s="1"/>
  <c r="B201" i="15" s="1"/>
  <c r="B202" i="15" s="1"/>
  <c r="B203" i="15" s="1"/>
  <c r="B204" i="15" s="1"/>
  <c r="B205" i="15" s="1"/>
  <c r="B206" i="15" s="1"/>
  <c r="B207" i="15" s="1"/>
  <c r="B208" i="15" s="1"/>
  <c r="B209" i="15" s="1"/>
  <c r="B210" i="15" s="1"/>
  <c r="B211" i="15" s="1"/>
  <c r="B212" i="15" s="1"/>
  <c r="B213" i="15" s="1"/>
  <c r="B214" i="15" s="1"/>
  <c r="B215" i="15" s="1"/>
  <c r="B216" i="15" s="1"/>
  <c r="B217" i="15" s="1"/>
  <c r="B218" i="15" s="1"/>
  <c r="B219" i="15" s="1"/>
  <c r="B220" i="15" s="1"/>
  <c r="B221" i="15" s="1"/>
  <c r="B222" i="15" s="1"/>
  <c r="B223" i="15" s="1"/>
  <c r="B224" i="15" s="1"/>
  <c r="B225" i="15" s="1"/>
  <c r="B226" i="15" s="1"/>
  <c r="B227" i="15" s="1"/>
  <c r="B228" i="15" s="1"/>
  <c r="B229" i="15" s="1"/>
  <c r="B230" i="15" s="1"/>
  <c r="B231" i="15" s="1"/>
  <c r="B232" i="15" s="1"/>
  <c r="B233" i="15" s="1"/>
  <c r="B234" i="15" s="1"/>
  <c r="B235" i="15" s="1"/>
  <c r="B236" i="15" s="1"/>
  <c r="B237" i="15" s="1"/>
  <c r="B238" i="15" s="1"/>
  <c r="B239" i="15" s="1"/>
  <c r="B240" i="15" s="1"/>
  <c r="B241" i="15" s="1"/>
  <c r="B242" i="15" s="1"/>
  <c r="B243" i="15" s="1"/>
  <c r="B244" i="15" s="1"/>
  <c r="B245" i="15" s="1"/>
  <c r="B246" i="15" s="1"/>
  <c r="B247" i="15" s="1"/>
  <c r="B248" i="15" s="1"/>
  <c r="B249" i="15" s="1"/>
  <c r="B250" i="15" s="1"/>
  <c r="B251" i="15" s="1"/>
  <c r="B252" i="15" s="1"/>
  <c r="B253" i="15" s="1"/>
  <c r="B254" i="15" s="1"/>
  <c r="B255" i="15" s="1"/>
  <c r="B256" i="15" s="1"/>
  <c r="B257" i="15" s="1"/>
  <c r="B258" i="15" s="1"/>
  <c r="B259" i="15" s="1"/>
  <c r="B260" i="15" s="1"/>
  <c r="B261" i="15" s="1"/>
  <c r="B262" i="15" s="1"/>
  <c r="B263" i="15" s="1"/>
  <c r="B264" i="15" s="1"/>
  <c r="B265" i="15" s="1"/>
  <c r="B266" i="15" s="1"/>
  <c r="B267" i="15" s="1"/>
  <c r="B268" i="15" s="1"/>
  <c r="B269" i="15" s="1"/>
  <c r="B270" i="15" s="1"/>
  <c r="B271" i="15" s="1"/>
  <c r="B272" i="15" s="1"/>
  <c r="B273" i="15" s="1"/>
  <c r="B274" i="15" s="1"/>
  <c r="B275" i="15" s="1"/>
  <c r="B276" i="15" s="1"/>
  <c r="B277" i="15" s="1"/>
  <c r="B278" i="15" s="1"/>
  <c r="B279" i="15" s="1"/>
  <c r="B280" i="15" s="1"/>
  <c r="B281" i="15" s="1"/>
  <c r="B282" i="15" s="1"/>
  <c r="B283" i="15" s="1"/>
  <c r="B284" i="15" s="1"/>
  <c r="B285" i="15" s="1"/>
  <c r="B286" i="15" s="1"/>
  <c r="B287" i="15" s="1"/>
  <c r="B288" i="15" s="1"/>
  <c r="B289" i="15" s="1"/>
  <c r="B290" i="15" s="1"/>
  <c r="B291" i="15" s="1"/>
  <c r="B292" i="15" s="1"/>
  <c r="B293" i="15" s="1"/>
  <c r="B294" i="15" s="1"/>
  <c r="B295" i="15" s="1"/>
  <c r="B296" i="15" s="1"/>
  <c r="B297" i="15" s="1"/>
  <c r="B298" i="15" s="1"/>
  <c r="B299" i="15" s="1"/>
  <c r="B300" i="15" s="1"/>
  <c r="B301" i="15" s="1"/>
  <c r="B302" i="15" s="1"/>
  <c r="B303" i="15" s="1"/>
  <c r="B304" i="15" s="1"/>
  <c r="B305" i="15" s="1"/>
  <c r="B306" i="15" s="1"/>
  <c r="B307" i="15" s="1"/>
  <c r="B308" i="15" s="1"/>
  <c r="B309" i="15" s="1"/>
  <c r="B310" i="15" s="1"/>
  <c r="B311" i="15" s="1"/>
  <c r="B312" i="15" s="1"/>
  <c r="B313" i="15" s="1"/>
  <c r="B314" i="15" s="1"/>
  <c r="B315" i="15" s="1"/>
  <c r="B316" i="15" s="1"/>
  <c r="B317" i="15" s="1"/>
  <c r="B318" i="15" s="1"/>
  <c r="B319" i="15" s="1"/>
  <c r="B320" i="15" s="1"/>
  <c r="B321" i="15" s="1"/>
  <c r="B322" i="15" s="1"/>
  <c r="B323" i="15" s="1"/>
  <c r="B324" i="15" s="1"/>
  <c r="B325" i="15" s="1"/>
  <c r="B326" i="15" s="1"/>
  <c r="B327" i="15" s="1"/>
  <c r="B328" i="15" s="1"/>
  <c r="B329" i="15" s="1"/>
  <c r="B330" i="15" s="1"/>
  <c r="B331" i="15" s="1"/>
  <c r="B332" i="15" s="1"/>
  <c r="B333" i="15" s="1"/>
  <c r="B334" i="15" s="1"/>
  <c r="B335" i="15" s="1"/>
  <c r="B336" i="15" s="1"/>
  <c r="B337" i="15" s="1"/>
  <c r="B338" i="15" s="1"/>
  <c r="B339" i="15" s="1"/>
  <c r="B340" i="15" s="1"/>
  <c r="B341" i="15" s="1"/>
  <c r="B342" i="15" s="1"/>
  <c r="B343" i="15" s="1"/>
  <c r="B344" i="15" s="1"/>
  <c r="B345" i="15" s="1"/>
  <c r="B346" i="15" s="1"/>
  <c r="B347" i="15" s="1"/>
  <c r="B348" i="15" s="1"/>
  <c r="B349" i="15" s="1"/>
  <c r="B350" i="15" s="1"/>
  <c r="B351" i="15" s="1"/>
  <c r="B352" i="15" s="1"/>
  <c r="B353" i="15" s="1"/>
  <c r="B354" i="15" s="1"/>
  <c r="B355" i="15" s="1"/>
  <c r="B356" i="15" s="1"/>
  <c r="B357" i="15" s="1"/>
  <c r="B358" i="15" s="1"/>
  <c r="B359" i="15" s="1"/>
  <c r="B360" i="15" s="1"/>
  <c r="B361" i="15" s="1"/>
  <c r="B362" i="15" s="1"/>
  <c r="B363" i="15" s="1"/>
  <c r="B364" i="15" s="1"/>
  <c r="B365" i="15" s="1"/>
  <c r="B366" i="15" s="1"/>
  <c r="B367" i="15" s="1"/>
  <c r="B368" i="15" s="1"/>
  <c r="B369" i="15" s="1"/>
  <c r="B370" i="15" s="1"/>
  <c r="B371" i="15" s="1"/>
  <c r="B372" i="15" s="1"/>
  <c r="B373" i="15" s="1"/>
  <c r="B374" i="15" s="1"/>
  <c r="B375" i="15" s="1"/>
  <c r="B376" i="15" s="1"/>
  <c r="B377" i="15" s="1"/>
  <c r="B378" i="15" s="1"/>
  <c r="B379" i="15" s="1"/>
  <c r="B380" i="15" s="1"/>
  <c r="B381" i="15" s="1"/>
  <c r="B382" i="15" s="1"/>
  <c r="B383" i="15" s="1"/>
  <c r="B384" i="15" s="1"/>
  <c r="B385" i="15" s="1"/>
  <c r="B386" i="15" s="1"/>
  <c r="B387" i="15" s="1"/>
  <c r="B388" i="15" s="1"/>
  <c r="B389" i="15" s="1"/>
  <c r="B390" i="15" s="1"/>
  <c r="B391" i="15" s="1"/>
  <c r="B392" i="15" s="1"/>
  <c r="B393" i="15" s="1"/>
  <c r="B394" i="15" s="1"/>
  <c r="B395" i="15" s="1"/>
  <c r="B396" i="15" s="1"/>
  <c r="B397" i="15" s="1"/>
  <c r="B398" i="15" s="1"/>
  <c r="B399" i="15" s="1"/>
  <c r="B400" i="15" s="1"/>
  <c r="B401" i="15" s="1"/>
  <c r="B402" i="15" s="1"/>
  <c r="B403" i="15" s="1"/>
  <c r="B404" i="15" s="1"/>
  <c r="B405" i="15" s="1"/>
  <c r="B406" i="15" s="1"/>
  <c r="B407" i="15" s="1"/>
  <c r="B408" i="15" s="1"/>
  <c r="B409" i="15" s="1"/>
  <c r="B410" i="15" s="1"/>
  <c r="B411" i="15" s="1"/>
  <c r="B412" i="15" s="1"/>
  <c r="B413" i="15" s="1"/>
  <c r="B414" i="15" s="1"/>
  <c r="B415" i="15" s="1"/>
  <c r="B416" i="15" s="1"/>
  <c r="B417" i="15" s="1"/>
  <c r="B418" i="15" s="1"/>
  <c r="B419" i="15" s="1"/>
  <c r="B420" i="15" s="1"/>
  <c r="B421" i="15" s="1"/>
  <c r="B422" i="15" s="1"/>
  <c r="B423" i="15" s="1"/>
  <c r="B424" i="15" s="1"/>
  <c r="B425" i="15" s="1"/>
  <c r="B426" i="15" s="1"/>
  <c r="B427" i="15" s="1"/>
  <c r="B428" i="15" s="1"/>
  <c r="B429" i="15" s="1"/>
  <c r="B430" i="15" s="1"/>
  <c r="B431" i="15" s="1"/>
  <c r="B432" i="15" s="1"/>
  <c r="B433" i="15" s="1"/>
  <c r="B434" i="15" s="1"/>
  <c r="B435" i="15" s="1"/>
  <c r="B436" i="15" s="1"/>
  <c r="B437" i="15" s="1"/>
  <c r="B438" i="15" s="1"/>
  <c r="B439" i="15" s="1"/>
  <c r="B440" i="15" s="1"/>
  <c r="B441" i="15" s="1"/>
  <c r="B442" i="15" s="1"/>
  <c r="B443" i="15" s="1"/>
  <c r="B444" i="15" s="1"/>
  <c r="B445" i="15" s="1"/>
  <c r="B446" i="15" s="1"/>
  <c r="B447" i="15" s="1"/>
  <c r="B448" i="15" s="1"/>
  <c r="B449" i="15" s="1"/>
  <c r="B450" i="15" s="1"/>
  <c r="B451" i="15" s="1"/>
  <c r="B452" i="15" s="1"/>
  <c r="B453" i="15" s="1"/>
  <c r="B454" i="15" s="1"/>
  <c r="B455" i="15" s="1"/>
  <c r="B456" i="15" s="1"/>
  <c r="B457" i="15" s="1"/>
  <c r="B458" i="15" s="1"/>
  <c r="B459" i="15" s="1"/>
  <c r="B460" i="15" s="1"/>
  <c r="B461" i="15" s="1"/>
  <c r="B462" i="15" s="1"/>
  <c r="B463" i="15" s="1"/>
  <c r="B464" i="15" s="1"/>
  <c r="B465" i="15" s="1"/>
  <c r="B466" i="15" s="1"/>
  <c r="B467" i="15" s="1"/>
  <c r="B468" i="15" s="1"/>
  <c r="B469" i="15" s="1"/>
  <c r="B470" i="15" s="1"/>
  <c r="B471" i="15" s="1"/>
  <c r="B472" i="15" s="1"/>
  <c r="B473" i="15" s="1"/>
  <c r="B474" i="15" s="1"/>
  <c r="B475" i="15" s="1"/>
  <c r="B476" i="15" s="1"/>
  <c r="B477" i="15" s="1"/>
  <c r="B478" i="15" s="1"/>
  <c r="B479" i="15" s="1"/>
  <c r="B480" i="15" s="1"/>
  <c r="B481" i="15" s="1"/>
  <c r="B482" i="15" s="1"/>
  <c r="B483" i="15" s="1"/>
  <c r="B484" i="15" s="1"/>
  <c r="B485" i="15" s="1"/>
  <c r="B486" i="15" s="1"/>
  <c r="B487" i="15" s="1"/>
  <c r="B488" i="15" s="1"/>
  <c r="B489" i="15" s="1"/>
  <c r="B490" i="15" s="1"/>
  <c r="B491" i="15" s="1"/>
  <c r="B492" i="15" s="1"/>
  <c r="B493" i="15" s="1"/>
  <c r="B494" i="15" s="1"/>
  <c r="B495" i="15" s="1"/>
  <c r="B496" i="15" s="1"/>
  <c r="B497" i="15" s="1"/>
  <c r="B498" i="15" s="1"/>
  <c r="B499" i="15" s="1"/>
  <c r="B500" i="15" s="1"/>
  <c r="B501" i="15" s="1"/>
  <c r="B502" i="15" s="1"/>
  <c r="B503" i="15" s="1"/>
  <c r="B504" i="15" s="1"/>
  <c r="B505" i="15" s="1"/>
  <c r="B506" i="15" s="1"/>
  <c r="B507" i="15" s="1"/>
  <c r="B508" i="15" s="1"/>
  <c r="B509" i="15" s="1"/>
  <c r="B510" i="15" s="1"/>
  <c r="B511" i="15" s="1"/>
  <c r="B512" i="15" s="1"/>
  <c r="B513" i="15" s="1"/>
  <c r="B514" i="15" s="1"/>
  <c r="B515" i="15" s="1"/>
  <c r="B516" i="15" s="1"/>
  <c r="B517" i="15" s="1"/>
  <c r="B518" i="15" s="1"/>
  <c r="B519" i="15" s="1"/>
  <c r="B520" i="15" s="1"/>
  <c r="B521" i="15" s="1"/>
  <c r="B522" i="15" s="1"/>
  <c r="B523" i="15" s="1"/>
  <c r="B524" i="15" s="1"/>
  <c r="B525" i="15" s="1"/>
  <c r="B526" i="15" s="1"/>
  <c r="B527" i="15" s="1"/>
  <c r="B528" i="15" s="1"/>
  <c r="B529" i="15" s="1"/>
  <c r="B530" i="15" s="1"/>
  <c r="B531" i="15" s="1"/>
  <c r="B532" i="15" s="1"/>
  <c r="B533" i="15" s="1"/>
  <c r="B534" i="15" s="1"/>
  <c r="B535" i="15" s="1"/>
  <c r="B536" i="15" s="1"/>
  <c r="B537" i="15" s="1"/>
  <c r="B538" i="15" s="1"/>
  <c r="B539" i="15" s="1"/>
  <c r="B540" i="15" s="1"/>
  <c r="B541" i="15" s="1"/>
  <c r="B542" i="15" s="1"/>
  <c r="B543" i="15" s="1"/>
  <c r="B544" i="15" s="1"/>
  <c r="B545" i="15" s="1"/>
  <c r="B546" i="15" s="1"/>
  <c r="B547" i="15" s="1"/>
  <c r="B548" i="15" s="1"/>
  <c r="B549" i="15" s="1"/>
  <c r="B550" i="15" s="1"/>
  <c r="B551" i="15" s="1"/>
  <c r="B552" i="15" s="1"/>
  <c r="B553" i="15" s="1"/>
  <c r="B554" i="15" s="1"/>
  <c r="B555" i="15" s="1"/>
  <c r="B556" i="15" s="1"/>
  <c r="B557" i="15" s="1"/>
  <c r="B558" i="15" s="1"/>
  <c r="B559" i="15" s="1"/>
  <c r="B560" i="15" s="1"/>
  <c r="B561" i="15" s="1"/>
  <c r="B562" i="15" s="1"/>
  <c r="B563" i="15" s="1"/>
  <c r="B564" i="15" s="1"/>
  <c r="B565" i="15" s="1"/>
  <c r="B566" i="15" s="1"/>
  <c r="B567" i="15" s="1"/>
  <c r="B568" i="15" s="1"/>
  <c r="B569" i="15" s="1"/>
  <c r="B570" i="15" s="1"/>
  <c r="B571" i="15" s="1"/>
  <c r="B572" i="15" s="1"/>
  <c r="B573" i="15" s="1"/>
  <c r="B574" i="15" s="1"/>
  <c r="B575" i="15" s="1"/>
  <c r="B576" i="15" s="1"/>
  <c r="B577" i="15" s="1"/>
  <c r="B578" i="15" s="1"/>
  <c r="B579" i="15" s="1"/>
  <c r="B580" i="15" s="1"/>
  <c r="B581" i="15" s="1"/>
  <c r="B582" i="15" s="1"/>
  <c r="B583" i="15" s="1"/>
  <c r="B584" i="15" s="1"/>
  <c r="B585" i="15" s="1"/>
  <c r="B586" i="15" s="1"/>
  <c r="B587" i="15" s="1"/>
  <c r="B588" i="15" s="1"/>
  <c r="B589" i="15" s="1"/>
  <c r="B590" i="15" s="1"/>
  <c r="B591" i="15" s="1"/>
  <c r="B592" i="15" s="1"/>
  <c r="B593" i="15" s="1"/>
  <c r="B594" i="15" s="1"/>
  <c r="B595" i="15" s="1"/>
  <c r="B596" i="15" s="1"/>
  <c r="B597" i="15" s="1"/>
  <c r="B598" i="15" s="1"/>
  <c r="B599" i="15" s="1"/>
  <c r="B600" i="15" s="1"/>
  <c r="B601" i="15" s="1"/>
  <c r="B602" i="15" s="1"/>
  <c r="B603" i="15" s="1"/>
  <c r="B604" i="15" s="1"/>
  <c r="B605" i="15" s="1"/>
  <c r="B606" i="15" s="1"/>
  <c r="B607" i="15" s="1"/>
  <c r="B608" i="15" s="1"/>
  <c r="B609" i="15" s="1"/>
  <c r="B610" i="15" s="1"/>
  <c r="B611" i="15" s="1"/>
  <c r="B612" i="15" s="1"/>
  <c r="B613" i="15" s="1"/>
  <c r="B614" i="15" s="1"/>
  <c r="B615" i="15" s="1"/>
  <c r="B616" i="15" s="1"/>
  <c r="B617" i="15" s="1"/>
  <c r="B618" i="15" s="1"/>
  <c r="B619" i="15" s="1"/>
  <c r="B620" i="15" s="1"/>
  <c r="B621" i="15" s="1"/>
  <c r="B622" i="15" s="1"/>
  <c r="B623" i="15" s="1"/>
  <c r="B624" i="15" s="1"/>
  <c r="B625" i="15" s="1"/>
  <c r="B626" i="15" s="1"/>
  <c r="B627" i="15" s="1"/>
  <c r="B628" i="15" s="1"/>
  <c r="B629" i="15" s="1"/>
  <c r="B630" i="15" s="1"/>
  <c r="B631" i="15" s="1"/>
  <c r="B632" i="15" s="1"/>
  <c r="B633" i="15" s="1"/>
  <c r="B634" i="15" s="1"/>
  <c r="B635" i="15" s="1"/>
  <c r="B636" i="15" s="1"/>
  <c r="B637" i="15" s="1"/>
  <c r="B638" i="15" s="1"/>
  <c r="B639" i="15" s="1"/>
  <c r="B640" i="15" s="1"/>
  <c r="B641" i="15" s="1"/>
  <c r="B642" i="15" s="1"/>
  <c r="B643" i="15" s="1"/>
  <c r="B644" i="15" s="1"/>
  <c r="B645" i="15" s="1"/>
  <c r="B646" i="15" s="1"/>
  <c r="B647" i="15" s="1"/>
  <c r="B648" i="15" s="1"/>
  <c r="B649" i="15" s="1"/>
  <c r="B650" i="15" s="1"/>
  <c r="B651" i="15" s="1"/>
  <c r="B652" i="15" s="1"/>
  <c r="B653" i="15" s="1"/>
  <c r="B654" i="15" s="1"/>
  <c r="B655" i="15" s="1"/>
  <c r="B656" i="15" s="1"/>
  <c r="B657" i="15" s="1"/>
  <c r="B658" i="15" s="1"/>
  <c r="B659" i="15" s="1"/>
  <c r="B660" i="15" s="1"/>
  <c r="B661" i="15" s="1"/>
  <c r="B662" i="15" s="1"/>
  <c r="B663" i="15" s="1"/>
  <c r="B664" i="15" s="1"/>
  <c r="B665" i="15" s="1"/>
  <c r="B666" i="15" s="1"/>
  <c r="B667" i="15" s="1"/>
  <c r="B668" i="15" s="1"/>
  <c r="B669" i="15" s="1"/>
  <c r="B670" i="15" s="1"/>
  <c r="B671" i="15" s="1"/>
  <c r="B672" i="15" s="1"/>
  <c r="B673" i="15" s="1"/>
  <c r="B674" i="15" s="1"/>
  <c r="B675" i="15" s="1"/>
  <c r="B676" i="15" s="1"/>
  <c r="B677" i="15" s="1"/>
  <c r="B678" i="15" s="1"/>
  <c r="B679" i="15" s="1"/>
  <c r="B680" i="15" s="1"/>
  <c r="B681" i="15" s="1"/>
  <c r="B682" i="15" s="1"/>
  <c r="B683" i="15" s="1"/>
  <c r="B684" i="15" s="1"/>
  <c r="B685" i="15" s="1"/>
  <c r="B686" i="15" s="1"/>
  <c r="B687" i="15" s="1"/>
  <c r="B688" i="15" s="1"/>
  <c r="B689" i="15" s="1"/>
  <c r="B690" i="15" s="1"/>
  <c r="B691" i="15" s="1"/>
  <c r="B692" i="15" s="1"/>
  <c r="B693" i="15" s="1"/>
  <c r="B694" i="15" s="1"/>
  <c r="B695" i="15" s="1"/>
  <c r="B696" i="15" s="1"/>
  <c r="B697" i="15" s="1"/>
  <c r="B698" i="15" s="1"/>
  <c r="B699" i="15" s="1"/>
  <c r="B700" i="15" s="1"/>
  <c r="B701" i="15" s="1"/>
  <c r="B702" i="15" s="1"/>
  <c r="B703" i="15" s="1"/>
  <c r="B704" i="15" s="1"/>
  <c r="B705" i="15" s="1"/>
  <c r="B706" i="15" s="1"/>
  <c r="B707" i="15" s="1"/>
  <c r="B708" i="15" s="1"/>
  <c r="B709" i="15" s="1"/>
  <c r="B710" i="15" s="1"/>
  <c r="B711" i="15" s="1"/>
  <c r="B712" i="15" s="1"/>
  <c r="B713" i="15" s="1"/>
  <c r="B714" i="15" s="1"/>
  <c r="B715" i="15" s="1"/>
  <c r="B716" i="15" s="1"/>
  <c r="B717" i="15" s="1"/>
  <c r="B718" i="15" s="1"/>
  <c r="B719" i="15" s="1"/>
  <c r="B720" i="15" s="1"/>
  <c r="B721" i="15" s="1"/>
  <c r="B722" i="15" s="1"/>
  <c r="B723" i="15" s="1"/>
  <c r="B724" i="15" s="1"/>
  <c r="B725" i="15" s="1"/>
  <c r="B726" i="15" s="1"/>
  <c r="B727" i="15" s="1"/>
  <c r="B728" i="15" s="1"/>
  <c r="B729" i="15" s="1"/>
  <c r="B730" i="15" s="1"/>
  <c r="B731" i="15" s="1"/>
  <c r="B732" i="15" s="1"/>
  <c r="B733" i="15" s="1"/>
  <c r="B734" i="15" s="1"/>
  <c r="B735" i="15" s="1"/>
  <c r="B736" i="15" s="1"/>
  <c r="B737" i="15" s="1"/>
  <c r="B738" i="15" s="1"/>
  <c r="B739" i="15" s="1"/>
  <c r="B740" i="15" s="1"/>
  <c r="B741" i="15" s="1"/>
  <c r="B742" i="15" s="1"/>
  <c r="B743" i="15" s="1"/>
  <c r="B744" i="15" s="1"/>
  <c r="B745" i="15" s="1"/>
  <c r="B746" i="15" s="1"/>
  <c r="B747" i="15" s="1"/>
  <c r="B748" i="15" s="1"/>
  <c r="B749" i="15" s="1"/>
  <c r="B750" i="15" s="1"/>
  <c r="B751" i="15" s="1"/>
  <c r="B752" i="15" s="1"/>
  <c r="B753" i="15" s="1"/>
  <c r="B754" i="15" s="1"/>
  <c r="B755" i="15" s="1"/>
  <c r="B756" i="15" s="1"/>
  <c r="B757" i="15" s="1"/>
  <c r="B758" i="15" s="1"/>
  <c r="B759" i="15" s="1"/>
  <c r="B760" i="15" s="1"/>
  <c r="B761" i="15" s="1"/>
  <c r="B762" i="15" s="1"/>
  <c r="B763" i="15" s="1"/>
  <c r="B764" i="15" s="1"/>
  <c r="B765" i="15" s="1"/>
  <c r="B766" i="15" s="1"/>
  <c r="B767" i="15" s="1"/>
  <c r="B768" i="15" s="1"/>
  <c r="B769" i="15" s="1"/>
  <c r="B770" i="15" s="1"/>
  <c r="B771" i="15" s="1"/>
  <c r="B772" i="15" s="1"/>
  <c r="B773" i="15" s="1"/>
  <c r="B774" i="15" s="1"/>
  <c r="B775" i="15" s="1"/>
  <c r="B776" i="15" s="1"/>
  <c r="B777" i="15" s="1"/>
  <c r="B778" i="15" s="1"/>
  <c r="B779" i="15" s="1"/>
  <c r="B780" i="15" s="1"/>
  <c r="B781" i="15" s="1"/>
  <c r="B782" i="15" s="1"/>
  <c r="B783" i="15" s="1"/>
  <c r="B784" i="15" s="1"/>
  <c r="B785" i="15" s="1"/>
  <c r="B786" i="15" s="1"/>
  <c r="B787" i="15" s="1"/>
  <c r="B788" i="15" s="1"/>
  <c r="B789" i="15" s="1"/>
  <c r="B790" i="15" s="1"/>
  <c r="B791" i="15" s="1"/>
  <c r="B792" i="15" s="1"/>
  <c r="B793" i="15" s="1"/>
  <c r="B794" i="15" s="1"/>
  <c r="B795" i="15" s="1"/>
  <c r="B796" i="15" s="1"/>
  <c r="B797" i="15" s="1"/>
  <c r="B798" i="15" s="1"/>
  <c r="B799" i="15" s="1"/>
  <c r="B800" i="15" s="1"/>
  <c r="B801" i="15" s="1"/>
  <c r="B802" i="15" s="1"/>
  <c r="B803" i="15" s="1"/>
  <c r="B804" i="15" s="1"/>
  <c r="B805" i="15" s="1"/>
  <c r="B806" i="15" s="1"/>
  <c r="B807" i="15" s="1"/>
  <c r="B808" i="15" s="1"/>
  <c r="B809" i="15" s="1"/>
  <c r="B810" i="15" s="1"/>
  <c r="B811" i="15" s="1"/>
  <c r="B812" i="15" s="1"/>
  <c r="B813" i="15" s="1"/>
  <c r="B814" i="15" s="1"/>
  <c r="B815" i="15" s="1"/>
  <c r="B816" i="15" s="1"/>
  <c r="B817" i="15" s="1"/>
  <c r="B818" i="15" s="1"/>
  <c r="B819" i="15" s="1"/>
  <c r="B820" i="15" s="1"/>
  <c r="B821" i="15" s="1"/>
  <c r="B822" i="15" s="1"/>
  <c r="B823" i="15" s="1"/>
  <c r="B824" i="15" s="1"/>
  <c r="B825" i="15" s="1"/>
  <c r="B826" i="15" s="1"/>
  <c r="B827" i="15" s="1"/>
  <c r="B828" i="15" s="1"/>
  <c r="B829" i="15" s="1"/>
  <c r="B830" i="15" s="1"/>
  <c r="B831" i="15" s="1"/>
  <c r="B832" i="15" s="1"/>
  <c r="B833" i="15" s="1"/>
  <c r="B834" i="15" s="1"/>
  <c r="B835" i="15" s="1"/>
  <c r="B836" i="15" s="1"/>
  <c r="B837" i="15" s="1"/>
  <c r="B838" i="15" s="1"/>
  <c r="B839" i="15" s="1"/>
  <c r="B840" i="15" s="1"/>
  <c r="B841" i="15" s="1"/>
  <c r="B842" i="15" s="1"/>
  <c r="B843" i="15" s="1"/>
  <c r="B844" i="15" s="1"/>
  <c r="B845" i="15" s="1"/>
  <c r="B846" i="15" s="1"/>
  <c r="B847" i="15" s="1"/>
  <c r="B848" i="15" s="1"/>
  <c r="B849" i="15" s="1"/>
  <c r="B850" i="15" s="1"/>
  <c r="B851" i="15" s="1"/>
  <c r="B852" i="15" s="1"/>
  <c r="B853" i="15" s="1"/>
  <c r="B854" i="15" s="1"/>
  <c r="B855" i="15" s="1"/>
  <c r="B856" i="15" s="1"/>
  <c r="B857" i="15" s="1"/>
  <c r="B858" i="15" s="1"/>
  <c r="B859" i="15" s="1"/>
  <c r="B860" i="15" s="1"/>
  <c r="B861" i="15" s="1"/>
  <c r="B862" i="15" s="1"/>
  <c r="B863" i="15" s="1"/>
  <c r="B864" i="15" s="1"/>
  <c r="B865" i="15" s="1"/>
  <c r="B866" i="15" s="1"/>
  <c r="B867" i="15" s="1"/>
  <c r="B868" i="15" s="1"/>
  <c r="B869" i="15" s="1"/>
  <c r="B870" i="15" s="1"/>
  <c r="B871" i="15" s="1"/>
  <c r="B872" i="15" s="1"/>
  <c r="B873" i="15" s="1"/>
  <c r="B874" i="15" s="1"/>
  <c r="B875" i="15" s="1"/>
  <c r="B876" i="15" s="1"/>
  <c r="B877" i="15" s="1"/>
  <c r="B878" i="15" s="1"/>
  <c r="B879" i="15" s="1"/>
  <c r="B880" i="15" s="1"/>
  <c r="B881" i="15" s="1"/>
  <c r="B882" i="15" s="1"/>
  <c r="B883" i="15" s="1"/>
  <c r="B884" i="15" s="1"/>
  <c r="B885" i="15" s="1"/>
  <c r="B886" i="15" s="1"/>
  <c r="B887" i="15" s="1"/>
  <c r="B888" i="15" s="1"/>
  <c r="B889" i="15" s="1"/>
  <c r="B890" i="15" s="1"/>
  <c r="B891" i="15" s="1"/>
  <c r="B892" i="15" s="1"/>
  <c r="B893" i="15" s="1"/>
  <c r="B894" i="15" s="1"/>
  <c r="B895" i="15" s="1"/>
  <c r="B896" i="15" s="1"/>
  <c r="B897" i="15" s="1"/>
  <c r="B898" i="15" s="1"/>
  <c r="B899" i="15" s="1"/>
  <c r="B900" i="15" s="1"/>
  <c r="B901" i="15" s="1"/>
  <c r="B902" i="15" s="1"/>
  <c r="B903" i="15" s="1"/>
  <c r="B904" i="15" s="1"/>
  <c r="B905" i="15" s="1"/>
  <c r="B906" i="15" s="1"/>
  <c r="B907" i="15" s="1"/>
  <c r="B908" i="15" s="1"/>
  <c r="B909" i="15" s="1"/>
  <c r="B910" i="15" s="1"/>
  <c r="B911" i="15" s="1"/>
  <c r="B912" i="15" s="1"/>
  <c r="B913" i="15" s="1"/>
  <c r="B914" i="15" s="1"/>
  <c r="B915" i="15" s="1"/>
  <c r="B916" i="15" s="1"/>
  <c r="B917" i="15" s="1"/>
  <c r="B918" i="15" s="1"/>
  <c r="B919" i="15" s="1"/>
  <c r="B920" i="15" s="1"/>
  <c r="B921" i="15" s="1"/>
  <c r="B922" i="15" s="1"/>
  <c r="B923" i="15" s="1"/>
  <c r="B924" i="15" s="1"/>
  <c r="B925" i="15" s="1"/>
  <c r="B926" i="15" s="1"/>
  <c r="B927" i="15" s="1"/>
  <c r="B928" i="15" s="1"/>
  <c r="B929" i="15" s="1"/>
  <c r="B930" i="15" s="1"/>
  <c r="B931" i="15" s="1"/>
  <c r="B932" i="15" s="1"/>
  <c r="B933" i="15" s="1"/>
  <c r="B934" i="15" s="1"/>
  <c r="B935" i="15" s="1"/>
  <c r="B936" i="15" s="1"/>
  <c r="B937" i="15" s="1"/>
  <c r="B938" i="15" s="1"/>
  <c r="B939" i="15" s="1"/>
  <c r="B940" i="15" s="1"/>
  <c r="B941" i="15" s="1"/>
  <c r="B942" i="15" s="1"/>
  <c r="B943" i="15" s="1"/>
  <c r="B944" i="15" s="1"/>
  <c r="B945" i="15" s="1"/>
  <c r="B946" i="15" s="1"/>
  <c r="B947" i="15" s="1"/>
  <c r="B948" i="15" s="1"/>
  <c r="B949" i="15" s="1"/>
  <c r="B950" i="15" s="1"/>
  <c r="B951" i="15" s="1"/>
  <c r="B952" i="15" s="1"/>
  <c r="B953" i="15" s="1"/>
  <c r="B954" i="15" s="1"/>
  <c r="B955" i="15" s="1"/>
  <c r="B956" i="15" s="1"/>
  <c r="B957" i="15" s="1"/>
  <c r="B958" i="15" s="1"/>
  <c r="B959" i="15" s="1"/>
  <c r="B960" i="15" s="1"/>
  <c r="B961" i="15" s="1"/>
  <c r="B962" i="15" s="1"/>
  <c r="B963" i="15" s="1"/>
  <c r="B964" i="15" s="1"/>
  <c r="B965" i="15" s="1"/>
  <c r="B966" i="15" s="1"/>
  <c r="B967" i="15" s="1"/>
  <c r="B968" i="15" s="1"/>
  <c r="B969" i="15" s="1"/>
  <c r="B970" i="15" s="1"/>
  <c r="B971" i="15" s="1"/>
  <c r="B972" i="15" s="1"/>
  <c r="B973" i="15" s="1"/>
  <c r="B974" i="15" s="1"/>
  <c r="B975" i="15" s="1"/>
  <c r="B976" i="15" s="1"/>
  <c r="B977" i="15" s="1"/>
  <c r="B978" i="15" s="1"/>
  <c r="B979" i="15" s="1"/>
  <c r="B980" i="15" s="1"/>
  <c r="B981" i="15" s="1"/>
  <c r="B982" i="15" s="1"/>
  <c r="B983" i="15" s="1"/>
  <c r="B984" i="15" s="1"/>
  <c r="B985" i="15" s="1"/>
  <c r="B986" i="15" s="1"/>
  <c r="B987" i="15" s="1"/>
  <c r="B988" i="15" s="1"/>
  <c r="B989" i="15" s="1"/>
  <c r="B990" i="15" s="1"/>
  <c r="B991" i="15" s="1"/>
  <c r="B992" i="15" s="1"/>
  <c r="B993" i="15" s="1"/>
  <c r="B994" i="15" s="1"/>
  <c r="B995" i="15" s="1"/>
  <c r="B996" i="15" s="1"/>
  <c r="B997" i="15" s="1"/>
  <c r="B998" i="15" s="1"/>
  <c r="B999" i="15" s="1"/>
  <c r="B1000" i="15" s="1"/>
  <c r="B1001" i="15" s="1"/>
  <c r="B1002" i="15" s="1"/>
  <c r="B1003" i="15" s="1"/>
  <c r="B1004" i="15" s="1"/>
  <c r="B1005" i="15" s="1"/>
  <c r="B7" i="8"/>
  <c r="B4" i="14"/>
  <c r="B5" i="14" s="1"/>
  <c r="B6" i="14" s="1"/>
  <c r="B7" i="14" s="1"/>
  <c r="B8" i="14" s="1"/>
  <c r="B9" i="14" s="1"/>
  <c r="B10" i="14" s="1"/>
  <c r="B11" i="14" s="1"/>
  <c r="B12" i="14" s="1"/>
  <c r="B13" i="14" s="1"/>
  <c r="B14" i="14" s="1"/>
  <c r="B15" i="14" s="1"/>
  <c r="B16" i="14" s="1"/>
  <c r="B17" i="14" s="1"/>
  <c r="B18" i="14" s="1"/>
  <c r="B19" i="14" s="1"/>
  <c r="B20" i="14" s="1"/>
  <c r="B21" i="14" s="1"/>
  <c r="B22" i="14" s="1"/>
  <c r="B23" i="14" s="1"/>
  <c r="B24" i="14" s="1"/>
  <c r="B25" i="14" s="1"/>
  <c r="B26" i="14" s="1"/>
  <c r="B27" i="14" s="1"/>
  <c r="B28" i="14" s="1"/>
  <c r="B29" i="14" s="1"/>
  <c r="B30" i="14" s="1"/>
  <c r="B31" i="14" s="1"/>
  <c r="B32" i="14" s="1"/>
  <c r="B33" i="14" s="1"/>
  <c r="B34" i="14" s="1"/>
  <c r="B35" i="14" s="1"/>
  <c r="B36" i="14" s="1"/>
  <c r="B37" i="14" s="1"/>
  <c r="B38" i="14" s="1"/>
  <c r="B39" i="14" s="1"/>
  <c r="B40" i="14" s="1"/>
  <c r="B41" i="14" s="1"/>
  <c r="B42" i="14" s="1"/>
  <c r="B43" i="14" s="1"/>
  <c r="B44" i="14" s="1"/>
  <c r="B45" i="14" s="1"/>
  <c r="B46" i="14" s="1"/>
  <c r="B47" i="14" s="1"/>
  <c r="B48" i="14" s="1"/>
  <c r="B49" i="14" s="1"/>
  <c r="B50" i="14" s="1"/>
  <c r="B51" i="14" s="1"/>
  <c r="B52" i="14" s="1"/>
  <c r="B53" i="14" s="1"/>
  <c r="B54" i="14" s="1"/>
  <c r="B55" i="14" s="1"/>
  <c r="B56" i="14" s="1"/>
  <c r="B57" i="14" s="1"/>
  <c r="B58" i="14" s="1"/>
  <c r="B59" i="14" s="1"/>
  <c r="B60" i="14" s="1"/>
  <c r="B61" i="14" s="1"/>
  <c r="B62" i="14" s="1"/>
  <c r="B63" i="14" s="1"/>
  <c r="B64" i="14" s="1"/>
  <c r="B65" i="14" s="1"/>
  <c r="B66" i="14" s="1"/>
  <c r="B67" i="14" s="1"/>
  <c r="B68" i="14" s="1"/>
  <c r="B69" i="14" s="1"/>
  <c r="B70" i="14" s="1"/>
  <c r="B71" i="14" s="1"/>
  <c r="B72" i="14" s="1"/>
  <c r="B73" i="14" s="1"/>
  <c r="B74" i="14" s="1"/>
  <c r="B75" i="14" s="1"/>
  <c r="B76" i="14" s="1"/>
  <c r="B77" i="14" s="1"/>
  <c r="B78" i="14" s="1"/>
  <c r="B79" i="14" s="1"/>
  <c r="B80" i="14" s="1"/>
  <c r="B81" i="14" s="1"/>
  <c r="B82" i="14" s="1"/>
  <c r="B83" i="14" s="1"/>
  <c r="B84" i="14" s="1"/>
  <c r="B85" i="14" s="1"/>
  <c r="B86" i="14" s="1"/>
  <c r="B87" i="14" s="1"/>
  <c r="B88" i="14" s="1"/>
  <c r="B89" i="14" s="1"/>
  <c r="B90" i="14" s="1"/>
  <c r="B91" i="14" s="1"/>
  <c r="B92" i="14" s="1"/>
  <c r="B93" i="14" s="1"/>
  <c r="B94" i="14" s="1"/>
  <c r="B95" i="14" s="1"/>
  <c r="B96" i="14" s="1"/>
  <c r="B97" i="14" s="1"/>
  <c r="B98" i="14" s="1"/>
  <c r="B99" i="14" s="1"/>
  <c r="B100" i="14" s="1"/>
  <c r="B101" i="14" s="1"/>
  <c r="B102" i="14" s="1"/>
  <c r="B103" i="14" s="1"/>
  <c r="B104" i="14" s="1"/>
  <c r="B105" i="14" s="1"/>
  <c r="B106" i="14" s="1"/>
  <c r="B107" i="14" s="1"/>
  <c r="B108" i="14" s="1"/>
  <c r="B109" i="14" s="1"/>
  <c r="B110" i="14" s="1"/>
  <c r="B111" i="14" s="1"/>
  <c r="B112" i="14" s="1"/>
  <c r="B113" i="14" s="1"/>
  <c r="B114" i="14" s="1"/>
  <c r="B115" i="14" s="1"/>
  <c r="B116" i="14" s="1"/>
  <c r="B117" i="14" s="1"/>
  <c r="B118" i="14" s="1"/>
  <c r="B119" i="14" s="1"/>
  <c r="B120" i="14" s="1"/>
  <c r="B121" i="14" s="1"/>
  <c r="B122" i="14" s="1"/>
  <c r="B123" i="14" s="1"/>
  <c r="B124" i="14" s="1"/>
  <c r="B125" i="14" s="1"/>
  <c r="B126" i="14" s="1"/>
  <c r="B127" i="14" s="1"/>
  <c r="B128" i="14" s="1"/>
  <c r="B129" i="14" s="1"/>
  <c r="B130" i="14" s="1"/>
  <c r="B131" i="14" s="1"/>
  <c r="B132" i="14" s="1"/>
  <c r="B133" i="14" s="1"/>
  <c r="B134" i="14" s="1"/>
  <c r="B135" i="14" s="1"/>
  <c r="B136" i="14" s="1"/>
  <c r="B137" i="14" s="1"/>
  <c r="B138" i="14" s="1"/>
  <c r="B139" i="14" s="1"/>
  <c r="B140" i="14" s="1"/>
  <c r="B141" i="14" s="1"/>
  <c r="B142" i="14" s="1"/>
  <c r="B143" i="14" s="1"/>
  <c r="B144" i="14" s="1"/>
  <c r="B145" i="14" s="1"/>
  <c r="B146" i="14" s="1"/>
  <c r="B147" i="14" s="1"/>
  <c r="B148" i="14" s="1"/>
  <c r="B149" i="14" s="1"/>
  <c r="B150" i="14" s="1"/>
  <c r="B151" i="14" s="1"/>
  <c r="B152" i="14" s="1"/>
  <c r="B153" i="14" s="1"/>
  <c r="B154" i="14" s="1"/>
  <c r="B155" i="14" s="1"/>
  <c r="B156" i="14" s="1"/>
  <c r="B157" i="14" s="1"/>
  <c r="B158" i="14" s="1"/>
  <c r="B159" i="14" s="1"/>
  <c r="B160" i="14" s="1"/>
  <c r="B161" i="14" s="1"/>
  <c r="B162" i="14" s="1"/>
  <c r="B163" i="14" s="1"/>
  <c r="B164" i="14" s="1"/>
  <c r="B165" i="14" s="1"/>
  <c r="B166" i="14" s="1"/>
  <c r="B167" i="14" s="1"/>
  <c r="B168" i="14" s="1"/>
  <c r="B169" i="14" s="1"/>
  <c r="B170" i="14" s="1"/>
  <c r="B171" i="14" s="1"/>
  <c r="B172" i="14" s="1"/>
  <c r="B173" i="14" s="1"/>
  <c r="B174" i="14" s="1"/>
  <c r="B175" i="14" s="1"/>
  <c r="B176" i="14" s="1"/>
  <c r="B177" i="14" s="1"/>
  <c r="B178" i="14" s="1"/>
  <c r="B179" i="14" s="1"/>
  <c r="B180" i="14" s="1"/>
  <c r="B181" i="14" s="1"/>
  <c r="B182" i="14" s="1"/>
  <c r="B183" i="14" s="1"/>
  <c r="B184" i="14" s="1"/>
  <c r="B185" i="14" s="1"/>
  <c r="B186" i="14" s="1"/>
  <c r="B187" i="14" s="1"/>
  <c r="B188" i="14" s="1"/>
  <c r="B189" i="14" s="1"/>
  <c r="B190" i="14" s="1"/>
  <c r="B191" i="14" s="1"/>
  <c r="B192" i="14" s="1"/>
  <c r="B193" i="14" s="1"/>
  <c r="B194" i="14" s="1"/>
  <c r="B195" i="14" s="1"/>
  <c r="B196" i="14" s="1"/>
  <c r="B197" i="14" s="1"/>
  <c r="B198" i="14" s="1"/>
  <c r="B199" i="14" s="1"/>
  <c r="B200" i="14" s="1"/>
  <c r="B201" i="14" s="1"/>
  <c r="B202" i="14" s="1"/>
  <c r="B203" i="14" s="1"/>
  <c r="B204" i="14" s="1"/>
  <c r="B205" i="14" s="1"/>
  <c r="B206" i="14" s="1"/>
  <c r="B207" i="14" s="1"/>
  <c r="B208" i="14" s="1"/>
  <c r="B209" i="14" s="1"/>
  <c r="B210" i="14" s="1"/>
  <c r="B211" i="14" s="1"/>
  <c r="B212" i="14" s="1"/>
  <c r="B213" i="14" s="1"/>
  <c r="B214" i="14" s="1"/>
  <c r="B215" i="14" s="1"/>
  <c r="B216" i="14" s="1"/>
  <c r="B217" i="14" s="1"/>
  <c r="B218" i="14" s="1"/>
  <c r="B219" i="14" s="1"/>
  <c r="B220" i="14" s="1"/>
  <c r="B221" i="14" s="1"/>
  <c r="B222" i="14" s="1"/>
  <c r="B223" i="14" s="1"/>
  <c r="B224" i="14" s="1"/>
  <c r="B225" i="14" s="1"/>
  <c r="B226" i="14" s="1"/>
  <c r="B227" i="14" s="1"/>
  <c r="B228" i="14" s="1"/>
  <c r="B229" i="14" s="1"/>
  <c r="B230" i="14" s="1"/>
  <c r="B231" i="14" s="1"/>
  <c r="B232" i="14" s="1"/>
  <c r="B233" i="14" s="1"/>
  <c r="B234" i="14" s="1"/>
  <c r="B235" i="14" s="1"/>
  <c r="B236" i="14" s="1"/>
  <c r="B237" i="14" s="1"/>
  <c r="B238" i="14" s="1"/>
  <c r="B239" i="14" s="1"/>
  <c r="B240" i="14" s="1"/>
  <c r="B241" i="14" s="1"/>
  <c r="B242" i="14" s="1"/>
  <c r="B243" i="14" s="1"/>
  <c r="B244" i="14" s="1"/>
  <c r="B245" i="14" s="1"/>
  <c r="B246" i="14" s="1"/>
  <c r="B247" i="14" s="1"/>
  <c r="B248" i="14" s="1"/>
  <c r="B249" i="14" s="1"/>
  <c r="B250" i="14" s="1"/>
  <c r="B251" i="14" s="1"/>
  <c r="B252" i="14" s="1"/>
  <c r="B253" i="14" s="1"/>
  <c r="B254" i="14" s="1"/>
  <c r="B255" i="14" s="1"/>
  <c r="B256" i="14" s="1"/>
  <c r="B257" i="14" s="1"/>
  <c r="B258" i="14" s="1"/>
  <c r="B259" i="14" s="1"/>
  <c r="B260" i="14" s="1"/>
  <c r="B261" i="14" s="1"/>
  <c r="B262" i="14" s="1"/>
  <c r="B263" i="14" s="1"/>
  <c r="B264" i="14" s="1"/>
  <c r="B265" i="14" s="1"/>
  <c r="B266" i="14" s="1"/>
  <c r="B267" i="14" s="1"/>
  <c r="B268" i="14" s="1"/>
  <c r="B269" i="14" s="1"/>
  <c r="B270" i="14" s="1"/>
  <c r="B271" i="14" s="1"/>
  <c r="B272" i="14" s="1"/>
  <c r="B273" i="14" s="1"/>
  <c r="B274" i="14" s="1"/>
  <c r="B275" i="14" s="1"/>
  <c r="B276" i="14" s="1"/>
  <c r="B277" i="14" s="1"/>
  <c r="B278" i="14" s="1"/>
  <c r="B279" i="14" s="1"/>
  <c r="B280" i="14" s="1"/>
  <c r="B281" i="14" s="1"/>
  <c r="B282" i="14" s="1"/>
  <c r="B283" i="14" s="1"/>
  <c r="B284" i="14" s="1"/>
  <c r="B285" i="14" s="1"/>
  <c r="B286" i="14" s="1"/>
  <c r="B287" i="14" s="1"/>
  <c r="B288" i="14" s="1"/>
  <c r="B289" i="14" s="1"/>
  <c r="B290" i="14" s="1"/>
  <c r="B291" i="14" s="1"/>
  <c r="B292" i="14" s="1"/>
  <c r="B293" i="14" s="1"/>
  <c r="B294" i="14" s="1"/>
  <c r="B295" i="14" s="1"/>
  <c r="B296" i="14" s="1"/>
  <c r="B297" i="14" s="1"/>
  <c r="B298" i="14" s="1"/>
  <c r="B299" i="14" s="1"/>
  <c r="B300" i="14" s="1"/>
  <c r="B301" i="14" s="1"/>
  <c r="B302" i="14" s="1"/>
  <c r="B303" i="14" s="1"/>
  <c r="B304" i="14" s="1"/>
  <c r="B305" i="14" s="1"/>
  <c r="B306" i="14" s="1"/>
  <c r="B307" i="14" s="1"/>
  <c r="B308" i="14" s="1"/>
  <c r="B309" i="14" s="1"/>
  <c r="B310" i="14" s="1"/>
  <c r="B311" i="14" s="1"/>
  <c r="B312" i="14" s="1"/>
  <c r="B313" i="14" s="1"/>
  <c r="B314" i="14" s="1"/>
  <c r="B315" i="14" s="1"/>
  <c r="B316" i="14" s="1"/>
  <c r="B317" i="14" s="1"/>
  <c r="B318" i="14" s="1"/>
  <c r="B319" i="14" s="1"/>
  <c r="B320" i="14" s="1"/>
  <c r="B321" i="14" s="1"/>
  <c r="B322" i="14" s="1"/>
  <c r="B323" i="14" s="1"/>
  <c r="B324" i="14" s="1"/>
  <c r="B325" i="14" s="1"/>
  <c r="B326" i="14" s="1"/>
  <c r="B327" i="14" s="1"/>
  <c r="B328" i="14" s="1"/>
  <c r="B329" i="14" s="1"/>
  <c r="B330" i="14" s="1"/>
  <c r="B331" i="14" s="1"/>
  <c r="B332" i="14" s="1"/>
  <c r="B333" i="14" s="1"/>
  <c r="B334" i="14" s="1"/>
  <c r="B335" i="14" s="1"/>
  <c r="B336" i="14" s="1"/>
  <c r="B337" i="14" s="1"/>
  <c r="B338" i="14" s="1"/>
  <c r="B339" i="14" s="1"/>
  <c r="B340" i="14" s="1"/>
  <c r="B341" i="14" s="1"/>
  <c r="B342" i="14" s="1"/>
  <c r="B343" i="14" s="1"/>
  <c r="B344" i="14" s="1"/>
  <c r="B345" i="14" s="1"/>
  <c r="B346" i="14" s="1"/>
  <c r="B347" i="14" s="1"/>
  <c r="B348" i="14" s="1"/>
  <c r="B349" i="14" s="1"/>
  <c r="B350" i="14" s="1"/>
  <c r="B351" i="14" s="1"/>
  <c r="B352" i="14" s="1"/>
  <c r="B353" i="14" s="1"/>
  <c r="B354" i="14" s="1"/>
  <c r="B355" i="14" s="1"/>
  <c r="B356" i="14" s="1"/>
  <c r="B357" i="14" s="1"/>
  <c r="B358" i="14" s="1"/>
  <c r="B359" i="14" s="1"/>
  <c r="B360" i="14" s="1"/>
  <c r="B361" i="14" s="1"/>
  <c r="B362" i="14" s="1"/>
  <c r="B363" i="14" s="1"/>
  <c r="B364" i="14" s="1"/>
  <c r="B365" i="14" s="1"/>
  <c r="B366" i="14" s="1"/>
  <c r="B367" i="14" s="1"/>
  <c r="B368" i="14" s="1"/>
  <c r="B369" i="14" s="1"/>
  <c r="B370" i="14" s="1"/>
  <c r="B371" i="14" s="1"/>
  <c r="B372" i="14" s="1"/>
  <c r="B373" i="14" s="1"/>
  <c r="B374" i="14" s="1"/>
  <c r="B375" i="14" s="1"/>
  <c r="B376" i="14" s="1"/>
  <c r="B377" i="14" s="1"/>
  <c r="B378" i="14" s="1"/>
  <c r="B379" i="14" s="1"/>
  <c r="B380" i="14" s="1"/>
  <c r="B381" i="14" s="1"/>
  <c r="B382" i="14" s="1"/>
  <c r="B383" i="14" s="1"/>
  <c r="B384" i="14" s="1"/>
  <c r="B385" i="14" s="1"/>
  <c r="B386" i="14" s="1"/>
  <c r="B387" i="14" s="1"/>
  <c r="B388" i="14" s="1"/>
  <c r="B389" i="14" s="1"/>
  <c r="B390" i="14" s="1"/>
  <c r="B391" i="14" s="1"/>
  <c r="B392" i="14" s="1"/>
  <c r="B393" i="14" s="1"/>
  <c r="B394" i="14" s="1"/>
  <c r="B395" i="14" s="1"/>
  <c r="B396" i="14" s="1"/>
  <c r="B397" i="14" s="1"/>
  <c r="B398" i="14" s="1"/>
  <c r="B399" i="14" s="1"/>
  <c r="B400" i="14" s="1"/>
  <c r="B401" i="14" s="1"/>
  <c r="B402" i="14" s="1"/>
  <c r="B403" i="14" s="1"/>
  <c r="B404" i="14" s="1"/>
  <c r="B405" i="14" s="1"/>
  <c r="B406" i="14" s="1"/>
  <c r="B407" i="14" s="1"/>
  <c r="B408" i="14" s="1"/>
  <c r="B409" i="14" s="1"/>
  <c r="B410" i="14" s="1"/>
  <c r="B411" i="14" s="1"/>
  <c r="B412" i="14" s="1"/>
  <c r="B413" i="14" s="1"/>
  <c r="B414" i="14" s="1"/>
  <c r="B415" i="14" s="1"/>
  <c r="B416" i="14" s="1"/>
  <c r="B417" i="14" s="1"/>
  <c r="B418" i="14" s="1"/>
  <c r="B419" i="14" s="1"/>
  <c r="B420" i="14" s="1"/>
  <c r="B421" i="14" s="1"/>
  <c r="B422" i="14" s="1"/>
  <c r="B423" i="14" s="1"/>
  <c r="B424" i="14" s="1"/>
  <c r="B425" i="14" s="1"/>
  <c r="B426" i="14" s="1"/>
  <c r="B427" i="14" s="1"/>
  <c r="B428" i="14" s="1"/>
  <c r="B429" i="14" s="1"/>
  <c r="B430" i="14" s="1"/>
  <c r="B431" i="14" s="1"/>
  <c r="B432" i="14" s="1"/>
  <c r="B433" i="14" s="1"/>
  <c r="B434" i="14" s="1"/>
  <c r="B435" i="14" s="1"/>
  <c r="B436" i="14" s="1"/>
  <c r="B437" i="14" s="1"/>
  <c r="B438" i="14" s="1"/>
  <c r="B439" i="14" s="1"/>
  <c r="B440" i="14" s="1"/>
  <c r="B441" i="14" s="1"/>
  <c r="B442" i="14" s="1"/>
  <c r="B443" i="14" s="1"/>
  <c r="B444" i="14" s="1"/>
  <c r="B445" i="14" s="1"/>
  <c r="B446" i="14" s="1"/>
  <c r="B447" i="14" s="1"/>
  <c r="B448" i="14" s="1"/>
  <c r="B449" i="14" s="1"/>
  <c r="B450" i="14" s="1"/>
  <c r="B451" i="14" s="1"/>
  <c r="B452" i="14" s="1"/>
  <c r="B453" i="14" s="1"/>
  <c r="B454" i="14" s="1"/>
  <c r="B455" i="14" s="1"/>
  <c r="B456" i="14" s="1"/>
  <c r="B457" i="14" s="1"/>
  <c r="B458" i="14" s="1"/>
  <c r="B459" i="14" s="1"/>
  <c r="B460" i="14" s="1"/>
  <c r="B461" i="14" s="1"/>
  <c r="B462" i="14" s="1"/>
  <c r="B463" i="14" s="1"/>
  <c r="B464" i="14" s="1"/>
  <c r="B465" i="14" s="1"/>
  <c r="B466" i="14" s="1"/>
  <c r="B467" i="14" s="1"/>
  <c r="B468" i="14" s="1"/>
  <c r="B469" i="14" s="1"/>
  <c r="B470" i="14" s="1"/>
  <c r="B471" i="14" s="1"/>
  <c r="B472" i="14" s="1"/>
  <c r="B473" i="14" s="1"/>
  <c r="B474" i="14" s="1"/>
  <c r="B475" i="14" s="1"/>
  <c r="B476" i="14" s="1"/>
  <c r="B477" i="14" s="1"/>
  <c r="B478" i="14" s="1"/>
  <c r="B479" i="14" s="1"/>
  <c r="B480" i="14" s="1"/>
  <c r="B481" i="14" s="1"/>
  <c r="B482" i="14" s="1"/>
  <c r="B483" i="14" s="1"/>
  <c r="B484" i="14" s="1"/>
  <c r="B485" i="14" s="1"/>
  <c r="B486" i="14" s="1"/>
  <c r="B487" i="14" s="1"/>
  <c r="B488" i="14" s="1"/>
  <c r="B489" i="14" s="1"/>
  <c r="B490" i="14" s="1"/>
  <c r="B491" i="14" s="1"/>
  <c r="B492" i="14" s="1"/>
  <c r="B493" i="14" s="1"/>
  <c r="B494" i="14" s="1"/>
  <c r="B495" i="14" s="1"/>
  <c r="B496" i="14" s="1"/>
  <c r="B497" i="14" s="1"/>
  <c r="B498" i="14" s="1"/>
  <c r="B499" i="14" s="1"/>
  <c r="B500" i="14" s="1"/>
  <c r="B501" i="14" s="1"/>
  <c r="B502" i="14" s="1"/>
  <c r="D7" i="13"/>
  <c r="F7" i="13"/>
  <c r="G7" i="13"/>
  <c r="N7" i="13" s="1"/>
  <c r="O7" i="13" s="1"/>
  <c r="AF10" i="12"/>
  <c r="AF15" i="12"/>
  <c r="AF24" i="12"/>
  <c r="AF29" i="12"/>
  <c r="AF30" i="12"/>
  <c r="AF31" i="12"/>
  <c r="AG31" i="12" a="1"/>
  <c r="AG31" i="12" s="1"/>
  <c r="AF28" i="12"/>
  <c r="AG28" i="12" a="1"/>
  <c r="AG28" i="12" s="1"/>
  <c r="AF27" i="12"/>
  <c r="AG27" i="12" a="1"/>
  <c r="AG27" i="12" s="1"/>
  <c r="AF26" i="12"/>
  <c r="AG26" i="12" a="1"/>
  <c r="AG26" i="12" s="1"/>
  <c r="AF17" i="12"/>
  <c r="AG17" i="12" a="1"/>
  <c r="AG17" i="12" s="1"/>
  <c r="AF25" i="12"/>
  <c r="AG25" i="12" a="1"/>
  <c r="AG25" i="12" s="1"/>
  <c r="AF18" i="12"/>
  <c r="AG18" i="12" a="1"/>
  <c r="AG18" i="12" s="1"/>
  <c r="AF23" i="12"/>
  <c r="AG23" i="12" a="1"/>
  <c r="AG23" i="12" s="1"/>
  <c r="AF22" i="12"/>
  <c r="AG22" i="12" a="1"/>
  <c r="AG22" i="12" s="1"/>
  <c r="AF21" i="12"/>
  <c r="AG21" i="12" a="1"/>
  <c r="AG21" i="12" s="1"/>
  <c r="AF19" i="12"/>
  <c r="AG19" i="12" a="1"/>
  <c r="AG19" i="12" s="1"/>
  <c r="AF16" i="12"/>
  <c r="AG16" i="12" a="1"/>
  <c r="AG16" i="12" s="1"/>
  <c r="AF14" i="12"/>
  <c r="AG14" i="12" a="1"/>
  <c r="AG14" i="12" s="1"/>
  <c r="AF13" i="12"/>
  <c r="AG13" i="12" a="1"/>
  <c r="AG13" i="12" s="1"/>
  <c r="AF12" i="12"/>
  <c r="AG12" i="12" a="1"/>
  <c r="AG12" i="12" s="1"/>
  <c r="AF11" i="12"/>
  <c r="AG11" i="12" a="1"/>
  <c r="AG11" i="12" s="1"/>
  <c r="AF9" i="12"/>
  <c r="AG9" i="12" a="1"/>
  <c r="AG9" i="12" s="1"/>
  <c r="G8" i="13"/>
  <c r="N8" i="13" s="1"/>
  <c r="O8" i="13" s="1"/>
  <c r="G9" i="13"/>
  <c r="N9" i="13" s="1"/>
  <c r="O9" i="13" s="1"/>
  <c r="G10" i="13"/>
  <c r="N10" i="13" s="1"/>
  <c r="O10" i="13" s="1"/>
  <c r="G11" i="13"/>
  <c r="N11" i="13" s="1"/>
  <c r="O11" i="13" s="1"/>
  <c r="G12" i="13"/>
  <c r="N12" i="13" s="1"/>
  <c r="O12" i="13" s="1"/>
  <c r="G13" i="13"/>
  <c r="N13" i="13" s="1"/>
  <c r="O13" i="13" s="1"/>
  <c r="G14" i="13"/>
  <c r="N14" i="13" s="1"/>
  <c r="O14" i="13" s="1"/>
  <c r="G15" i="13"/>
  <c r="N15" i="13" s="1"/>
  <c r="O15" i="13" s="1"/>
  <c r="G16" i="13"/>
  <c r="N16" i="13" s="1"/>
  <c r="O16" i="13" s="1"/>
  <c r="G17" i="13"/>
  <c r="N17" i="13" s="1"/>
  <c r="O17" i="13" s="1"/>
  <c r="G18" i="13"/>
  <c r="N18" i="13" s="1"/>
  <c r="O18" i="13" s="1"/>
  <c r="G19" i="13"/>
  <c r="N19" i="13" s="1"/>
  <c r="O19" i="13" s="1"/>
  <c r="G20" i="13"/>
  <c r="N20" i="13" s="1"/>
  <c r="O20" i="13" s="1"/>
  <c r="G21" i="13"/>
  <c r="N21" i="13" s="1"/>
  <c r="O21" i="13" s="1"/>
  <c r="G22" i="13"/>
  <c r="N22" i="13" s="1"/>
  <c r="O22" i="13" s="1"/>
  <c r="G23" i="13"/>
  <c r="N23" i="13" s="1"/>
  <c r="O23" i="13" s="1"/>
  <c r="G24" i="13"/>
  <c r="N24" i="13" s="1"/>
  <c r="O24" i="13" s="1"/>
  <c r="G25" i="13"/>
  <c r="N25" i="13" s="1"/>
  <c r="O25" i="13" s="1"/>
  <c r="G26" i="13"/>
  <c r="N26" i="13" s="1"/>
  <c r="O26" i="13" s="1"/>
  <c r="G27" i="13"/>
  <c r="N27" i="13" s="1"/>
  <c r="O27" i="13" s="1"/>
  <c r="G28" i="13"/>
  <c r="N28" i="13" s="1"/>
  <c r="O28" i="13" s="1"/>
  <c r="G29" i="13"/>
  <c r="N29" i="13" s="1"/>
  <c r="O29" i="13" s="1"/>
  <c r="G30" i="13"/>
  <c r="N30" i="13" s="1"/>
  <c r="O30" i="13" s="1"/>
  <c r="G31" i="13"/>
  <c r="N31" i="13" s="1"/>
  <c r="O31" i="13" s="1"/>
  <c r="G32" i="13"/>
  <c r="N32" i="13" s="1"/>
  <c r="O32" i="13" s="1"/>
  <c r="G33" i="13"/>
  <c r="N33" i="13" s="1"/>
  <c r="O33" i="13" s="1"/>
  <c r="G34" i="13"/>
  <c r="N34" i="13" s="1"/>
  <c r="O34" i="13" s="1"/>
  <c r="G35" i="13"/>
  <c r="N35" i="13" s="1"/>
  <c r="O35" i="13" s="1"/>
  <c r="G36" i="13"/>
  <c r="N36" i="13" s="1"/>
  <c r="O36" i="13" s="1"/>
  <c r="G37" i="13"/>
  <c r="N37" i="13" s="1"/>
  <c r="O37" i="13" s="1"/>
  <c r="G38" i="13"/>
  <c r="N38" i="13" s="1"/>
  <c r="O38" i="13" s="1"/>
  <c r="G39" i="13"/>
  <c r="N39" i="13" s="1"/>
  <c r="O39" i="13" s="1"/>
  <c r="G40" i="13"/>
  <c r="N40" i="13" s="1"/>
  <c r="O40" i="13" s="1"/>
  <c r="G41" i="13"/>
  <c r="N41" i="13" s="1"/>
  <c r="O41" i="13" s="1"/>
  <c r="G42" i="13"/>
  <c r="N42" i="13" s="1"/>
  <c r="O42" i="13" s="1"/>
  <c r="G43" i="13"/>
  <c r="N43" i="13" s="1"/>
  <c r="O43" i="13" s="1"/>
  <c r="G44" i="13"/>
  <c r="N44" i="13" s="1"/>
  <c r="O44" i="13" s="1"/>
  <c r="G45" i="13"/>
  <c r="N45" i="13" s="1"/>
  <c r="O45" i="13" s="1"/>
  <c r="G46" i="13"/>
  <c r="N46" i="13" s="1"/>
  <c r="O46" i="13" s="1"/>
  <c r="G47" i="13"/>
  <c r="N47" i="13" s="1"/>
  <c r="O47" i="13" s="1"/>
  <c r="G48" i="13"/>
  <c r="N48" i="13" s="1"/>
  <c r="O48" i="13" s="1"/>
  <c r="G49" i="13"/>
  <c r="N49" i="13" s="1"/>
  <c r="O49" i="13" s="1"/>
  <c r="G50" i="13"/>
  <c r="N50" i="13" s="1"/>
  <c r="O50" i="13" s="1"/>
  <c r="G51" i="13"/>
  <c r="N51" i="13" s="1"/>
  <c r="O51" i="13" s="1"/>
  <c r="G52" i="13"/>
  <c r="N52" i="13" s="1"/>
  <c r="O52" i="13" s="1"/>
  <c r="G53" i="13"/>
  <c r="N53" i="13" s="1"/>
  <c r="O53" i="13" s="1"/>
  <c r="G54" i="13"/>
  <c r="N54" i="13" s="1"/>
  <c r="O54" i="13" s="1"/>
  <c r="G55" i="13"/>
  <c r="N55" i="13" s="1"/>
  <c r="O55" i="13" s="1"/>
  <c r="G56" i="13"/>
  <c r="N56" i="13" s="1"/>
  <c r="O56" i="13" s="1"/>
  <c r="G57" i="13"/>
  <c r="N57" i="13" s="1"/>
  <c r="O57" i="13" s="1"/>
  <c r="G58" i="13"/>
  <c r="N58" i="13" s="1"/>
  <c r="O58" i="13" s="1"/>
  <c r="G59" i="13"/>
  <c r="N59" i="13" s="1"/>
  <c r="O59" i="13" s="1"/>
  <c r="G60" i="13"/>
  <c r="N60" i="13" s="1"/>
  <c r="O60" i="13" s="1"/>
  <c r="G61" i="13"/>
  <c r="N61" i="13" s="1"/>
  <c r="O61" i="13" s="1"/>
  <c r="G62" i="13"/>
  <c r="N62" i="13" s="1"/>
  <c r="O62" i="13" s="1"/>
  <c r="G63" i="13"/>
  <c r="N63" i="13" s="1"/>
  <c r="O63" i="13" s="1"/>
  <c r="G64" i="13"/>
  <c r="N64" i="13" s="1"/>
  <c r="O64" i="13" s="1"/>
  <c r="G65" i="13"/>
  <c r="N65" i="13" s="1"/>
  <c r="O65" i="13" s="1"/>
  <c r="G66" i="13"/>
  <c r="N66" i="13" s="1"/>
  <c r="O66" i="13" s="1"/>
  <c r="G67" i="13"/>
  <c r="N67" i="13" s="1"/>
  <c r="O67" i="13" s="1"/>
  <c r="G68" i="13"/>
  <c r="N68" i="13" s="1"/>
  <c r="O68" i="13" s="1"/>
  <c r="G69" i="13"/>
  <c r="N69" i="13" s="1"/>
  <c r="O69" i="13" s="1"/>
  <c r="G70" i="13"/>
  <c r="N70" i="13" s="1"/>
  <c r="O70" i="13" s="1"/>
  <c r="G71" i="13"/>
  <c r="N71" i="13" s="1"/>
  <c r="O71" i="13" s="1"/>
  <c r="G72" i="13"/>
  <c r="N72" i="13" s="1"/>
  <c r="O72" i="13" s="1"/>
  <c r="G73" i="13"/>
  <c r="N73" i="13" s="1"/>
  <c r="O73" i="13" s="1"/>
  <c r="G74" i="13"/>
  <c r="N74" i="13" s="1"/>
  <c r="O74" i="13" s="1"/>
  <c r="G75" i="13"/>
  <c r="N75" i="13" s="1"/>
  <c r="O75" i="13" s="1"/>
  <c r="G76" i="13"/>
  <c r="N76" i="13" s="1"/>
  <c r="O76" i="13" s="1"/>
  <c r="G77" i="13"/>
  <c r="N77" i="13" s="1"/>
  <c r="O77" i="13" s="1"/>
  <c r="G78" i="13"/>
  <c r="N78" i="13" s="1"/>
  <c r="O78" i="13" s="1"/>
  <c r="G79" i="13"/>
  <c r="N79" i="13" s="1"/>
  <c r="O79" i="13" s="1"/>
  <c r="G80" i="13"/>
  <c r="N80" i="13" s="1"/>
  <c r="O80" i="13" s="1"/>
  <c r="G81" i="13"/>
  <c r="N81" i="13" s="1"/>
  <c r="O81" i="13" s="1"/>
  <c r="G82" i="13"/>
  <c r="N82" i="13" s="1"/>
  <c r="O82" i="13" s="1"/>
  <c r="G83" i="13"/>
  <c r="N83" i="13" s="1"/>
  <c r="O83" i="13" s="1"/>
  <c r="G84" i="13"/>
  <c r="N84" i="13" s="1"/>
  <c r="O84" i="13" s="1"/>
  <c r="G85" i="13"/>
  <c r="N85" i="13" s="1"/>
  <c r="O85" i="13" s="1"/>
  <c r="G86" i="13"/>
  <c r="N86" i="13" s="1"/>
  <c r="O86" i="13" s="1"/>
  <c r="G87" i="13"/>
  <c r="N87" i="13" s="1"/>
  <c r="O87" i="13" s="1"/>
  <c r="G88" i="13"/>
  <c r="N88" i="13" s="1"/>
  <c r="O88" i="13" s="1"/>
  <c r="G89" i="13"/>
  <c r="N89" i="13" s="1"/>
  <c r="O89" i="13" s="1"/>
  <c r="G90" i="13"/>
  <c r="N90" i="13" s="1"/>
  <c r="O90" i="13" s="1"/>
  <c r="G91" i="13"/>
  <c r="N91" i="13" s="1"/>
  <c r="O91" i="13" s="1"/>
  <c r="G92" i="13"/>
  <c r="N92" i="13" s="1"/>
  <c r="O92" i="13" s="1"/>
  <c r="G93" i="13"/>
  <c r="N93" i="13" s="1"/>
  <c r="O93" i="13" s="1"/>
  <c r="G94" i="13"/>
  <c r="N94" i="13" s="1"/>
  <c r="O94" i="13" s="1"/>
  <c r="G95" i="13"/>
  <c r="N95" i="13" s="1"/>
  <c r="O95" i="13" s="1"/>
  <c r="G96" i="13"/>
  <c r="N96" i="13" s="1"/>
  <c r="O96" i="13" s="1"/>
  <c r="G97" i="13"/>
  <c r="N97" i="13" s="1"/>
  <c r="O97" i="13" s="1"/>
  <c r="G98" i="13"/>
  <c r="N98" i="13" s="1"/>
  <c r="O98" i="13" s="1"/>
  <c r="G99" i="13"/>
  <c r="N99" i="13" s="1"/>
  <c r="O99" i="13" s="1"/>
  <c r="G100" i="13"/>
  <c r="N100" i="13" s="1"/>
  <c r="O100" i="13" s="1"/>
  <c r="G101" i="13"/>
  <c r="N101" i="13" s="1"/>
  <c r="O101" i="13" s="1"/>
  <c r="G102" i="13"/>
  <c r="N102" i="13" s="1"/>
  <c r="O102" i="13" s="1"/>
  <c r="G103" i="13"/>
  <c r="N103" i="13" s="1"/>
  <c r="O103" i="13" s="1"/>
  <c r="G104" i="13"/>
  <c r="N104" i="13" s="1"/>
  <c r="O104" i="13" s="1"/>
  <c r="G105" i="13"/>
  <c r="N105" i="13" s="1"/>
  <c r="O105" i="13" s="1"/>
  <c r="G106" i="13"/>
  <c r="N106" i="13" s="1"/>
  <c r="O106" i="13" s="1"/>
  <c r="G107" i="13"/>
  <c r="N107" i="13" s="1"/>
  <c r="O107" i="13" s="1"/>
  <c r="G108" i="13"/>
  <c r="N108" i="13" s="1"/>
  <c r="O108" i="13" s="1"/>
  <c r="G109" i="13"/>
  <c r="N109" i="13" s="1"/>
  <c r="O109" i="13" s="1"/>
  <c r="G110" i="13"/>
  <c r="N110" i="13" s="1"/>
  <c r="O110" i="13" s="1"/>
  <c r="G111" i="13"/>
  <c r="N111" i="13" s="1"/>
  <c r="O111" i="13" s="1"/>
  <c r="G112" i="13"/>
  <c r="N112" i="13" s="1"/>
  <c r="O112" i="13" s="1"/>
  <c r="G113" i="13"/>
  <c r="N113" i="13" s="1"/>
  <c r="O113" i="13" s="1"/>
  <c r="G114" i="13"/>
  <c r="N114" i="13" s="1"/>
  <c r="O114" i="13" s="1"/>
  <c r="G115" i="13"/>
  <c r="N115" i="13" s="1"/>
  <c r="O115" i="13" s="1"/>
  <c r="G116" i="13"/>
  <c r="N116" i="13" s="1"/>
  <c r="O116" i="13" s="1"/>
  <c r="G117" i="13"/>
  <c r="N117" i="13" s="1"/>
  <c r="O117" i="13" s="1"/>
  <c r="G118" i="13"/>
  <c r="N118" i="13" s="1"/>
  <c r="O118" i="13" s="1"/>
  <c r="G119" i="13"/>
  <c r="N119" i="13" s="1"/>
  <c r="O119" i="13" s="1"/>
  <c r="G120" i="13"/>
  <c r="N120" i="13" s="1"/>
  <c r="O120" i="13" s="1"/>
  <c r="G121" i="13"/>
  <c r="N121" i="13" s="1"/>
  <c r="O121" i="13" s="1"/>
  <c r="G122" i="13"/>
  <c r="N122" i="13" s="1"/>
  <c r="O122" i="13" s="1"/>
  <c r="G123" i="13"/>
  <c r="N123" i="13" s="1"/>
  <c r="O123" i="13" s="1"/>
  <c r="G124" i="13"/>
  <c r="N124" i="13" s="1"/>
  <c r="O124" i="13" s="1"/>
  <c r="G125" i="13"/>
  <c r="N125" i="13" s="1"/>
  <c r="O125" i="13" s="1"/>
  <c r="G126" i="13"/>
  <c r="N126" i="13" s="1"/>
  <c r="O126" i="13" s="1"/>
  <c r="G127" i="13"/>
  <c r="N127" i="13" s="1"/>
  <c r="O127" i="13" s="1"/>
  <c r="G128" i="13"/>
  <c r="N128" i="13" s="1"/>
  <c r="O128" i="13" s="1"/>
  <c r="G129" i="13"/>
  <c r="N129" i="13" s="1"/>
  <c r="O129" i="13" s="1"/>
  <c r="G130" i="13"/>
  <c r="N130" i="13" s="1"/>
  <c r="O130" i="13" s="1"/>
  <c r="G131" i="13"/>
  <c r="N131" i="13" s="1"/>
  <c r="O131" i="13" s="1"/>
  <c r="G132" i="13"/>
  <c r="N132" i="13" s="1"/>
  <c r="O132" i="13" s="1"/>
  <c r="G133" i="13"/>
  <c r="N133" i="13" s="1"/>
  <c r="O133" i="13" s="1"/>
  <c r="G134" i="13"/>
  <c r="N134" i="13" s="1"/>
  <c r="O134" i="13" s="1"/>
  <c r="G135" i="13"/>
  <c r="N135" i="13" s="1"/>
  <c r="O135" i="13" s="1"/>
  <c r="G136" i="13"/>
  <c r="N136" i="13" s="1"/>
  <c r="O136" i="13" s="1"/>
  <c r="G137" i="13"/>
  <c r="N137" i="13" s="1"/>
  <c r="O137" i="13" s="1"/>
  <c r="G138" i="13"/>
  <c r="N138" i="13" s="1"/>
  <c r="O138" i="13" s="1"/>
  <c r="G139" i="13"/>
  <c r="N139" i="13" s="1"/>
  <c r="O139" i="13" s="1"/>
  <c r="G140" i="13"/>
  <c r="N140" i="13" s="1"/>
  <c r="O140" i="13" s="1"/>
  <c r="G141" i="13"/>
  <c r="N141" i="13" s="1"/>
  <c r="O141" i="13" s="1"/>
  <c r="G142" i="13"/>
  <c r="N142" i="13" s="1"/>
  <c r="O142" i="13" s="1"/>
  <c r="G143" i="13"/>
  <c r="N143" i="13" s="1"/>
  <c r="O143" i="13" s="1"/>
  <c r="G144" i="13"/>
  <c r="N144" i="13" s="1"/>
  <c r="O144" i="13" s="1"/>
  <c r="G145" i="13"/>
  <c r="N145" i="13" s="1"/>
  <c r="O145" i="13" s="1"/>
  <c r="G146" i="13"/>
  <c r="N146" i="13" s="1"/>
  <c r="O146" i="13" s="1"/>
  <c r="G147" i="13"/>
  <c r="N147" i="13" s="1"/>
  <c r="O147" i="13" s="1"/>
  <c r="G148" i="13"/>
  <c r="N148" i="13" s="1"/>
  <c r="O148" i="13" s="1"/>
  <c r="G149" i="13"/>
  <c r="N149" i="13" s="1"/>
  <c r="O149" i="13" s="1"/>
  <c r="G150" i="13"/>
  <c r="N150" i="13" s="1"/>
  <c r="O150" i="13" s="1"/>
  <c r="G151" i="13"/>
  <c r="N151" i="13" s="1"/>
  <c r="O151" i="13" s="1"/>
  <c r="G152" i="13"/>
  <c r="N152" i="13" s="1"/>
  <c r="O152" i="13" s="1"/>
  <c r="G153" i="13"/>
  <c r="N153" i="13" s="1"/>
  <c r="O153" i="13" s="1"/>
  <c r="G154" i="13"/>
  <c r="N154" i="13" s="1"/>
  <c r="O154" i="13" s="1"/>
  <c r="G155" i="13"/>
  <c r="N155" i="13" s="1"/>
  <c r="O155" i="13" s="1"/>
  <c r="G156" i="13"/>
  <c r="N156" i="13" s="1"/>
  <c r="O156" i="13" s="1"/>
  <c r="G157" i="13"/>
  <c r="N157" i="13" s="1"/>
  <c r="O157" i="13" s="1"/>
  <c r="G158" i="13"/>
  <c r="N158" i="13" s="1"/>
  <c r="O158" i="13" s="1"/>
  <c r="G159" i="13"/>
  <c r="N159" i="13" s="1"/>
  <c r="O159" i="13" s="1"/>
  <c r="G160" i="13"/>
  <c r="N160" i="13" s="1"/>
  <c r="O160" i="13" s="1"/>
  <c r="G161" i="13"/>
  <c r="N161" i="13" s="1"/>
  <c r="O161" i="13" s="1"/>
  <c r="G162" i="13"/>
  <c r="N162" i="13" s="1"/>
  <c r="O162" i="13" s="1"/>
  <c r="G163" i="13"/>
  <c r="N163" i="13" s="1"/>
  <c r="O163" i="13" s="1"/>
  <c r="G164" i="13"/>
  <c r="N164" i="13" s="1"/>
  <c r="O164" i="13" s="1"/>
  <c r="G165" i="13"/>
  <c r="N165" i="13" s="1"/>
  <c r="O165" i="13" s="1"/>
  <c r="G166" i="13"/>
  <c r="N166" i="13" s="1"/>
  <c r="O166" i="13" s="1"/>
  <c r="G167" i="13"/>
  <c r="N167" i="13" s="1"/>
  <c r="O167" i="13" s="1"/>
  <c r="G168" i="13"/>
  <c r="N168" i="13" s="1"/>
  <c r="O168" i="13" s="1"/>
  <c r="G169" i="13"/>
  <c r="N169" i="13" s="1"/>
  <c r="O169" i="13" s="1"/>
  <c r="G170" i="13"/>
  <c r="N170" i="13" s="1"/>
  <c r="O170" i="13" s="1"/>
  <c r="G171" i="13"/>
  <c r="N171" i="13" s="1"/>
  <c r="O171" i="13" s="1"/>
  <c r="G172" i="13"/>
  <c r="N172" i="13" s="1"/>
  <c r="O172" i="13" s="1"/>
  <c r="G173" i="13"/>
  <c r="N173" i="13" s="1"/>
  <c r="O173" i="13" s="1"/>
  <c r="G174" i="13"/>
  <c r="N174" i="13" s="1"/>
  <c r="O174" i="13" s="1"/>
  <c r="G175" i="13"/>
  <c r="N175" i="13" s="1"/>
  <c r="O175" i="13" s="1"/>
  <c r="G176" i="13"/>
  <c r="N176" i="13" s="1"/>
  <c r="O176" i="13" s="1"/>
  <c r="G177" i="13"/>
  <c r="N177" i="13" s="1"/>
  <c r="O177" i="13" s="1"/>
  <c r="G178" i="13"/>
  <c r="N178" i="13" s="1"/>
  <c r="O178" i="13" s="1"/>
  <c r="G179" i="13"/>
  <c r="N179" i="13" s="1"/>
  <c r="O179" i="13" s="1"/>
  <c r="G180" i="13"/>
  <c r="N180" i="13" s="1"/>
  <c r="O180" i="13" s="1"/>
  <c r="G181" i="13"/>
  <c r="N181" i="13" s="1"/>
  <c r="O181" i="13" s="1"/>
  <c r="G182" i="13"/>
  <c r="N182" i="13" s="1"/>
  <c r="O182" i="13" s="1"/>
  <c r="G183" i="13"/>
  <c r="N183" i="13" s="1"/>
  <c r="O183" i="13" s="1"/>
  <c r="G184" i="13"/>
  <c r="N184" i="13" s="1"/>
  <c r="O184" i="13" s="1"/>
  <c r="G185" i="13"/>
  <c r="N185" i="13" s="1"/>
  <c r="O185" i="13" s="1"/>
  <c r="G186" i="13"/>
  <c r="N186" i="13" s="1"/>
  <c r="O186" i="13" s="1"/>
  <c r="G187" i="13"/>
  <c r="N187" i="13" s="1"/>
  <c r="O187" i="13" s="1"/>
  <c r="G188" i="13"/>
  <c r="N188" i="13" s="1"/>
  <c r="O188" i="13" s="1"/>
  <c r="G189" i="13"/>
  <c r="N189" i="13" s="1"/>
  <c r="O189" i="13" s="1"/>
  <c r="G190" i="13"/>
  <c r="N190" i="13" s="1"/>
  <c r="O190" i="13" s="1"/>
  <c r="G191" i="13"/>
  <c r="N191" i="13" s="1"/>
  <c r="O191" i="13" s="1"/>
  <c r="G192" i="13"/>
  <c r="N192" i="13" s="1"/>
  <c r="O192" i="13" s="1"/>
  <c r="G193" i="13"/>
  <c r="N193" i="13" s="1"/>
  <c r="O193" i="13" s="1"/>
  <c r="G194" i="13"/>
  <c r="N194" i="13" s="1"/>
  <c r="O194" i="13" s="1"/>
  <c r="G195" i="13"/>
  <c r="N195" i="13" s="1"/>
  <c r="O195" i="13" s="1"/>
  <c r="G196" i="13"/>
  <c r="N196" i="13" s="1"/>
  <c r="O196" i="13" s="1"/>
  <c r="G197" i="13"/>
  <c r="N197" i="13" s="1"/>
  <c r="O197" i="13" s="1"/>
  <c r="G198" i="13"/>
  <c r="N198" i="13" s="1"/>
  <c r="O198" i="13" s="1"/>
  <c r="G199" i="13"/>
  <c r="N199" i="13" s="1"/>
  <c r="O199" i="13" s="1"/>
  <c r="G200" i="13"/>
  <c r="N200" i="13" s="1"/>
  <c r="O200" i="13" s="1"/>
  <c r="G201" i="13"/>
  <c r="N201" i="13" s="1"/>
  <c r="O201" i="13" s="1"/>
  <c r="G202" i="13"/>
  <c r="N202" i="13" s="1"/>
  <c r="O202" i="13" s="1"/>
  <c r="G203" i="13"/>
  <c r="N203" i="13" s="1"/>
  <c r="O203" i="13" s="1"/>
  <c r="G204" i="13"/>
  <c r="N204" i="13" s="1"/>
  <c r="O204" i="13" s="1"/>
  <c r="G205" i="13"/>
  <c r="N205" i="13" s="1"/>
  <c r="O205" i="13" s="1"/>
  <c r="G206" i="13"/>
  <c r="N206" i="13" s="1"/>
  <c r="O206" i="13" s="1"/>
  <c r="G207" i="13"/>
  <c r="N207" i="13" s="1"/>
  <c r="O207" i="13" s="1"/>
  <c r="G208" i="13"/>
  <c r="N208" i="13" s="1"/>
  <c r="O208" i="13" s="1"/>
  <c r="G209" i="13"/>
  <c r="N209" i="13" s="1"/>
  <c r="O209" i="13" s="1"/>
  <c r="G210" i="13"/>
  <c r="N210" i="13" s="1"/>
  <c r="O210" i="13" s="1"/>
  <c r="G211" i="13"/>
  <c r="N211" i="13" s="1"/>
  <c r="O211" i="13" s="1"/>
  <c r="G212" i="13"/>
  <c r="N212" i="13" s="1"/>
  <c r="O212" i="13" s="1"/>
  <c r="G213" i="13"/>
  <c r="N213" i="13" s="1"/>
  <c r="O213" i="13" s="1"/>
  <c r="G214" i="13"/>
  <c r="N214" i="13" s="1"/>
  <c r="O214" i="13" s="1"/>
  <c r="G215" i="13"/>
  <c r="N215" i="13" s="1"/>
  <c r="O215" i="13" s="1"/>
  <c r="G216" i="13"/>
  <c r="N216" i="13" s="1"/>
  <c r="O216" i="13" s="1"/>
  <c r="G217" i="13"/>
  <c r="N217" i="13" s="1"/>
  <c r="O217" i="13" s="1"/>
  <c r="G218" i="13"/>
  <c r="N218" i="13" s="1"/>
  <c r="O218" i="13" s="1"/>
  <c r="G219" i="13"/>
  <c r="N219" i="13" s="1"/>
  <c r="O219" i="13" s="1"/>
  <c r="G220" i="13"/>
  <c r="N220" i="13" s="1"/>
  <c r="O220" i="13" s="1"/>
  <c r="G221" i="13"/>
  <c r="N221" i="13" s="1"/>
  <c r="O221" i="13" s="1"/>
  <c r="G222" i="13"/>
  <c r="N222" i="13" s="1"/>
  <c r="O222" i="13" s="1"/>
  <c r="G223" i="13"/>
  <c r="N223" i="13" s="1"/>
  <c r="O223" i="13" s="1"/>
  <c r="G224" i="13"/>
  <c r="N224" i="13" s="1"/>
  <c r="O224" i="13" s="1"/>
  <c r="G225" i="13"/>
  <c r="N225" i="13" s="1"/>
  <c r="O225" i="13" s="1"/>
  <c r="G226" i="13"/>
  <c r="N226" i="13" s="1"/>
  <c r="O226" i="13" s="1"/>
  <c r="G227" i="13"/>
  <c r="N227" i="13" s="1"/>
  <c r="O227" i="13" s="1"/>
  <c r="G228" i="13"/>
  <c r="N228" i="13" s="1"/>
  <c r="O228" i="13" s="1"/>
  <c r="G229" i="13"/>
  <c r="N229" i="13" s="1"/>
  <c r="O229" i="13" s="1"/>
  <c r="G230" i="13"/>
  <c r="N230" i="13" s="1"/>
  <c r="O230" i="13" s="1"/>
  <c r="G231" i="13"/>
  <c r="N231" i="13" s="1"/>
  <c r="O231" i="13" s="1"/>
  <c r="G232" i="13"/>
  <c r="N232" i="13" s="1"/>
  <c r="O232" i="13" s="1"/>
  <c r="G233" i="13"/>
  <c r="N233" i="13" s="1"/>
  <c r="O233" i="13" s="1"/>
  <c r="G234" i="13"/>
  <c r="N234" i="13" s="1"/>
  <c r="O234" i="13" s="1"/>
  <c r="G235" i="13"/>
  <c r="N235" i="13" s="1"/>
  <c r="O235" i="13" s="1"/>
  <c r="G236" i="13"/>
  <c r="N236" i="13" s="1"/>
  <c r="O236" i="13" s="1"/>
  <c r="G237" i="13"/>
  <c r="N237" i="13" s="1"/>
  <c r="O237" i="13" s="1"/>
  <c r="G238" i="13"/>
  <c r="N238" i="13" s="1"/>
  <c r="O238" i="13" s="1"/>
  <c r="G239" i="13"/>
  <c r="N239" i="13" s="1"/>
  <c r="O239" i="13" s="1"/>
  <c r="G240" i="13"/>
  <c r="N240" i="13" s="1"/>
  <c r="O240" i="13" s="1"/>
  <c r="G241" i="13"/>
  <c r="N241" i="13" s="1"/>
  <c r="O241" i="13" s="1"/>
  <c r="G242" i="13"/>
  <c r="N242" i="13" s="1"/>
  <c r="O242" i="13" s="1"/>
  <c r="G243" i="13"/>
  <c r="N243" i="13" s="1"/>
  <c r="O243" i="13" s="1"/>
  <c r="G244" i="13"/>
  <c r="N244" i="13" s="1"/>
  <c r="O244" i="13" s="1"/>
  <c r="G245" i="13"/>
  <c r="N245" i="13" s="1"/>
  <c r="O245" i="13" s="1"/>
  <c r="G246" i="13"/>
  <c r="N246" i="13" s="1"/>
  <c r="O246" i="13" s="1"/>
  <c r="G247" i="13"/>
  <c r="N247" i="13" s="1"/>
  <c r="O247" i="13" s="1"/>
  <c r="G248" i="13"/>
  <c r="N248" i="13" s="1"/>
  <c r="O248" i="13" s="1"/>
  <c r="G249" i="13"/>
  <c r="N249" i="13" s="1"/>
  <c r="O249" i="13" s="1"/>
  <c r="G250" i="13"/>
  <c r="N250" i="13" s="1"/>
  <c r="O250" i="13" s="1"/>
  <c r="G251" i="13"/>
  <c r="N251" i="13" s="1"/>
  <c r="O251" i="13" s="1"/>
  <c r="G252" i="13"/>
  <c r="N252" i="13" s="1"/>
  <c r="O252" i="13" s="1"/>
  <c r="F8" i="13"/>
  <c r="F9" i="13"/>
  <c r="F10" i="13"/>
  <c r="F11" i="13"/>
  <c r="J11" i="13" s="1"/>
  <c r="K11" i="13" s="1"/>
  <c r="F12" i="13"/>
  <c r="F13" i="13"/>
  <c r="F14" i="13"/>
  <c r="F15" i="13"/>
  <c r="J15" i="13" s="1"/>
  <c r="K15" i="13" s="1"/>
  <c r="F16" i="13"/>
  <c r="F17" i="13"/>
  <c r="F18" i="13"/>
  <c r="F19" i="13"/>
  <c r="J19" i="13" s="1"/>
  <c r="K19" i="13" s="1"/>
  <c r="F20" i="13"/>
  <c r="F21" i="13"/>
  <c r="F22" i="13"/>
  <c r="J22" i="13" s="1"/>
  <c r="K22" i="13" s="1"/>
  <c r="F23" i="13"/>
  <c r="J23" i="13" s="1"/>
  <c r="K23" i="13" s="1"/>
  <c r="F24" i="13"/>
  <c r="F25" i="13"/>
  <c r="F26" i="13"/>
  <c r="F27" i="13"/>
  <c r="J27" i="13" s="1"/>
  <c r="K27" i="13" s="1"/>
  <c r="F28" i="13"/>
  <c r="F29" i="13"/>
  <c r="F30" i="13"/>
  <c r="J30" i="13" s="1"/>
  <c r="K30" i="13" s="1"/>
  <c r="F31" i="13"/>
  <c r="J31" i="13" s="1"/>
  <c r="K31" i="13" s="1"/>
  <c r="F32" i="13"/>
  <c r="F33" i="13"/>
  <c r="F34" i="13"/>
  <c r="F35" i="13"/>
  <c r="J35" i="13" s="1"/>
  <c r="K35" i="13" s="1"/>
  <c r="F36" i="13"/>
  <c r="F37" i="13"/>
  <c r="F38" i="13"/>
  <c r="J38" i="13" s="1"/>
  <c r="K38" i="13" s="1"/>
  <c r="F39" i="13"/>
  <c r="J39" i="13" s="1"/>
  <c r="K39" i="13" s="1"/>
  <c r="F40" i="13"/>
  <c r="F41" i="13"/>
  <c r="F42" i="13"/>
  <c r="F43" i="13"/>
  <c r="J43" i="13" s="1"/>
  <c r="K43" i="13" s="1"/>
  <c r="F44" i="13"/>
  <c r="F45" i="13"/>
  <c r="F46" i="13"/>
  <c r="J46" i="13" s="1"/>
  <c r="K46" i="13" s="1"/>
  <c r="F47" i="13"/>
  <c r="J47" i="13" s="1"/>
  <c r="K47" i="13" s="1"/>
  <c r="F48" i="13"/>
  <c r="F49" i="13"/>
  <c r="F50" i="13"/>
  <c r="F51" i="13"/>
  <c r="J51" i="13" s="1"/>
  <c r="K51" i="13" s="1"/>
  <c r="F52" i="13"/>
  <c r="F53" i="13"/>
  <c r="F54" i="13"/>
  <c r="J54" i="13" s="1"/>
  <c r="K54" i="13" s="1"/>
  <c r="F55" i="13"/>
  <c r="J55" i="13" s="1"/>
  <c r="F56" i="13"/>
  <c r="F57" i="13"/>
  <c r="F58" i="13"/>
  <c r="F59" i="13"/>
  <c r="J59" i="13" s="1"/>
  <c r="K59" i="13" s="1"/>
  <c r="F60" i="13"/>
  <c r="F61" i="13"/>
  <c r="F62" i="13"/>
  <c r="J62" i="13" s="1"/>
  <c r="K62" i="13" s="1"/>
  <c r="F63" i="13"/>
  <c r="J63" i="13" s="1"/>
  <c r="K63" i="13" s="1"/>
  <c r="F64" i="13"/>
  <c r="F65" i="13"/>
  <c r="F66" i="13"/>
  <c r="F67" i="13"/>
  <c r="J67" i="13" s="1"/>
  <c r="K67" i="13" s="1"/>
  <c r="F68" i="13"/>
  <c r="F69" i="13"/>
  <c r="F70" i="13"/>
  <c r="J70" i="13" s="1"/>
  <c r="K70" i="13" s="1"/>
  <c r="F71" i="13"/>
  <c r="J71" i="13" s="1"/>
  <c r="F72" i="13"/>
  <c r="F73" i="13"/>
  <c r="F74" i="13"/>
  <c r="F75" i="13"/>
  <c r="J75" i="13" s="1"/>
  <c r="K75" i="13" s="1"/>
  <c r="F76" i="13"/>
  <c r="F77" i="13"/>
  <c r="F78" i="13"/>
  <c r="J78" i="13" s="1"/>
  <c r="K78" i="13" s="1"/>
  <c r="F79" i="13"/>
  <c r="J79" i="13" s="1"/>
  <c r="K79" i="13" s="1"/>
  <c r="F80" i="13"/>
  <c r="F81" i="13"/>
  <c r="F82" i="13"/>
  <c r="F83" i="13"/>
  <c r="J83" i="13" s="1"/>
  <c r="K83" i="13" s="1"/>
  <c r="F84" i="13"/>
  <c r="F85" i="13"/>
  <c r="F86" i="13"/>
  <c r="J86" i="13" s="1"/>
  <c r="K86" i="13" s="1"/>
  <c r="F87" i="13"/>
  <c r="J87" i="13" s="1"/>
  <c r="K87" i="13" s="1"/>
  <c r="F88" i="13"/>
  <c r="F89" i="13"/>
  <c r="F90" i="13"/>
  <c r="F91" i="13"/>
  <c r="J91" i="13" s="1"/>
  <c r="K91" i="13" s="1"/>
  <c r="F92" i="13"/>
  <c r="F93" i="13"/>
  <c r="F94" i="13"/>
  <c r="J94" i="13" s="1"/>
  <c r="K94" i="13" s="1"/>
  <c r="F95" i="13"/>
  <c r="J95" i="13" s="1"/>
  <c r="K95" i="13" s="1"/>
  <c r="F96" i="13"/>
  <c r="F97" i="13"/>
  <c r="F98" i="13"/>
  <c r="F99" i="13"/>
  <c r="J99" i="13" s="1"/>
  <c r="K99" i="13" s="1"/>
  <c r="F100" i="13"/>
  <c r="F101" i="13"/>
  <c r="F102" i="13"/>
  <c r="J102" i="13" s="1"/>
  <c r="K102" i="13" s="1"/>
  <c r="F103" i="13"/>
  <c r="J103" i="13" s="1"/>
  <c r="K103" i="13" s="1"/>
  <c r="F104" i="13"/>
  <c r="F105" i="13"/>
  <c r="F106" i="13"/>
  <c r="F107" i="13"/>
  <c r="J107" i="13" s="1"/>
  <c r="K107" i="13" s="1"/>
  <c r="F108" i="13"/>
  <c r="F109" i="13"/>
  <c r="F110" i="13"/>
  <c r="J110" i="13" s="1"/>
  <c r="K110" i="13" s="1"/>
  <c r="F111" i="13"/>
  <c r="J111" i="13" s="1"/>
  <c r="K111" i="13" s="1"/>
  <c r="F112" i="13"/>
  <c r="F113" i="13"/>
  <c r="F114" i="13"/>
  <c r="F115" i="13"/>
  <c r="J115" i="13" s="1"/>
  <c r="K115" i="13" s="1"/>
  <c r="F116" i="13"/>
  <c r="F117" i="13"/>
  <c r="F118" i="13"/>
  <c r="J118" i="13" s="1"/>
  <c r="K118" i="13" s="1"/>
  <c r="F119" i="13"/>
  <c r="J119" i="13" s="1"/>
  <c r="K119" i="13" s="1"/>
  <c r="F120" i="13"/>
  <c r="F121" i="13"/>
  <c r="F122" i="13"/>
  <c r="F123" i="13"/>
  <c r="J123" i="13" s="1"/>
  <c r="K123" i="13" s="1"/>
  <c r="F124" i="13"/>
  <c r="F125" i="13"/>
  <c r="F126" i="13"/>
  <c r="J126" i="13" s="1"/>
  <c r="K126" i="13" s="1"/>
  <c r="F127" i="13"/>
  <c r="J127" i="13" s="1"/>
  <c r="K127" i="13" s="1"/>
  <c r="F128" i="13"/>
  <c r="F129" i="13"/>
  <c r="F130" i="13"/>
  <c r="F131" i="13"/>
  <c r="J131" i="13" s="1"/>
  <c r="K131" i="13" s="1"/>
  <c r="F132" i="13"/>
  <c r="F133" i="13"/>
  <c r="F134" i="13"/>
  <c r="J134" i="13" s="1"/>
  <c r="K134" i="13" s="1"/>
  <c r="F135" i="13"/>
  <c r="J135" i="13" s="1"/>
  <c r="K135" i="13" s="1"/>
  <c r="F136" i="13"/>
  <c r="F137" i="13"/>
  <c r="F138" i="13"/>
  <c r="F139" i="13"/>
  <c r="J139" i="13" s="1"/>
  <c r="K139" i="13" s="1"/>
  <c r="F140" i="13"/>
  <c r="F141" i="13"/>
  <c r="F142" i="13"/>
  <c r="J142" i="13" s="1"/>
  <c r="K142" i="13" s="1"/>
  <c r="F143" i="13"/>
  <c r="J143" i="13" s="1"/>
  <c r="K143" i="13" s="1"/>
  <c r="F144" i="13"/>
  <c r="F145" i="13"/>
  <c r="F146" i="13"/>
  <c r="F147" i="13"/>
  <c r="J147" i="13" s="1"/>
  <c r="K147" i="13" s="1"/>
  <c r="F148" i="13"/>
  <c r="F149" i="13"/>
  <c r="F150" i="13"/>
  <c r="F151" i="13"/>
  <c r="J151" i="13" s="1"/>
  <c r="K151" i="13" s="1"/>
  <c r="F152" i="13"/>
  <c r="F153" i="13"/>
  <c r="F154" i="13"/>
  <c r="F155" i="13"/>
  <c r="J155" i="13" s="1"/>
  <c r="K155" i="13" s="1"/>
  <c r="F156" i="13"/>
  <c r="F157" i="13"/>
  <c r="J157" i="13" s="1"/>
  <c r="K157" i="13" s="1"/>
  <c r="F158" i="13"/>
  <c r="F159" i="13"/>
  <c r="J159" i="13" s="1"/>
  <c r="K159" i="13" s="1"/>
  <c r="F160" i="13"/>
  <c r="F161" i="13"/>
  <c r="J161" i="13" s="1"/>
  <c r="K161" i="13" s="1"/>
  <c r="F162" i="13"/>
  <c r="F163" i="13"/>
  <c r="J163" i="13" s="1"/>
  <c r="K163" i="13" s="1"/>
  <c r="F164" i="13"/>
  <c r="F165" i="13"/>
  <c r="F166" i="13"/>
  <c r="F167" i="13"/>
  <c r="J167" i="13" s="1"/>
  <c r="K167" i="13" s="1"/>
  <c r="F168" i="13"/>
  <c r="F169" i="13"/>
  <c r="F170" i="13"/>
  <c r="F171" i="13"/>
  <c r="J171" i="13" s="1"/>
  <c r="K171" i="13" s="1"/>
  <c r="F172" i="13"/>
  <c r="F173" i="13"/>
  <c r="F174" i="13"/>
  <c r="F175" i="13"/>
  <c r="J175" i="13" s="1"/>
  <c r="K175" i="13" s="1"/>
  <c r="F176" i="13"/>
  <c r="F177" i="13"/>
  <c r="F178" i="13"/>
  <c r="F179" i="13"/>
  <c r="J179" i="13" s="1"/>
  <c r="K179" i="13" s="1"/>
  <c r="F180" i="13"/>
  <c r="F181" i="13"/>
  <c r="F182" i="13"/>
  <c r="F183" i="13"/>
  <c r="J183" i="13" s="1"/>
  <c r="K183" i="13" s="1"/>
  <c r="F184" i="13"/>
  <c r="F185" i="13"/>
  <c r="F186" i="13"/>
  <c r="F187" i="13"/>
  <c r="J187" i="13" s="1"/>
  <c r="K187" i="13" s="1"/>
  <c r="F188" i="13"/>
  <c r="F189" i="13"/>
  <c r="F190" i="13"/>
  <c r="F191" i="13"/>
  <c r="J191" i="13" s="1"/>
  <c r="K191" i="13" s="1"/>
  <c r="F192" i="13"/>
  <c r="F193" i="13"/>
  <c r="F194" i="13"/>
  <c r="F195" i="13"/>
  <c r="J195" i="13" s="1"/>
  <c r="K195" i="13" s="1"/>
  <c r="F196" i="13"/>
  <c r="F197" i="13"/>
  <c r="F198" i="13"/>
  <c r="F199" i="13"/>
  <c r="J199" i="13" s="1"/>
  <c r="K199" i="13" s="1"/>
  <c r="F200" i="13"/>
  <c r="F201" i="13"/>
  <c r="F202" i="13"/>
  <c r="F203" i="13"/>
  <c r="J203" i="13" s="1"/>
  <c r="K203" i="13" s="1"/>
  <c r="F204" i="13"/>
  <c r="F205" i="13"/>
  <c r="F206" i="13"/>
  <c r="F207" i="13"/>
  <c r="J207" i="13" s="1"/>
  <c r="K207" i="13" s="1"/>
  <c r="F208" i="13"/>
  <c r="F209" i="13"/>
  <c r="F210" i="13"/>
  <c r="F211" i="13"/>
  <c r="J211" i="13" s="1"/>
  <c r="K211" i="13" s="1"/>
  <c r="F212" i="13"/>
  <c r="F213" i="13"/>
  <c r="F214" i="13"/>
  <c r="F215" i="13"/>
  <c r="J215" i="13" s="1"/>
  <c r="K215" i="13" s="1"/>
  <c r="F216" i="13"/>
  <c r="F217" i="13"/>
  <c r="F218" i="13"/>
  <c r="F219" i="13"/>
  <c r="J219" i="13" s="1"/>
  <c r="K219" i="13" s="1"/>
  <c r="F220" i="13"/>
  <c r="F221" i="13"/>
  <c r="F222" i="13"/>
  <c r="F223" i="13"/>
  <c r="J223" i="13" s="1"/>
  <c r="K223" i="13" s="1"/>
  <c r="F224" i="13"/>
  <c r="F225" i="13"/>
  <c r="F226" i="13"/>
  <c r="F227" i="13"/>
  <c r="J227" i="13" s="1"/>
  <c r="K227" i="13" s="1"/>
  <c r="F228" i="13"/>
  <c r="F229" i="13"/>
  <c r="F230" i="13"/>
  <c r="F231" i="13"/>
  <c r="J231" i="13" s="1"/>
  <c r="K231" i="13" s="1"/>
  <c r="F232" i="13"/>
  <c r="F233" i="13"/>
  <c r="F234" i="13"/>
  <c r="F235" i="13"/>
  <c r="J235" i="13" s="1"/>
  <c r="K235" i="13" s="1"/>
  <c r="F236" i="13"/>
  <c r="F237" i="13"/>
  <c r="J237" i="13" s="1"/>
  <c r="F238" i="13"/>
  <c r="F239" i="13"/>
  <c r="J239" i="13" s="1"/>
  <c r="K239" i="13" s="1"/>
  <c r="F240" i="13"/>
  <c r="F241" i="13"/>
  <c r="F242" i="13"/>
  <c r="F243" i="13"/>
  <c r="J243" i="13" s="1"/>
  <c r="K243" i="13" s="1"/>
  <c r="F244" i="13"/>
  <c r="F245" i="13"/>
  <c r="F246" i="13"/>
  <c r="F247" i="13"/>
  <c r="J247" i="13" s="1"/>
  <c r="K247" i="13" s="1"/>
  <c r="F248" i="13"/>
  <c r="F249" i="13"/>
  <c r="F250" i="13"/>
  <c r="F251" i="13"/>
  <c r="J251" i="13" s="1"/>
  <c r="K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AG8" i="12" a="1"/>
  <c r="AG8" i="12" s="1"/>
  <c r="AF8" i="12"/>
  <c r="F5" i="9" s="1"/>
  <c r="AF9" i="11"/>
  <c r="F5" i="14" s="1"/>
  <c r="AF10" i="11"/>
  <c r="AF11" i="11"/>
  <c r="AF12" i="11"/>
  <c r="AG9" i="11" a="1"/>
  <c r="AG9" i="11" s="1"/>
  <c r="BG9" i="11" s="1"/>
  <c r="AG10" i="11" a="1"/>
  <c r="AG10" i="11" s="1"/>
  <c r="BG10" i="11" s="1"/>
  <c r="AG11" i="11" a="1"/>
  <c r="AG11" i="11" s="1"/>
  <c r="AG12" i="11" a="1"/>
  <c r="AG12" i="11" s="1"/>
  <c r="BG12" i="11" s="1"/>
  <c r="J36" i="7"/>
  <c r="O36" i="7" s="1" a="1"/>
  <c r="O36" i="7"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J7" i="7"/>
  <c r="J8" i="7"/>
  <c r="O8" i="7" s="1" a="1"/>
  <c r="O8" i="7" s="1"/>
  <c r="J9" i="7"/>
  <c r="O9" i="7" s="1" a="1"/>
  <c r="O9" i="7" s="1"/>
  <c r="J10" i="7"/>
  <c r="O10" i="7" s="1" a="1"/>
  <c r="O10" i="7" s="1"/>
  <c r="J12" i="7"/>
  <c r="O12" i="7" s="1" a="1"/>
  <c r="O12" i="7" s="1"/>
  <c r="J13" i="7"/>
  <c r="O13" i="7" s="1" a="1"/>
  <c r="O13" i="7" s="1"/>
  <c r="J15" i="7"/>
  <c r="O15" i="7" s="1" a="1"/>
  <c r="O15" i="7" s="1"/>
  <c r="J16" i="7"/>
  <c r="O16" i="7" s="1" a="1"/>
  <c r="O16" i="7" s="1"/>
  <c r="J17" i="7"/>
  <c r="O17" i="7" s="1" a="1"/>
  <c r="O17" i="7" s="1"/>
  <c r="J18" i="7"/>
  <c r="O18" i="7" s="1" a="1"/>
  <c r="O18" i="7" s="1"/>
  <c r="J19" i="7"/>
  <c r="O19" i="7" s="1" a="1"/>
  <c r="O19" i="7" s="1"/>
  <c r="J20" i="7"/>
  <c r="O20" i="7" s="1" a="1"/>
  <c r="O20" i="7" s="1"/>
  <c r="J24" i="7"/>
  <c r="O24" i="7" s="1" a="1"/>
  <c r="O24" i="7" s="1"/>
  <c r="J22" i="7"/>
  <c r="O22" i="7" s="1" a="1"/>
  <c r="O22" i="7" s="1"/>
  <c r="J23" i="7"/>
  <c r="O23" i="7" s="1" a="1"/>
  <c r="O23" i="7" s="1"/>
  <c r="J25" i="7"/>
  <c r="O25" i="7" s="1" a="1"/>
  <c r="O25" i="7" s="1"/>
  <c r="J26" i="7"/>
  <c r="O26" i="7" s="1" a="1"/>
  <c r="O26" i="7" s="1"/>
  <c r="J27" i="7"/>
  <c r="O27" i="7" s="1" a="1"/>
  <c r="O27" i="7" s="1"/>
  <c r="J28" i="7"/>
  <c r="O28" i="7" s="1" a="1"/>
  <c r="O28" i="7" s="1"/>
  <c r="J29" i="7"/>
  <c r="O29" i="7" s="1" a="1"/>
  <c r="O29" i="7" s="1"/>
  <c r="J30" i="7"/>
  <c r="O30" i="7" s="1" a="1"/>
  <c r="O30" i="7" s="1"/>
  <c r="J31" i="7"/>
  <c r="O31" i="7" s="1" a="1"/>
  <c r="O31" i="7" s="1"/>
  <c r="J34" i="7"/>
  <c r="O34" i="7" s="1" a="1"/>
  <c r="O34" i="7" s="1"/>
  <c r="J35" i="7"/>
  <c r="O35" i="7" s="1" a="1"/>
  <c r="O35" i="7" s="1"/>
  <c r="I7" i="7"/>
  <c r="I8" i="7"/>
  <c r="AB8" i="7" s="1"/>
  <c r="I9" i="7"/>
  <c r="AB9" i="7" s="1"/>
  <c r="I10" i="7"/>
  <c r="AB10" i="7" s="1"/>
  <c r="I12" i="7"/>
  <c r="AB12" i="7" s="1"/>
  <c r="I13" i="7"/>
  <c r="AB13" i="7" s="1"/>
  <c r="I15" i="7"/>
  <c r="AB15" i="7" s="1"/>
  <c r="I16" i="7"/>
  <c r="AB16" i="7" s="1"/>
  <c r="I17" i="7"/>
  <c r="AB17" i="7" s="1"/>
  <c r="I18" i="7"/>
  <c r="AB18" i="7" s="1"/>
  <c r="I19" i="7"/>
  <c r="AB19" i="7" s="1"/>
  <c r="I20" i="7"/>
  <c r="AB20" i="7" s="1"/>
  <c r="I24" i="7"/>
  <c r="AB24" i="7" s="1"/>
  <c r="I22" i="7"/>
  <c r="AB22" i="7" s="1"/>
  <c r="I23" i="7"/>
  <c r="AB23" i="7" s="1"/>
  <c r="I25" i="7"/>
  <c r="AB25" i="7" s="1"/>
  <c r="I26" i="7"/>
  <c r="AB26" i="7" s="1"/>
  <c r="I27" i="7"/>
  <c r="AB27" i="7" s="1"/>
  <c r="I28" i="7"/>
  <c r="AB28" i="7" s="1"/>
  <c r="I29" i="7"/>
  <c r="AB29" i="7" s="1"/>
  <c r="I30" i="7"/>
  <c r="AB30" i="7" s="1"/>
  <c r="I31" i="7"/>
  <c r="AB31" i="7" s="1"/>
  <c r="I34" i="7"/>
  <c r="AB34" i="7" s="1"/>
  <c r="I35" i="7"/>
  <c r="AB35" i="7" s="1"/>
  <c r="AB7" i="7" l="1"/>
  <c r="U23" i="7"/>
  <c r="Z23" i="7"/>
  <c r="Z9" i="7"/>
  <c r="U9" i="7"/>
  <c r="U31" i="7"/>
  <c r="Z31" i="7"/>
  <c r="U27" i="7"/>
  <c r="Z27" i="7"/>
  <c r="U22" i="7"/>
  <c r="Z22" i="7"/>
  <c r="Z18" i="7"/>
  <c r="U18" i="7"/>
  <c r="Z8" i="7"/>
  <c r="U8" i="7"/>
  <c r="Z34" i="7"/>
  <c r="U34" i="7"/>
  <c r="U19" i="7"/>
  <c r="Z19" i="7"/>
  <c r="Z30" i="7"/>
  <c r="U30" i="7"/>
  <c r="U26" i="7"/>
  <c r="Z26" i="7"/>
  <c r="Z24" i="7"/>
  <c r="U24" i="7"/>
  <c r="Z17" i="7"/>
  <c r="U17" i="7"/>
  <c r="Z12" i="7"/>
  <c r="U12" i="7"/>
  <c r="Z28" i="7"/>
  <c r="U28" i="7"/>
  <c r="U15" i="7"/>
  <c r="Z15" i="7"/>
  <c r="U35" i="7"/>
  <c r="Z35" i="7"/>
  <c r="Z29" i="7"/>
  <c r="U29" i="7"/>
  <c r="Z25" i="7"/>
  <c r="U25" i="7"/>
  <c r="Z20" i="7"/>
  <c r="U20" i="7"/>
  <c r="Z16" i="7"/>
  <c r="U16" i="7"/>
  <c r="U10" i="7"/>
  <c r="Z10" i="7"/>
  <c r="O7" i="7" a="1"/>
  <c r="O7" i="7" s="1"/>
  <c r="S7" i="7" s="1"/>
  <c r="S30" i="7"/>
  <c r="N30" i="7" a="1"/>
  <c r="N30" i="7" s="1"/>
  <c r="R30" i="7" s="1"/>
  <c r="S26" i="7"/>
  <c r="N26" i="7" a="1"/>
  <c r="N26" i="7" s="1"/>
  <c r="R26" i="7" s="1"/>
  <c r="S17" i="7"/>
  <c r="N17" i="7" a="1"/>
  <c r="N17" i="7" s="1"/>
  <c r="R17" i="7" s="1"/>
  <c r="S35" i="7"/>
  <c r="N35" i="7" a="1"/>
  <c r="N35" i="7" s="1"/>
  <c r="R35" i="7" s="1"/>
  <c r="S25" i="7"/>
  <c r="N25" i="7" a="1"/>
  <c r="N25" i="7" s="1"/>
  <c r="R25" i="7" s="1"/>
  <c r="S16" i="7"/>
  <c r="N16" i="7" a="1"/>
  <c r="N16" i="7" s="1"/>
  <c r="R16" i="7" s="1"/>
  <c r="N7" i="7" a="1"/>
  <c r="N7" i="7" s="1"/>
  <c r="R7" i="7" s="1"/>
  <c r="S12" i="7"/>
  <c r="N12" i="7" a="1"/>
  <c r="N12" i="7" s="1"/>
  <c r="R12" i="7" s="1"/>
  <c r="S24" i="7"/>
  <c r="N24" i="7" a="1"/>
  <c r="N24" i="7" s="1"/>
  <c r="R24" i="7" s="1"/>
  <c r="S29" i="7"/>
  <c r="N29" i="7" a="1"/>
  <c r="N29" i="7" s="1"/>
  <c r="R29" i="7" s="1"/>
  <c r="S20" i="7"/>
  <c r="N20" i="7" a="1"/>
  <c r="N20" i="7" s="1"/>
  <c r="R20" i="7" s="1"/>
  <c r="S10" i="7"/>
  <c r="N10" i="7" a="1"/>
  <c r="N10" i="7" s="1"/>
  <c r="R10" i="7" s="1"/>
  <c r="S34" i="7"/>
  <c r="N34" i="7" a="1"/>
  <c r="N34" i="7" s="1"/>
  <c r="R34" i="7" s="1"/>
  <c r="S28" i="7"/>
  <c r="N28" i="7" a="1"/>
  <c r="N28" i="7" s="1"/>
  <c r="R28" i="7" s="1"/>
  <c r="S23" i="7"/>
  <c r="N23" i="7" a="1"/>
  <c r="N23" i="7" s="1"/>
  <c r="R23" i="7" s="1"/>
  <c r="S19" i="7"/>
  <c r="N19" i="7" a="1"/>
  <c r="N19" i="7" s="1"/>
  <c r="R19" i="7" s="1"/>
  <c r="S15" i="7"/>
  <c r="N15" i="7" a="1"/>
  <c r="N15" i="7" s="1"/>
  <c r="R15" i="7" s="1"/>
  <c r="S9" i="7"/>
  <c r="N9" i="7" a="1"/>
  <c r="N9" i="7" s="1"/>
  <c r="R9" i="7" s="1"/>
  <c r="S31" i="7"/>
  <c r="N31" i="7" a="1"/>
  <c r="N31" i="7" s="1"/>
  <c r="R31" i="7" s="1"/>
  <c r="S27" i="7"/>
  <c r="N27" i="7" a="1"/>
  <c r="N27" i="7" s="1"/>
  <c r="R27" i="7" s="1"/>
  <c r="S22" i="7"/>
  <c r="N22" i="7" a="1"/>
  <c r="N22" i="7" s="1"/>
  <c r="R22" i="7" s="1"/>
  <c r="S18" i="7"/>
  <c r="N18" i="7" a="1"/>
  <c r="N18" i="7" s="1"/>
  <c r="R18" i="7" s="1"/>
  <c r="S13" i="7"/>
  <c r="N13" i="7" a="1"/>
  <c r="N13" i="7" s="1"/>
  <c r="R13" i="7" s="1"/>
  <c r="S8" i="7"/>
  <c r="N8" i="7" a="1"/>
  <c r="N8" i="7" s="1"/>
  <c r="R8" i="7" s="1"/>
  <c r="S36" i="7"/>
  <c r="N36" i="7" a="1"/>
  <c r="N36" i="7" s="1"/>
  <c r="R36" i="7" s="1"/>
  <c r="L34" i="7" a="1"/>
  <c r="L34" i="7" s="1"/>
  <c r="P34" i="7" s="1"/>
  <c r="M23" i="7" a="1"/>
  <c r="M23" i="7" s="1"/>
  <c r="Q23" i="7" s="1"/>
  <c r="L9" i="7" a="1"/>
  <c r="L9" i="7" s="1"/>
  <c r="P9" i="7" s="1"/>
  <c r="L28" i="7" a="1"/>
  <c r="L28" i="7" s="1"/>
  <c r="P28" i="7" s="1"/>
  <c r="L15" i="7" a="1"/>
  <c r="L15" i="7" s="1"/>
  <c r="P15" i="7" s="1"/>
  <c r="M18" i="7" a="1"/>
  <c r="M18" i="7" s="1"/>
  <c r="Q18" i="7" s="1"/>
  <c r="L8" i="7" a="1"/>
  <c r="L8" i="7" s="1"/>
  <c r="P8" i="7" s="1"/>
  <c r="BG11" i="11"/>
  <c r="O5" i="9"/>
  <c r="H5" i="9"/>
  <c r="O5" i="14"/>
  <c r="H5" i="14"/>
  <c r="C6" i="14" s="1"/>
  <c r="D6" i="14" s="1"/>
  <c r="T31" i="7" a="1"/>
  <c r="T31" i="7" s="1"/>
  <c r="V31" i="7" s="1"/>
  <c r="X31" i="7" a="1"/>
  <c r="X31" i="7" s="1"/>
  <c r="T18" i="7" a="1"/>
  <c r="T18" i="7" s="1"/>
  <c r="V18" i="7" s="1"/>
  <c r="X18" i="7" a="1"/>
  <c r="X18" i="7" s="1"/>
  <c r="T8" i="7" a="1"/>
  <c r="T8" i="7" s="1"/>
  <c r="V8" i="7" s="1"/>
  <c r="X8" i="7" a="1"/>
  <c r="X8" i="7" s="1"/>
  <c r="T34" i="7" a="1"/>
  <c r="T34" i="7" s="1"/>
  <c r="V34" i="7" s="1"/>
  <c r="X34" i="7" a="1"/>
  <c r="X34" i="7" s="1"/>
  <c r="T28" i="7" a="1"/>
  <c r="T28" i="7" s="1"/>
  <c r="V28" i="7" s="1"/>
  <c r="X28" i="7" a="1"/>
  <c r="X28" i="7" s="1"/>
  <c r="T23" i="7" a="1"/>
  <c r="T23" i="7" s="1"/>
  <c r="V23" i="7" s="1"/>
  <c r="X23" i="7" a="1"/>
  <c r="X23" i="7" s="1"/>
  <c r="T19" i="7" a="1"/>
  <c r="T19" i="7" s="1"/>
  <c r="V19" i="7" s="1"/>
  <c r="X19" i="7" a="1"/>
  <c r="X19" i="7" s="1"/>
  <c r="T15" i="7" a="1"/>
  <c r="T15" i="7" s="1"/>
  <c r="V15" i="7" s="1"/>
  <c r="X15" i="7" a="1"/>
  <c r="X15" i="7" s="1"/>
  <c r="T9" i="7" a="1"/>
  <c r="T9" i="7" s="1"/>
  <c r="V9" i="7" s="1"/>
  <c r="X9" i="7" a="1"/>
  <c r="X9" i="7" s="1"/>
  <c r="T27" i="7" a="1"/>
  <c r="T27" i="7" s="1"/>
  <c r="V27" i="7" s="1"/>
  <c r="X27" i="7" a="1"/>
  <c r="X27" i="7" s="1"/>
  <c r="T22" i="7" a="1"/>
  <c r="T22" i="7" s="1"/>
  <c r="V22" i="7" s="1"/>
  <c r="X22" i="7" a="1"/>
  <c r="X22" i="7" s="1"/>
  <c r="T13" i="7" a="1"/>
  <c r="T13" i="7" s="1"/>
  <c r="X13" i="7" a="1"/>
  <c r="X13" i="7" s="1"/>
  <c r="T30" i="7" a="1"/>
  <c r="T30" i="7" s="1"/>
  <c r="V30" i="7" s="1"/>
  <c r="X30" i="7" a="1"/>
  <c r="X30" i="7" s="1"/>
  <c r="T26" i="7" a="1"/>
  <c r="T26" i="7" s="1"/>
  <c r="V26" i="7" s="1"/>
  <c r="X26" i="7" a="1"/>
  <c r="X26" i="7" s="1"/>
  <c r="T24" i="7" a="1"/>
  <c r="T24" i="7" s="1"/>
  <c r="V24" i="7" s="1"/>
  <c r="X24" i="7" a="1"/>
  <c r="X24" i="7" s="1"/>
  <c r="T17" i="7" a="1"/>
  <c r="T17" i="7" s="1"/>
  <c r="V17" i="7" s="1"/>
  <c r="X17" i="7" a="1"/>
  <c r="X17" i="7" s="1"/>
  <c r="T12" i="7" a="1"/>
  <c r="T12" i="7" s="1"/>
  <c r="V12" i="7" s="1"/>
  <c r="X12" i="7" a="1"/>
  <c r="X12" i="7" s="1"/>
  <c r="T35" i="7" a="1"/>
  <c r="T35" i="7" s="1"/>
  <c r="V35" i="7" s="1"/>
  <c r="X35" i="7" a="1"/>
  <c r="X35" i="7" s="1"/>
  <c r="T29" i="7" a="1"/>
  <c r="T29" i="7" s="1"/>
  <c r="V29" i="7" s="1"/>
  <c r="X29" i="7" a="1"/>
  <c r="X29" i="7" s="1"/>
  <c r="T25" i="7" a="1"/>
  <c r="T25" i="7" s="1"/>
  <c r="V25" i="7" s="1"/>
  <c r="X25" i="7" a="1"/>
  <c r="X25" i="7" s="1"/>
  <c r="T20" i="7" a="1"/>
  <c r="T20" i="7" s="1"/>
  <c r="V20" i="7" s="1"/>
  <c r="X20" i="7" a="1"/>
  <c r="X20" i="7" s="1"/>
  <c r="T16" i="7" a="1"/>
  <c r="T16" i="7" s="1"/>
  <c r="V16" i="7" s="1"/>
  <c r="X16" i="7" a="1"/>
  <c r="X16" i="7" s="1"/>
  <c r="T10" i="7" a="1"/>
  <c r="T10" i="7" s="1"/>
  <c r="V10" i="7" s="1"/>
  <c r="X10" i="7" a="1"/>
  <c r="X10" i="7" s="1"/>
  <c r="T7" i="7" a="1"/>
  <c r="T7" i="7" s="1"/>
  <c r="V7" i="7" s="1"/>
  <c r="X7" i="7" a="1"/>
  <c r="X7" i="7" s="1"/>
  <c r="M9" i="7" a="1"/>
  <c r="M9" i="7" s="1"/>
  <c r="Q9" i="7" s="1"/>
  <c r="M27" i="7" a="1"/>
  <c r="M27" i="7" s="1"/>
  <c r="Q27" i="7" s="1"/>
  <c r="L18" i="7" a="1"/>
  <c r="L18" i="7" s="1"/>
  <c r="P18" i="7" s="1"/>
  <c r="M8" i="7" a="1"/>
  <c r="M8" i="7" s="1"/>
  <c r="Q8" i="7" s="1"/>
  <c r="M19" i="7" a="1"/>
  <c r="M19" i="7" s="1"/>
  <c r="Q19" i="7" s="1"/>
  <c r="L27" i="7" a="1"/>
  <c r="L27" i="7" s="1"/>
  <c r="P27" i="7" s="1"/>
  <c r="L19" i="7" a="1"/>
  <c r="L19" i="7" s="1"/>
  <c r="P19" i="7" s="1"/>
  <c r="M28" i="7" a="1"/>
  <c r="M28" i="7" s="1"/>
  <c r="Q28" i="7" s="1"/>
  <c r="M34" i="7" a="1"/>
  <c r="M34" i="7" s="1"/>
  <c r="Q34" i="7" s="1"/>
  <c r="M15" i="7" a="1"/>
  <c r="M15" i="7" s="1"/>
  <c r="Q15" i="7" s="1"/>
  <c r="L23" i="7" a="1"/>
  <c r="L23" i="7" s="1"/>
  <c r="P23" i="7" s="1"/>
  <c r="M31" i="7" a="1"/>
  <c r="M31" i="7" s="1"/>
  <c r="Q31" i="7" s="1"/>
  <c r="M22" i="7" a="1"/>
  <c r="M22" i="7" s="1"/>
  <c r="Q22" i="7" s="1"/>
  <c r="M13" i="7" a="1"/>
  <c r="M13" i="7" s="1"/>
  <c r="Q13" i="7" s="1"/>
  <c r="L31" i="7" a="1"/>
  <c r="L31" i="7" s="1"/>
  <c r="P31" i="7" s="1"/>
  <c r="L22" i="7" a="1"/>
  <c r="L22" i="7" s="1"/>
  <c r="P22" i="7" s="1"/>
  <c r="L13" i="7" a="1"/>
  <c r="L13" i="7" s="1"/>
  <c r="P13" i="7" s="1"/>
  <c r="AG10" i="12" a="1"/>
  <c r="AG10" i="12" s="1"/>
  <c r="BI10" i="12" s="1"/>
  <c r="AG15" i="12" a="1"/>
  <c r="AG15" i="12" s="1"/>
  <c r="BI15" i="12" s="1"/>
  <c r="AG24" i="12" a="1"/>
  <c r="AG24" i="12" s="1"/>
  <c r="BI24" i="12" s="1"/>
  <c r="AG29" i="12" a="1"/>
  <c r="AG29" i="12" s="1"/>
  <c r="BI29" i="12" s="1"/>
  <c r="AG30" i="12" a="1"/>
  <c r="AG30" i="12" s="1"/>
  <c r="BI30" i="12" s="1"/>
  <c r="K71" i="13"/>
  <c r="L71" i="13" s="1"/>
  <c r="K55" i="13"/>
  <c r="L55" i="13" s="1"/>
  <c r="K237" i="13"/>
  <c r="L237" i="13" s="1"/>
  <c r="BI31" i="12"/>
  <c r="BI28" i="12"/>
  <c r="BI27" i="12"/>
  <c r="BI26" i="12"/>
  <c r="BI17" i="12"/>
  <c r="BI25" i="12"/>
  <c r="BI18" i="12"/>
  <c r="BI23" i="12"/>
  <c r="BI22" i="12"/>
  <c r="BI21" i="12"/>
  <c r="BI19" i="12"/>
  <c r="BI16" i="12"/>
  <c r="BI14" i="12"/>
  <c r="BI13" i="12"/>
  <c r="BI12" i="12"/>
  <c r="BI11" i="12"/>
  <c r="BI9" i="12"/>
  <c r="E12" i="13"/>
  <c r="H12" i="13" s="1"/>
  <c r="I12" i="13" s="1"/>
  <c r="E18" i="13"/>
  <c r="H18" i="13" s="1"/>
  <c r="I18" i="13" s="1"/>
  <c r="E24" i="13"/>
  <c r="H24" i="13" s="1"/>
  <c r="I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E70" i="13"/>
  <c r="H70" i="13" s="1"/>
  <c r="I70" i="13" s="1"/>
  <c r="E76" i="13"/>
  <c r="H76" i="13" s="1"/>
  <c r="I76" i="13" s="1"/>
  <c r="E82" i="13"/>
  <c r="H82" i="13" s="1"/>
  <c r="I82" i="13" s="1"/>
  <c r="E88" i="13"/>
  <c r="H88" i="13" s="1"/>
  <c r="I88" i="13" s="1"/>
  <c r="E92" i="13"/>
  <c r="H92" i="13" s="1"/>
  <c r="I92" i="13" s="1"/>
  <c r="E98" i="13"/>
  <c r="H98" i="13" s="1"/>
  <c r="I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E156" i="13"/>
  <c r="H156" i="13" s="1"/>
  <c r="I156" i="13" s="1"/>
  <c r="E162" i="13"/>
  <c r="H162" i="13" s="1"/>
  <c r="I162" i="13" s="1"/>
  <c r="E164" i="13"/>
  <c r="H164" i="13" s="1"/>
  <c r="I164" i="13" s="1"/>
  <c r="E170" i="13"/>
  <c r="H170" i="13" s="1"/>
  <c r="I170" i="13" s="1"/>
  <c r="E176" i="13"/>
  <c r="H176" i="13" s="1"/>
  <c r="I176" i="13" s="1"/>
  <c r="E182" i="13"/>
  <c r="H182" i="13" s="1"/>
  <c r="I182" i="13" s="1"/>
  <c r="E186" i="13"/>
  <c r="H186" i="13" s="1"/>
  <c r="I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E36" i="13"/>
  <c r="H36" i="13" s="1"/>
  <c r="I36" i="13" s="1"/>
  <c r="E42" i="13"/>
  <c r="H42" i="13" s="1"/>
  <c r="I42" i="13" s="1"/>
  <c r="E46" i="13"/>
  <c r="H46" i="13" s="1"/>
  <c r="I46" i="13" s="1"/>
  <c r="E52" i="13"/>
  <c r="H52" i="13" s="1"/>
  <c r="I52" i="13" s="1"/>
  <c r="E58" i="13"/>
  <c r="H58" i="13" s="1"/>
  <c r="I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E21" i="13"/>
  <c r="H21" i="13" s="1"/>
  <c r="I21" i="13" s="1"/>
  <c r="E25" i="13"/>
  <c r="H25" i="13" s="1"/>
  <c r="I25" i="13" s="1"/>
  <c r="E29" i="13"/>
  <c r="H29" i="13" s="1"/>
  <c r="I29" i="13" s="1"/>
  <c r="E33" i="13"/>
  <c r="H33" i="13" s="1"/>
  <c r="I33" i="13" s="1"/>
  <c r="E37" i="13"/>
  <c r="H37" i="13" s="1"/>
  <c r="I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E165" i="13"/>
  <c r="H165" i="13" s="1"/>
  <c r="I165" i="13" s="1"/>
  <c r="E161" i="13"/>
  <c r="H161" i="13" s="1"/>
  <c r="I161" i="13" s="1"/>
  <c r="H15" i="13"/>
  <c r="I15" i="13" s="1"/>
  <c r="H27" i="13"/>
  <c r="I27" i="13" s="1"/>
  <c r="H31" i="13"/>
  <c r="I31" i="13" s="1"/>
  <c r="H35" i="13"/>
  <c r="I35" i="13" s="1"/>
  <c r="H39" i="13"/>
  <c r="I39" i="13" s="1"/>
  <c r="H43" i="13"/>
  <c r="I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c r="J249" i="13"/>
  <c r="J245" i="13"/>
  <c r="J241" i="13"/>
  <c r="J233" i="13"/>
  <c r="J229" i="13"/>
  <c r="J225" i="13"/>
  <c r="J221" i="13"/>
  <c r="J217" i="13"/>
  <c r="J213" i="13"/>
  <c r="J209" i="13"/>
  <c r="J205" i="13"/>
  <c r="J201" i="13"/>
  <c r="J252" i="13"/>
  <c r="J248" i="13"/>
  <c r="J244" i="13"/>
  <c r="J240" i="13"/>
  <c r="J236" i="13"/>
  <c r="J232" i="13"/>
  <c r="J228" i="13"/>
  <c r="J224" i="13"/>
  <c r="J220" i="13"/>
  <c r="J216" i="13"/>
  <c r="J212" i="13"/>
  <c r="J208" i="13"/>
  <c r="J204" i="13"/>
  <c r="J200" i="13"/>
  <c r="J196" i="13"/>
  <c r="J192" i="13"/>
  <c r="J188" i="13"/>
  <c r="J184" i="13"/>
  <c r="J180" i="13"/>
  <c r="J176" i="13"/>
  <c r="J172" i="13"/>
  <c r="J168" i="13"/>
  <c r="J250" i="13"/>
  <c r="J246" i="13"/>
  <c r="J242" i="13"/>
  <c r="J238" i="13"/>
  <c r="J234" i="13"/>
  <c r="J230" i="13"/>
  <c r="J226" i="13"/>
  <c r="J222" i="13"/>
  <c r="J218" i="13"/>
  <c r="J214" i="13"/>
  <c r="J210" i="13"/>
  <c r="J206" i="13"/>
  <c r="J202" i="13"/>
  <c r="J198" i="13"/>
  <c r="J194" i="13"/>
  <c r="J190" i="13"/>
  <c r="J186" i="13"/>
  <c r="J182" i="13"/>
  <c r="J178" i="13"/>
  <c r="J174" i="13"/>
  <c r="J170" i="13"/>
  <c r="J166" i="13"/>
  <c r="J162" i="13"/>
  <c r="J158" i="13"/>
  <c r="J154" i="13"/>
  <c r="J150" i="13"/>
  <c r="L142" i="13"/>
  <c r="L134" i="13"/>
  <c r="L126" i="13"/>
  <c r="L118" i="13"/>
  <c r="L110" i="13"/>
  <c r="L102" i="13"/>
  <c r="L94" i="13"/>
  <c r="L86" i="13"/>
  <c r="L78" i="13"/>
  <c r="L70" i="13"/>
  <c r="L62" i="13"/>
  <c r="L54" i="13"/>
  <c r="L46" i="13"/>
  <c r="L38" i="13"/>
  <c r="M38" i="13" s="1"/>
  <c r="L30" i="13"/>
  <c r="L22" i="13"/>
  <c r="J18" i="13"/>
  <c r="J14" i="13"/>
  <c r="J10" i="13"/>
  <c r="L161" i="13"/>
  <c r="L157" i="13"/>
  <c r="J153" i="13"/>
  <c r="J149" i="13"/>
  <c r="J145" i="13"/>
  <c r="J141" i="13"/>
  <c r="J137" i="13"/>
  <c r="J133" i="13"/>
  <c r="J129" i="13"/>
  <c r="J125" i="13"/>
  <c r="J121" i="13"/>
  <c r="J117" i="13"/>
  <c r="J113" i="13"/>
  <c r="J109" i="13"/>
  <c r="J105" i="13"/>
  <c r="J101" i="13"/>
  <c r="J97" i="13"/>
  <c r="J93" i="13"/>
  <c r="J89" i="13"/>
  <c r="J85" i="13"/>
  <c r="J81" i="13"/>
  <c r="J77" i="13"/>
  <c r="J73" i="13"/>
  <c r="J69" i="13"/>
  <c r="J65" i="13"/>
  <c r="J61" i="13"/>
  <c r="J57" i="13"/>
  <c r="J53" i="13"/>
  <c r="J49" i="13"/>
  <c r="K49" i="13" s="1"/>
  <c r="L49" i="13" s="1"/>
  <c r="J45" i="13"/>
  <c r="J41" i="13"/>
  <c r="J37" i="13"/>
  <c r="J33" i="13"/>
  <c r="J29" i="13"/>
  <c r="J25" i="13"/>
  <c r="J21" i="13"/>
  <c r="J17" i="13"/>
  <c r="J13" i="13"/>
  <c r="J9" i="13"/>
  <c r="J165" i="13"/>
  <c r="J146" i="13"/>
  <c r="J138" i="13"/>
  <c r="J130" i="13"/>
  <c r="J122" i="13"/>
  <c r="J114" i="13"/>
  <c r="J106" i="13"/>
  <c r="J98" i="13"/>
  <c r="J90" i="13"/>
  <c r="J82" i="13"/>
  <c r="J74" i="13"/>
  <c r="J66" i="13"/>
  <c r="J58" i="13"/>
  <c r="J50" i="13"/>
  <c r="J42" i="13"/>
  <c r="J34" i="13"/>
  <c r="J26" i="13"/>
  <c r="J164" i="13"/>
  <c r="J160" i="13"/>
  <c r="J156" i="13"/>
  <c r="J152" i="13"/>
  <c r="J148" i="13"/>
  <c r="J144" i="13"/>
  <c r="J140" i="13"/>
  <c r="J136" i="13"/>
  <c r="J132" i="13"/>
  <c r="J128" i="13"/>
  <c r="J124" i="13"/>
  <c r="J120" i="13"/>
  <c r="J116" i="13"/>
  <c r="J112" i="13"/>
  <c r="J108" i="13"/>
  <c r="J104" i="13"/>
  <c r="J100" i="13"/>
  <c r="J96" i="13"/>
  <c r="J92" i="13"/>
  <c r="J88" i="13"/>
  <c r="J84" i="13"/>
  <c r="J80" i="13"/>
  <c r="J76" i="13"/>
  <c r="J72" i="13"/>
  <c r="J68" i="13"/>
  <c r="J64" i="13"/>
  <c r="J60" i="13"/>
  <c r="J56" i="13"/>
  <c r="J52" i="13"/>
  <c r="J48" i="13"/>
  <c r="J44" i="13"/>
  <c r="J40" i="13"/>
  <c r="J36" i="13"/>
  <c r="J32" i="13"/>
  <c r="J28" i="13"/>
  <c r="J24" i="13"/>
  <c r="J20" i="13"/>
  <c r="J16" i="13"/>
  <c r="J12" i="13"/>
  <c r="J8" i="13"/>
  <c r="J197" i="13"/>
  <c r="J193" i="13"/>
  <c r="J189" i="13"/>
  <c r="J185" i="13"/>
  <c r="J181" i="13"/>
  <c r="J177" i="13"/>
  <c r="J173" i="13"/>
  <c r="J169" i="13"/>
  <c r="L251" i="13"/>
  <c r="L247" i="13"/>
  <c r="L243" i="13"/>
  <c r="L239" i="13"/>
  <c r="L235" i="13"/>
  <c r="L231" i="13"/>
  <c r="L227" i="13"/>
  <c r="L223" i="13"/>
  <c r="L219" i="13"/>
  <c r="L215" i="13"/>
  <c r="L211" i="13"/>
  <c r="L207" i="13"/>
  <c r="L203" i="13"/>
  <c r="L199" i="13"/>
  <c r="L195" i="13"/>
  <c r="L191" i="13"/>
  <c r="L187" i="13"/>
  <c r="M187" i="13" s="1"/>
  <c r="L183" i="13"/>
  <c r="L179" i="13"/>
  <c r="L175" i="13"/>
  <c r="L171" i="13"/>
  <c r="L167" i="13"/>
  <c r="L163" i="13"/>
  <c r="M163" i="13" s="1"/>
  <c r="L159" i="13"/>
  <c r="L155" i="13"/>
  <c r="L151" i="13"/>
  <c r="M151" i="13" s="1"/>
  <c r="L147" i="13"/>
  <c r="L143" i="13"/>
  <c r="L139" i="13"/>
  <c r="L135" i="13"/>
  <c r="L131" i="13"/>
  <c r="L127" i="13"/>
  <c r="L123" i="13"/>
  <c r="L119" i="13"/>
  <c r="L115" i="13"/>
  <c r="L111" i="13"/>
  <c r="L107" i="13"/>
  <c r="L103" i="13"/>
  <c r="L99" i="13"/>
  <c r="M99" i="13" s="1"/>
  <c r="L95" i="13"/>
  <c r="L91" i="13"/>
  <c r="L87" i="13"/>
  <c r="L83" i="13"/>
  <c r="M83" i="13" s="1"/>
  <c r="L79" i="13"/>
  <c r="L75" i="13"/>
  <c r="L67" i="13"/>
  <c r="M67" i="13" s="1"/>
  <c r="L63" i="13"/>
  <c r="L59" i="13"/>
  <c r="M59" i="13" s="1"/>
  <c r="L51" i="13"/>
  <c r="L47" i="13"/>
  <c r="L43" i="13"/>
  <c r="L39" i="13"/>
  <c r="L35" i="13"/>
  <c r="L31" i="13"/>
  <c r="M31" i="13" s="1"/>
  <c r="L27" i="13"/>
  <c r="L23" i="13"/>
  <c r="L19" i="13"/>
  <c r="L15" i="13"/>
  <c r="L11" i="13"/>
  <c r="BI8" i="12"/>
  <c r="M35" i="7" a="1"/>
  <c r="M35" i="7" s="1"/>
  <c r="Q35" i="7" s="1"/>
  <c r="M16" i="7" a="1"/>
  <c r="M16" i="7" s="1"/>
  <c r="Q16" i="7" s="1"/>
  <c r="M20" i="7" a="1"/>
  <c r="M20" i="7" s="1"/>
  <c r="Q20" i="7" s="1"/>
  <c r="M25" i="7" a="1"/>
  <c r="M25" i="7" s="1"/>
  <c r="Q25" i="7" s="1"/>
  <c r="M7" i="7" a="1"/>
  <c r="M7" i="7" s="1"/>
  <c r="Q7" i="7" s="1"/>
  <c r="M29" i="7" a="1"/>
  <c r="M29" i="7" s="1"/>
  <c r="Q29" i="7" s="1"/>
  <c r="M10" i="7" a="1"/>
  <c r="M10" i="7" s="1"/>
  <c r="Q10" i="7" s="1"/>
  <c r="M30" i="7" a="1"/>
  <c r="M30" i="7" s="1"/>
  <c r="Q30" i="7" s="1"/>
  <c r="M26" i="7" a="1"/>
  <c r="M26" i="7" s="1"/>
  <c r="Q26" i="7" s="1"/>
  <c r="M24" i="7" a="1"/>
  <c r="M24" i="7" s="1"/>
  <c r="Q24" i="7" s="1"/>
  <c r="M17" i="7" a="1"/>
  <c r="M17" i="7" s="1"/>
  <c r="Q17" i="7" s="1"/>
  <c r="M12" i="7" a="1"/>
  <c r="M12" i="7" s="1"/>
  <c r="Q12" i="7" s="1"/>
  <c r="L30" i="7" a="1"/>
  <c r="L30" i="7" s="1"/>
  <c r="P30" i="7" s="1"/>
  <c r="L26" i="7" a="1"/>
  <c r="L26" i="7" s="1"/>
  <c r="P26" i="7" s="1"/>
  <c r="L24" i="7" a="1"/>
  <c r="L24" i="7" s="1"/>
  <c r="P24" i="7" s="1"/>
  <c r="L17" i="7" a="1"/>
  <c r="L17" i="7" s="1"/>
  <c r="P17" i="7" s="1"/>
  <c r="L12" i="7" a="1"/>
  <c r="L12" i="7" s="1"/>
  <c r="P12" i="7" s="1"/>
  <c r="L35" i="7" a="1"/>
  <c r="L35" i="7" s="1"/>
  <c r="P35" i="7" s="1"/>
  <c r="L29" i="7" a="1"/>
  <c r="L29" i="7" s="1"/>
  <c r="P29" i="7" s="1"/>
  <c r="L25" i="7" a="1"/>
  <c r="L25" i="7" s="1"/>
  <c r="P25" i="7" s="1"/>
  <c r="L20" i="7" a="1"/>
  <c r="L20" i="7" s="1"/>
  <c r="P20" i="7" s="1"/>
  <c r="L16" i="7" a="1"/>
  <c r="L16" i="7" s="1"/>
  <c r="P16" i="7" s="1"/>
  <c r="L10" i="7" a="1"/>
  <c r="L10" i="7" s="1"/>
  <c r="P10" i="7" s="1"/>
  <c r="L7" i="7" a="1"/>
  <c r="L7" i="7" s="1"/>
  <c r="P7" i="7" s="1"/>
  <c r="E3" i="4"/>
  <c r="U7" i="7" l="1"/>
  <c r="V13" i="7"/>
  <c r="U13" i="7"/>
  <c r="W20" i="7" a="1"/>
  <c r="W20" i="7" s="1"/>
  <c r="Y20" i="7" s="1"/>
  <c r="AA20" i="7" s="1"/>
  <c r="W12" i="7" a="1"/>
  <c r="W12" i="7" s="1"/>
  <c r="Y12" i="7" s="1"/>
  <c r="AA12" i="7" s="1"/>
  <c r="W30" i="7" a="1"/>
  <c r="W30" i="7" s="1"/>
  <c r="W9" i="7" a="1"/>
  <c r="W9" i="7" s="1"/>
  <c r="Y9" i="7" s="1"/>
  <c r="AA9" i="7" s="1"/>
  <c r="W8" i="7" a="1"/>
  <c r="W8" i="7" s="1"/>
  <c r="Y8" i="7" s="1"/>
  <c r="AA8" i="7" s="1"/>
  <c r="W31" i="7" a="1"/>
  <c r="W31" i="7" s="1"/>
  <c r="Y31" i="7" s="1"/>
  <c r="AA31" i="7" s="1"/>
  <c r="W35" i="7" a="1"/>
  <c r="W35" i="7" s="1"/>
  <c r="Y35" i="7" s="1"/>
  <c r="AA35" i="7" s="1"/>
  <c r="C6" i="9"/>
  <c r="D6" i="9" s="1"/>
  <c r="N6" i="9" s="1"/>
  <c r="N6" i="14"/>
  <c r="L6" i="14"/>
  <c r="M6" i="14"/>
  <c r="J6" i="14"/>
  <c r="I6" i="14"/>
  <c r="E6" i="14"/>
  <c r="K6" i="14" s="1"/>
  <c r="W10" i="7" a="1"/>
  <c r="W10" i="7" s="1"/>
  <c r="Y10" i="7" s="1"/>
  <c r="AA10" i="7" s="1"/>
  <c r="W13" i="7" a="1"/>
  <c r="W13" i="7" s="1"/>
  <c r="Y13" i="7" s="1"/>
  <c r="W27" i="7" a="1"/>
  <c r="W27" i="7" s="1"/>
  <c r="Y27" i="7" s="1"/>
  <c r="AA27" i="7" s="1"/>
  <c r="W19" i="7" a="1"/>
  <c r="W19" i="7" s="1"/>
  <c r="Y19" i="7" s="1"/>
  <c r="AA19" i="7" s="1"/>
  <c r="W34" i="7" a="1"/>
  <c r="W34" i="7" s="1"/>
  <c r="Y34" i="7" s="1"/>
  <c r="AA34" i="7" s="1"/>
  <c r="W25" i="7" a="1"/>
  <c r="W25" i="7" s="1"/>
  <c r="Y25" i="7" s="1"/>
  <c r="AA25" i="7" s="1"/>
  <c r="W29" i="7" a="1"/>
  <c r="W29" i="7" s="1"/>
  <c r="Y29" i="7" s="1"/>
  <c r="AA29" i="7" s="1"/>
  <c r="W23" i="7" a="1"/>
  <c r="W23" i="7" s="1"/>
  <c r="Y23" i="7" s="1"/>
  <c r="AA23" i="7" s="1"/>
  <c r="W17" i="7" a="1"/>
  <c r="W17" i="7" s="1"/>
  <c r="Y17" i="7" s="1"/>
  <c r="AA17" i="7" s="1"/>
  <c r="W18" i="7" a="1"/>
  <c r="W18" i="7" s="1"/>
  <c r="Y18" i="7" s="1"/>
  <c r="AA18" i="7" s="1"/>
  <c r="W26" i="7" a="1"/>
  <c r="W26" i="7" s="1"/>
  <c r="Y26" i="7" s="1"/>
  <c r="AA26" i="7" s="1"/>
  <c r="W22" i="7" a="1"/>
  <c r="W22" i="7" s="1"/>
  <c r="Y22" i="7" s="1"/>
  <c r="AA22" i="7" s="1"/>
  <c r="W16" i="7" a="1"/>
  <c r="W16" i="7" s="1"/>
  <c r="Y16" i="7" s="1"/>
  <c r="AA16" i="7" s="1"/>
  <c r="W15" i="7" a="1"/>
  <c r="W15" i="7" s="1"/>
  <c r="Y15" i="7" s="1"/>
  <c r="AA15" i="7" s="1"/>
  <c r="W24" i="7" a="1"/>
  <c r="W24" i="7" s="1"/>
  <c r="Y24" i="7" s="1"/>
  <c r="AA24" i="7" s="1"/>
  <c r="W28" i="7" a="1"/>
  <c r="W28" i="7" s="1"/>
  <c r="Y28" i="7" s="1"/>
  <c r="AA28" i="7" s="1"/>
  <c r="Y30" i="7"/>
  <c r="AA30" i="7" s="1"/>
  <c r="G6" i="14"/>
  <c r="M39" i="13"/>
  <c r="G6" i="9"/>
  <c r="K16" i="13"/>
  <c r="L16" i="13" s="1"/>
  <c r="K64" i="13"/>
  <c r="L64" i="13" s="1"/>
  <c r="K112" i="13"/>
  <c r="L112" i="13" s="1"/>
  <c r="K160" i="13"/>
  <c r="L160" i="13" s="1"/>
  <c r="K106" i="13"/>
  <c r="L106" i="13" s="1"/>
  <c r="K45" i="13"/>
  <c r="L45" i="13" s="1"/>
  <c r="K105" i="13"/>
  <c r="L105" i="13" s="1"/>
  <c r="K137" i="13"/>
  <c r="L137" i="13" s="1"/>
  <c r="K158" i="13"/>
  <c r="L158" i="13" s="1"/>
  <c r="K222" i="13"/>
  <c r="L222" i="13" s="1"/>
  <c r="K200" i="13"/>
  <c r="L200" i="13" s="1"/>
  <c r="K209" i="13"/>
  <c r="L209" i="13" s="1"/>
  <c r="K181" i="13"/>
  <c r="L181" i="13" s="1"/>
  <c r="K197" i="13"/>
  <c r="L197" i="13" s="1"/>
  <c r="K20" i="13"/>
  <c r="L20" i="13" s="1"/>
  <c r="K36" i="13"/>
  <c r="L36" i="13" s="1"/>
  <c r="K52" i="13"/>
  <c r="L52" i="13" s="1"/>
  <c r="K68" i="13"/>
  <c r="L68" i="13" s="1"/>
  <c r="M68" i="13" s="1"/>
  <c r="K84" i="13"/>
  <c r="L84" i="13" s="1"/>
  <c r="M84" i="13" s="1"/>
  <c r="K100" i="13"/>
  <c r="L100" i="13" s="1"/>
  <c r="M100" i="13" s="1"/>
  <c r="K116" i="13"/>
  <c r="L116" i="13" s="1"/>
  <c r="K132" i="13"/>
  <c r="L132" i="13" s="1"/>
  <c r="K148" i="13"/>
  <c r="L148" i="13" s="1"/>
  <c r="K164" i="13"/>
  <c r="L164" i="13" s="1"/>
  <c r="M164" i="13" s="1"/>
  <c r="K50" i="13"/>
  <c r="L50" i="13" s="1"/>
  <c r="K82" i="13"/>
  <c r="L82" i="13" s="1"/>
  <c r="K114" i="13"/>
  <c r="L114" i="13" s="1"/>
  <c r="K146" i="13"/>
  <c r="L146" i="13" s="1"/>
  <c r="M146" i="13" s="1"/>
  <c r="M147" i="13" s="1"/>
  <c r="K17" i="13"/>
  <c r="L17" i="13" s="1"/>
  <c r="K33" i="13"/>
  <c r="L33" i="13" s="1"/>
  <c r="K61" i="13"/>
  <c r="L61" i="13" s="1"/>
  <c r="K77" i="13"/>
  <c r="L77" i="13" s="1"/>
  <c r="K93" i="13"/>
  <c r="L93" i="13" s="1"/>
  <c r="K109" i="13"/>
  <c r="L109" i="13" s="1"/>
  <c r="M109" i="13" s="1"/>
  <c r="M110" i="13" s="1"/>
  <c r="M111" i="13" s="1"/>
  <c r="K125" i="13"/>
  <c r="L125" i="13" s="1"/>
  <c r="K141" i="13"/>
  <c r="L141" i="13" s="1"/>
  <c r="K18" i="13"/>
  <c r="L18" i="13" s="1"/>
  <c r="M18" i="13" s="1"/>
  <c r="M19" i="13" s="1"/>
  <c r="K162" i="13"/>
  <c r="L162" i="13" s="1"/>
  <c r="K178" i="13"/>
  <c r="L178" i="13" s="1"/>
  <c r="K194" i="13"/>
  <c r="L194" i="13" s="1"/>
  <c r="K210" i="13"/>
  <c r="L210" i="13" s="1"/>
  <c r="K226" i="13"/>
  <c r="L226" i="13" s="1"/>
  <c r="K242" i="13"/>
  <c r="L242" i="13" s="1"/>
  <c r="K172" i="13"/>
  <c r="L172" i="13" s="1"/>
  <c r="K188" i="13"/>
  <c r="L188" i="13" s="1"/>
  <c r="M188" i="13" s="1"/>
  <c r="K204" i="13"/>
  <c r="L204" i="13" s="1"/>
  <c r="K220" i="13"/>
  <c r="L220" i="13" s="1"/>
  <c r="M220" i="13" s="1"/>
  <c r="K236" i="13"/>
  <c r="L236" i="13" s="1"/>
  <c r="K252" i="13"/>
  <c r="L252" i="13" s="1"/>
  <c r="K213" i="13"/>
  <c r="L213" i="13" s="1"/>
  <c r="K229" i="13"/>
  <c r="L229" i="13" s="1"/>
  <c r="M229" i="13" s="1"/>
  <c r="K249" i="13"/>
  <c r="L249" i="13" s="1"/>
  <c r="K177" i="13"/>
  <c r="L177" i="13" s="1"/>
  <c r="K32" i="13"/>
  <c r="L32" i="13" s="1"/>
  <c r="M32" i="13" s="1"/>
  <c r="K80" i="13"/>
  <c r="L80" i="13" s="1"/>
  <c r="K128" i="13"/>
  <c r="L128" i="13" s="1"/>
  <c r="K74" i="13"/>
  <c r="L74" i="13" s="1"/>
  <c r="M74" i="13" s="1"/>
  <c r="M75" i="13" s="1"/>
  <c r="K138" i="13"/>
  <c r="L138" i="13" s="1"/>
  <c r="K29" i="13"/>
  <c r="L29" i="13" s="1"/>
  <c r="K57" i="13"/>
  <c r="L57" i="13" s="1"/>
  <c r="K89" i="13"/>
  <c r="L89" i="13" s="1"/>
  <c r="K121" i="13"/>
  <c r="L121" i="13" s="1"/>
  <c r="K153" i="13"/>
  <c r="L153" i="13" s="1"/>
  <c r="K14" i="13"/>
  <c r="L14" i="13" s="1"/>
  <c r="K190" i="13"/>
  <c r="L190" i="13" s="1"/>
  <c r="K238" i="13"/>
  <c r="L238" i="13" s="1"/>
  <c r="K184" i="13"/>
  <c r="L184" i="13" s="1"/>
  <c r="K232" i="13"/>
  <c r="L232" i="13" s="1"/>
  <c r="K225" i="13"/>
  <c r="L225" i="13" s="1"/>
  <c r="K169" i="13"/>
  <c r="L169" i="13" s="1"/>
  <c r="K185" i="13"/>
  <c r="L185" i="13" s="1"/>
  <c r="K24" i="13"/>
  <c r="L24" i="13" s="1"/>
  <c r="K56" i="13"/>
  <c r="L56" i="13" s="1"/>
  <c r="K88" i="13"/>
  <c r="L88" i="13" s="1"/>
  <c r="K120" i="13"/>
  <c r="L120" i="13" s="1"/>
  <c r="K26" i="13"/>
  <c r="L26" i="13" s="1"/>
  <c r="K90" i="13"/>
  <c r="L90" i="13" s="1"/>
  <c r="K21" i="13"/>
  <c r="L21" i="13" s="1"/>
  <c r="K81" i="13"/>
  <c r="L81" i="13" s="1"/>
  <c r="K113" i="13"/>
  <c r="L113" i="13" s="1"/>
  <c r="K145" i="13"/>
  <c r="L145" i="13" s="1"/>
  <c r="K182" i="13"/>
  <c r="L182" i="13" s="1"/>
  <c r="K214" i="13"/>
  <c r="L214" i="13" s="1"/>
  <c r="K176" i="13"/>
  <c r="L176" i="13" s="1"/>
  <c r="K208" i="13"/>
  <c r="L208" i="13" s="1"/>
  <c r="K240" i="13"/>
  <c r="L240" i="13" s="1"/>
  <c r="K217" i="13"/>
  <c r="L217" i="13" s="1"/>
  <c r="K7" i="13"/>
  <c r="L7" i="13" s="1"/>
  <c r="M7" i="13" s="1"/>
  <c r="K193" i="13"/>
  <c r="L193" i="13" s="1"/>
  <c r="K48" i="13"/>
  <c r="L48" i="13" s="1"/>
  <c r="K96" i="13"/>
  <c r="L96" i="13" s="1"/>
  <c r="K144" i="13"/>
  <c r="L144" i="13" s="1"/>
  <c r="K42" i="13"/>
  <c r="L42" i="13" s="1"/>
  <c r="K13" i="13"/>
  <c r="L13" i="13" s="1"/>
  <c r="M13" i="13" s="1"/>
  <c r="K73" i="13"/>
  <c r="L73" i="13" s="1"/>
  <c r="K174" i="13"/>
  <c r="L174" i="13" s="1"/>
  <c r="K206" i="13"/>
  <c r="L206" i="13" s="1"/>
  <c r="K168" i="13"/>
  <c r="L168" i="13" s="1"/>
  <c r="K216" i="13"/>
  <c r="L216" i="13" s="1"/>
  <c r="K248" i="13"/>
  <c r="L248" i="13" s="1"/>
  <c r="K245" i="13"/>
  <c r="L245" i="13" s="1"/>
  <c r="K8" i="13"/>
  <c r="L8" i="13" s="1"/>
  <c r="M8" i="13" s="1"/>
  <c r="K40" i="13"/>
  <c r="L40" i="13" s="1"/>
  <c r="K72" i="13"/>
  <c r="L72" i="13" s="1"/>
  <c r="K104" i="13"/>
  <c r="L104" i="13" s="1"/>
  <c r="K136" i="13"/>
  <c r="L136" i="13" s="1"/>
  <c r="K152" i="13"/>
  <c r="L152" i="13" s="1"/>
  <c r="M152" i="13" s="1"/>
  <c r="M153" i="13" s="1"/>
  <c r="K58" i="13"/>
  <c r="L58" i="13" s="1"/>
  <c r="K122" i="13"/>
  <c r="L122" i="13" s="1"/>
  <c r="K165" i="13"/>
  <c r="L165" i="13" s="1"/>
  <c r="K37" i="13"/>
  <c r="L37" i="13" s="1"/>
  <c r="K65" i="13"/>
  <c r="L65" i="13" s="1"/>
  <c r="K97" i="13"/>
  <c r="L97" i="13" s="1"/>
  <c r="K129" i="13"/>
  <c r="L129" i="13" s="1"/>
  <c r="K150" i="13"/>
  <c r="L150" i="13" s="1"/>
  <c r="K166" i="13"/>
  <c r="L166" i="13" s="1"/>
  <c r="K198" i="13"/>
  <c r="L198" i="13" s="1"/>
  <c r="K230" i="13"/>
  <c r="L230" i="13" s="1"/>
  <c r="K246" i="13"/>
  <c r="L246" i="13" s="1"/>
  <c r="K192" i="13"/>
  <c r="L192" i="13" s="1"/>
  <c r="K224" i="13"/>
  <c r="L224" i="13" s="1"/>
  <c r="K201" i="13"/>
  <c r="L201" i="13" s="1"/>
  <c r="K233" i="13"/>
  <c r="L233" i="13" s="1"/>
  <c r="K173" i="13"/>
  <c r="L173" i="13" s="1"/>
  <c r="K189" i="13"/>
  <c r="L189" i="13" s="1"/>
  <c r="K12" i="13"/>
  <c r="L12" i="13" s="1"/>
  <c r="K28" i="13"/>
  <c r="L28" i="13" s="1"/>
  <c r="K44" i="13"/>
  <c r="L44" i="13" s="1"/>
  <c r="M44" i="13" s="1"/>
  <c r="K60" i="13"/>
  <c r="L60" i="13" s="1"/>
  <c r="M60" i="13" s="1"/>
  <c r="K76" i="13"/>
  <c r="L76" i="13" s="1"/>
  <c r="K92" i="13"/>
  <c r="L92" i="13" s="1"/>
  <c r="M92" i="13" s="1"/>
  <c r="K108" i="13"/>
  <c r="L108" i="13" s="1"/>
  <c r="K124" i="13"/>
  <c r="L124" i="13" s="1"/>
  <c r="K140" i="13"/>
  <c r="L140" i="13" s="1"/>
  <c r="K156" i="13"/>
  <c r="L156" i="13" s="1"/>
  <c r="K34" i="13"/>
  <c r="L34" i="13" s="1"/>
  <c r="K66" i="13"/>
  <c r="L66" i="13" s="1"/>
  <c r="K98" i="13"/>
  <c r="L98" i="13" s="1"/>
  <c r="K130" i="13"/>
  <c r="L130" i="13" s="1"/>
  <c r="K9" i="13"/>
  <c r="L9" i="13" s="1"/>
  <c r="K25" i="13"/>
  <c r="L25" i="13" s="1"/>
  <c r="M25" i="13" s="1"/>
  <c r="K41" i="13"/>
  <c r="L41" i="13" s="1"/>
  <c r="K53" i="13"/>
  <c r="L53" i="13" s="1"/>
  <c r="M53" i="13" s="1"/>
  <c r="M54" i="13" s="1"/>
  <c r="M55" i="13" s="1"/>
  <c r="K69" i="13"/>
  <c r="L69" i="13" s="1"/>
  <c r="K85" i="13"/>
  <c r="L85" i="13" s="1"/>
  <c r="K101" i="13"/>
  <c r="L101" i="13" s="1"/>
  <c r="K117" i="13"/>
  <c r="L117" i="13" s="1"/>
  <c r="M117" i="13" s="1"/>
  <c r="M118" i="13" s="1"/>
  <c r="M119" i="13" s="1"/>
  <c r="M120" i="13" s="1"/>
  <c r="K133" i="13"/>
  <c r="L133" i="13" s="1"/>
  <c r="K149" i="13"/>
  <c r="L149" i="13" s="1"/>
  <c r="K10" i="13"/>
  <c r="L10" i="13" s="1"/>
  <c r="K154" i="13"/>
  <c r="L154" i="13" s="1"/>
  <c r="K170" i="13"/>
  <c r="L170" i="13" s="1"/>
  <c r="M170" i="13" s="1"/>
  <c r="M171" i="13" s="1"/>
  <c r="K186" i="13"/>
  <c r="L186" i="13" s="1"/>
  <c r="K202" i="13"/>
  <c r="L202" i="13" s="1"/>
  <c r="K218" i="13"/>
  <c r="L218" i="13" s="1"/>
  <c r="K234" i="13"/>
  <c r="L234" i="13" s="1"/>
  <c r="K250" i="13"/>
  <c r="L250" i="13" s="1"/>
  <c r="K180" i="13"/>
  <c r="L180" i="13" s="1"/>
  <c r="M180" i="13" s="1"/>
  <c r="K196" i="13"/>
  <c r="L196" i="13" s="1"/>
  <c r="K212" i="13"/>
  <c r="L212" i="13" s="1"/>
  <c r="K228" i="13"/>
  <c r="L228" i="13" s="1"/>
  <c r="K244" i="13"/>
  <c r="L244" i="13" s="1"/>
  <c r="K205" i="13"/>
  <c r="L205" i="13" s="1"/>
  <c r="M205" i="13" s="1"/>
  <c r="K221" i="13"/>
  <c r="L221" i="13" s="1"/>
  <c r="K241" i="13"/>
  <c r="L241" i="13" s="1"/>
  <c r="E23" i="1"/>
  <c r="B8" i="8"/>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I36" i="7"/>
  <c r="I37" i="7"/>
  <c r="AB37" i="7" s="1"/>
  <c r="I40" i="7"/>
  <c r="AB40" i="7" s="1"/>
  <c r="I41" i="7"/>
  <c r="AB41" i="7" s="1"/>
  <c r="I42" i="7"/>
  <c r="AB42" i="7" s="1"/>
  <c r="I43" i="7"/>
  <c r="AB43" i="7" s="1"/>
  <c r="I44" i="7"/>
  <c r="AB44" i="7" s="1"/>
  <c r="I45" i="7"/>
  <c r="AB45" i="7" s="1"/>
  <c r="I46" i="7"/>
  <c r="AB46" i="7" s="1"/>
  <c r="I47" i="7"/>
  <c r="AB47" i="7" s="1"/>
  <c r="I48" i="7"/>
  <c r="AB48" i="7" s="1"/>
  <c r="I49" i="7"/>
  <c r="AB49" i="7" s="1"/>
  <c r="I50" i="7"/>
  <c r="AB50" i="7" s="1"/>
  <c r="I51" i="7"/>
  <c r="AB51" i="7" s="1"/>
  <c r="I52" i="7"/>
  <c r="AB52" i="7" s="1"/>
  <c r="I53" i="7"/>
  <c r="AB53" i="7" s="1"/>
  <c r="I54" i="7"/>
  <c r="AB54" i="7" s="1"/>
  <c r="I55" i="7"/>
  <c r="AB55" i="7" s="1"/>
  <c r="I56" i="7"/>
  <c r="AB56" i="7" s="1"/>
  <c r="I57" i="7"/>
  <c r="AB57" i="7" s="1"/>
  <c r="I58" i="7"/>
  <c r="AB58" i="7" s="1"/>
  <c r="I59" i="7"/>
  <c r="AB59" i="7" s="1"/>
  <c r="I39" i="7"/>
  <c r="AB39" i="7" s="1"/>
  <c r="I60" i="7"/>
  <c r="AB60" i="7" s="1"/>
  <c r="I61" i="7"/>
  <c r="AB61" i="7" s="1"/>
  <c r="I62" i="7"/>
  <c r="AB62" i="7" s="1"/>
  <c r="I63" i="7"/>
  <c r="AB63" i="7" s="1"/>
  <c r="I64" i="7"/>
  <c r="AB64" i="7" s="1"/>
  <c r="I101" i="7"/>
  <c r="AB101" i="7" s="1"/>
  <c r="I102" i="7"/>
  <c r="AB102" i="7" s="1"/>
  <c r="I103" i="7"/>
  <c r="AB103" i="7" s="1"/>
  <c r="I104" i="7"/>
  <c r="AB104" i="7" s="1"/>
  <c r="I105" i="7"/>
  <c r="AB105" i="7" s="1"/>
  <c r="I106" i="7"/>
  <c r="AB106" i="7" s="1"/>
  <c r="I107" i="7"/>
  <c r="AB107" i="7" s="1"/>
  <c r="I108" i="7"/>
  <c r="AB108" i="7" s="1"/>
  <c r="I109" i="7"/>
  <c r="AB109" i="7" s="1"/>
  <c r="I114" i="7"/>
  <c r="AB114" i="7" s="1"/>
  <c r="I120" i="7"/>
  <c r="AB120" i="7" s="1"/>
  <c r="I115" i="7"/>
  <c r="AB115" i="7" s="1"/>
  <c r="I116" i="7"/>
  <c r="AB116" i="7" s="1"/>
  <c r="I117" i="7"/>
  <c r="AB117" i="7" s="1"/>
  <c r="I119" i="7"/>
  <c r="AB119" i="7" s="1"/>
  <c r="I121" i="7"/>
  <c r="AB121" i="7" s="1"/>
  <c r="I122" i="7"/>
  <c r="AB122" i="7" s="1"/>
  <c r="I124" i="7"/>
  <c r="AB124" i="7" s="1"/>
  <c r="I125" i="7"/>
  <c r="AB125" i="7" s="1"/>
  <c r="I126" i="7"/>
  <c r="AB126" i="7" s="1"/>
  <c r="I127" i="7"/>
  <c r="AB127" i="7" s="1"/>
  <c r="I128" i="7"/>
  <c r="AB128" i="7" s="1"/>
  <c r="I129" i="7"/>
  <c r="AB129" i="7" s="1"/>
  <c r="I130" i="7"/>
  <c r="AB130" i="7" s="1"/>
  <c r="I131" i="7"/>
  <c r="AB131" i="7" s="1"/>
  <c r="I132" i="7"/>
  <c r="AB132" i="7" s="1"/>
  <c r="I133" i="7"/>
  <c r="AB133" i="7" s="1"/>
  <c r="I134" i="7"/>
  <c r="AB134" i="7" s="1"/>
  <c r="I135" i="7"/>
  <c r="AB135" i="7" s="1"/>
  <c r="I136" i="7"/>
  <c r="AB136" i="7" s="1"/>
  <c r="I137" i="7"/>
  <c r="AB137" i="7" s="1"/>
  <c r="I138" i="7"/>
  <c r="AB138" i="7" s="1"/>
  <c r="I139" i="7"/>
  <c r="AB139" i="7" s="1"/>
  <c r="I140" i="7"/>
  <c r="AB140" i="7" s="1"/>
  <c r="I141" i="7"/>
  <c r="AB141" i="7" s="1"/>
  <c r="I142" i="7"/>
  <c r="AB142" i="7" s="1"/>
  <c r="I143" i="7"/>
  <c r="AB143" i="7" s="1"/>
  <c r="I144" i="7"/>
  <c r="AB144" i="7" s="1"/>
  <c r="I145" i="7"/>
  <c r="AB145" i="7" s="1"/>
  <c r="I146" i="7"/>
  <c r="AB146" i="7" s="1"/>
  <c r="I147" i="7"/>
  <c r="AB147" i="7" s="1"/>
  <c r="I148" i="7"/>
  <c r="AB148" i="7" s="1"/>
  <c r="I149" i="7"/>
  <c r="AB149" i="7" s="1"/>
  <c r="I150" i="7"/>
  <c r="AB150" i="7" s="1"/>
  <c r="I151" i="7"/>
  <c r="AB151" i="7" s="1"/>
  <c r="I152" i="7"/>
  <c r="AB152" i="7" s="1"/>
  <c r="I153" i="7"/>
  <c r="AB153" i="7" s="1"/>
  <c r="I154" i="7"/>
  <c r="AB154" i="7" s="1"/>
  <c r="I155" i="7"/>
  <c r="AB155" i="7" s="1"/>
  <c r="I156" i="7"/>
  <c r="AB156" i="7" s="1"/>
  <c r="I157" i="7"/>
  <c r="AB157" i="7" s="1"/>
  <c r="I158" i="7"/>
  <c r="AB158" i="7" s="1"/>
  <c r="I159" i="7"/>
  <c r="AB159" i="7" s="1"/>
  <c r="I160" i="7"/>
  <c r="AB160" i="7" s="1"/>
  <c r="I161" i="7"/>
  <c r="AB161" i="7" s="1"/>
  <c r="I162" i="7"/>
  <c r="AB162" i="7" s="1"/>
  <c r="I163" i="7"/>
  <c r="AB163" i="7" s="1"/>
  <c r="I164" i="7"/>
  <c r="AB164" i="7" s="1"/>
  <c r="I165" i="7"/>
  <c r="AB165" i="7" s="1"/>
  <c r="I166" i="7"/>
  <c r="AB166" i="7" s="1"/>
  <c r="I167" i="7"/>
  <c r="AB167" i="7" s="1"/>
  <c r="I168" i="7"/>
  <c r="AB168" i="7" s="1"/>
  <c r="M36" i="7" a="1"/>
  <c r="M36" i="7" s="1"/>
  <c r="J37" i="7"/>
  <c r="J40" i="7"/>
  <c r="O40" i="7" s="1" a="1"/>
  <c r="O40" i="7" s="1"/>
  <c r="J41" i="7"/>
  <c r="O41" i="7" s="1" a="1"/>
  <c r="O41" i="7" s="1"/>
  <c r="J42" i="7"/>
  <c r="O42" i="7" s="1" a="1"/>
  <c r="O42" i="7" s="1"/>
  <c r="J43" i="7"/>
  <c r="O43" i="7" s="1" a="1"/>
  <c r="O43" i="7" s="1"/>
  <c r="J44" i="7"/>
  <c r="O44" i="7" s="1" a="1"/>
  <c r="O44" i="7" s="1"/>
  <c r="J45" i="7"/>
  <c r="O45" i="7" s="1" a="1"/>
  <c r="O45" i="7" s="1"/>
  <c r="J46" i="7"/>
  <c r="O46" i="7" s="1" a="1"/>
  <c r="O46" i="7" s="1"/>
  <c r="J47" i="7"/>
  <c r="O47" i="7" s="1" a="1"/>
  <c r="O47" i="7" s="1"/>
  <c r="J48" i="7"/>
  <c r="O48" i="7" s="1" a="1"/>
  <c r="O48" i="7" s="1"/>
  <c r="J49" i="7"/>
  <c r="O49" i="7" s="1" a="1"/>
  <c r="O49" i="7" s="1"/>
  <c r="J50" i="7"/>
  <c r="O50" i="7" s="1" a="1"/>
  <c r="O50" i="7" s="1"/>
  <c r="J51" i="7"/>
  <c r="O51" i="7" s="1" a="1"/>
  <c r="O51" i="7" s="1"/>
  <c r="J52" i="7"/>
  <c r="O52" i="7" s="1" a="1"/>
  <c r="O52" i="7" s="1"/>
  <c r="J53" i="7"/>
  <c r="O53" i="7" s="1" a="1"/>
  <c r="O53" i="7" s="1"/>
  <c r="J54" i="7"/>
  <c r="O54" i="7" s="1" a="1"/>
  <c r="O54" i="7" s="1"/>
  <c r="J55" i="7"/>
  <c r="O55" i="7" s="1" a="1"/>
  <c r="O55" i="7" s="1"/>
  <c r="J56" i="7"/>
  <c r="O56" i="7" s="1" a="1"/>
  <c r="O56" i="7" s="1"/>
  <c r="J57" i="7"/>
  <c r="O57" i="7" s="1" a="1"/>
  <c r="O57" i="7" s="1"/>
  <c r="J58" i="7"/>
  <c r="O58" i="7" s="1" a="1"/>
  <c r="O58" i="7" s="1"/>
  <c r="J59" i="7"/>
  <c r="O59" i="7" s="1" a="1"/>
  <c r="O59" i="7" s="1"/>
  <c r="J39" i="7"/>
  <c r="O39" i="7" s="1" a="1"/>
  <c r="O39" i="7" s="1"/>
  <c r="J60" i="7"/>
  <c r="O60" i="7" s="1" a="1"/>
  <c r="O60" i="7" s="1"/>
  <c r="J61" i="7"/>
  <c r="O61" i="7" s="1" a="1"/>
  <c r="O61" i="7" s="1"/>
  <c r="J62" i="7"/>
  <c r="O62" i="7" s="1" a="1"/>
  <c r="O62" i="7" s="1"/>
  <c r="J63" i="7"/>
  <c r="O63" i="7" s="1" a="1"/>
  <c r="O63" i="7" s="1"/>
  <c r="J64" i="7"/>
  <c r="O64" i="7" s="1" a="1"/>
  <c r="O64" i="7" s="1"/>
  <c r="J101" i="7"/>
  <c r="O101" i="7" s="1" a="1"/>
  <c r="O101" i="7" s="1"/>
  <c r="J102" i="7"/>
  <c r="O102" i="7" s="1" a="1"/>
  <c r="O102" i="7" s="1"/>
  <c r="J103" i="7"/>
  <c r="O103" i="7" s="1" a="1"/>
  <c r="O103" i="7" s="1"/>
  <c r="J104" i="7"/>
  <c r="O104" i="7" s="1" a="1"/>
  <c r="O104" i="7" s="1"/>
  <c r="J107" i="7"/>
  <c r="O107" i="7" s="1" a="1"/>
  <c r="O107" i="7" s="1"/>
  <c r="J108" i="7"/>
  <c r="O108" i="7" s="1" a="1"/>
  <c r="O108" i="7" s="1"/>
  <c r="J109" i="7"/>
  <c r="O109" i="7" s="1" a="1"/>
  <c r="O109" i="7" s="1"/>
  <c r="J120" i="7"/>
  <c r="O120" i="7" s="1" a="1"/>
  <c r="O120" i="7" s="1"/>
  <c r="J117" i="7"/>
  <c r="O117" i="7" s="1" a="1"/>
  <c r="O117" i="7" s="1"/>
  <c r="J119" i="7"/>
  <c r="O119" i="7" s="1" a="1"/>
  <c r="O119" i="7" s="1"/>
  <c r="J124" i="7"/>
  <c r="O124" i="7" s="1" a="1"/>
  <c r="O124" i="7" s="1"/>
  <c r="J125" i="7"/>
  <c r="O125" i="7" s="1" a="1"/>
  <c r="O125" i="7" s="1"/>
  <c r="J126" i="7"/>
  <c r="O126" i="7" s="1" a="1"/>
  <c r="O126" i="7" s="1"/>
  <c r="J127" i="7"/>
  <c r="O127" i="7" s="1" a="1"/>
  <c r="O127" i="7" s="1"/>
  <c r="J128" i="7"/>
  <c r="O128" i="7" s="1" a="1"/>
  <c r="O128" i="7" s="1"/>
  <c r="J129" i="7"/>
  <c r="O129" i="7" s="1" a="1"/>
  <c r="O129" i="7" s="1"/>
  <c r="J130" i="7"/>
  <c r="O130" i="7" s="1" a="1"/>
  <c r="O130" i="7" s="1"/>
  <c r="J131" i="7"/>
  <c r="O131" i="7" s="1" a="1"/>
  <c r="O131" i="7" s="1"/>
  <c r="J132" i="7"/>
  <c r="O132" i="7" s="1" a="1"/>
  <c r="O132" i="7" s="1"/>
  <c r="J133" i="7"/>
  <c r="O133" i="7" s="1" a="1"/>
  <c r="O133" i="7" s="1"/>
  <c r="J134" i="7"/>
  <c r="O134" i="7" s="1" a="1"/>
  <c r="O134" i="7" s="1"/>
  <c r="J135" i="7"/>
  <c r="O135" i="7" s="1" a="1"/>
  <c r="O135" i="7" s="1"/>
  <c r="J136" i="7"/>
  <c r="O136" i="7" s="1" a="1"/>
  <c r="O136" i="7" s="1"/>
  <c r="J137" i="7"/>
  <c r="O137" i="7" s="1" a="1"/>
  <c r="O137" i="7" s="1"/>
  <c r="J138" i="7"/>
  <c r="O138" i="7" s="1" a="1"/>
  <c r="O138" i="7" s="1"/>
  <c r="J139" i="7"/>
  <c r="O139" i="7" s="1" a="1"/>
  <c r="O139" i="7" s="1"/>
  <c r="J140" i="7"/>
  <c r="O140" i="7" s="1" a="1"/>
  <c r="O140" i="7" s="1"/>
  <c r="J141" i="7"/>
  <c r="O141" i="7" s="1" a="1"/>
  <c r="O141" i="7" s="1"/>
  <c r="J142" i="7"/>
  <c r="O142" i="7" s="1" a="1"/>
  <c r="O142" i="7" s="1"/>
  <c r="J143" i="7"/>
  <c r="O143" i="7" s="1" a="1"/>
  <c r="O143" i="7" s="1"/>
  <c r="J144" i="7"/>
  <c r="O144" i="7" s="1" a="1"/>
  <c r="O144" i="7" s="1"/>
  <c r="J145" i="7"/>
  <c r="O145" i="7" s="1" a="1"/>
  <c r="O145" i="7" s="1"/>
  <c r="J146" i="7"/>
  <c r="O146" i="7" s="1" a="1"/>
  <c r="O146" i="7" s="1"/>
  <c r="J147" i="7"/>
  <c r="O147" i="7" s="1" a="1"/>
  <c r="O147" i="7" s="1"/>
  <c r="J148" i="7"/>
  <c r="O148" i="7" s="1" a="1"/>
  <c r="O148" i="7" s="1"/>
  <c r="J149" i="7"/>
  <c r="O149" i="7" s="1" a="1"/>
  <c r="O149" i="7" s="1"/>
  <c r="J150" i="7"/>
  <c r="O150" i="7" s="1" a="1"/>
  <c r="O150" i="7" s="1"/>
  <c r="J151" i="7"/>
  <c r="O151" i="7" s="1" a="1"/>
  <c r="O151" i="7" s="1"/>
  <c r="J152" i="7"/>
  <c r="O152" i="7" s="1" a="1"/>
  <c r="O152" i="7" s="1"/>
  <c r="J153" i="7"/>
  <c r="O153" i="7" s="1" a="1"/>
  <c r="O153" i="7" s="1"/>
  <c r="J154" i="7"/>
  <c r="O154" i="7" s="1" a="1"/>
  <c r="O154" i="7" s="1"/>
  <c r="J155" i="7"/>
  <c r="O155" i="7" s="1" a="1"/>
  <c r="O155" i="7" s="1"/>
  <c r="J156" i="7"/>
  <c r="O156" i="7" s="1" a="1"/>
  <c r="O156" i="7" s="1"/>
  <c r="J157" i="7"/>
  <c r="O157" i="7" s="1" a="1"/>
  <c r="O157" i="7" s="1"/>
  <c r="J158" i="7"/>
  <c r="O158" i="7" s="1" a="1"/>
  <c r="O158" i="7" s="1"/>
  <c r="J159" i="7"/>
  <c r="O159" i="7" s="1" a="1"/>
  <c r="O159" i="7" s="1"/>
  <c r="J160" i="7"/>
  <c r="O160" i="7" s="1" a="1"/>
  <c r="O160" i="7" s="1"/>
  <c r="J165" i="7"/>
  <c r="O165" i="7" s="1" a="1"/>
  <c r="O165" i="7" s="1"/>
  <c r="J166" i="7"/>
  <c r="O166" i="7" s="1" a="1"/>
  <c r="O166" i="7" s="1"/>
  <c r="J167" i="7"/>
  <c r="O167" i="7" s="1" a="1"/>
  <c r="O167" i="7" s="1"/>
  <c r="J168" i="7"/>
  <c r="O168" i="7" s="1" a="1"/>
  <c r="O168" i="7" s="1"/>
  <c r="E14" i="6"/>
  <c r="E15" i="6"/>
  <c r="E16" i="6"/>
  <c r="F16" i="6" s="1"/>
  <c r="E17" i="6"/>
  <c r="E18" i="6"/>
  <c r="E19" i="6"/>
  <c r="F19" i="6" s="1"/>
  <c r="E12" i="6"/>
  <c r="E20" i="6"/>
  <c r="E21" i="6"/>
  <c r="E22" i="6"/>
  <c r="F22" i="6" s="1"/>
  <c r="E23" i="6"/>
  <c r="E24" i="6"/>
  <c r="E25" i="6"/>
  <c r="F25" i="6" s="1"/>
  <c r="E13" i="6"/>
  <c r="F13" i="6" s="1"/>
  <c r="E26" i="6"/>
  <c r="E27" i="6"/>
  <c r="E28" i="6"/>
  <c r="E29" i="6"/>
  <c r="F29" i="6" s="1"/>
  <c r="E30" i="6"/>
  <c r="E31" i="6"/>
  <c r="E32" i="6"/>
  <c r="E33" i="6"/>
  <c r="F33" i="6" s="1"/>
  <c r="E34" i="6"/>
  <c r="E35" i="6"/>
  <c r="E36" i="6"/>
  <c r="E37" i="6"/>
  <c r="F37" i="6" s="1"/>
  <c r="E38" i="6"/>
  <c r="E39" i="6"/>
  <c r="E40" i="6"/>
  <c r="E41" i="6"/>
  <c r="F41" i="6" s="1"/>
  <c r="E42" i="6"/>
  <c r="E43" i="6"/>
  <c r="E44" i="6"/>
  <c r="E45" i="6"/>
  <c r="F45" i="6" s="1"/>
  <c r="E46" i="6"/>
  <c r="E47" i="6"/>
  <c r="E48" i="6"/>
  <c r="E49" i="6"/>
  <c r="F49" i="6" s="1"/>
  <c r="E50" i="6"/>
  <c r="E51" i="6"/>
  <c r="E52" i="6"/>
  <c r="E53" i="6"/>
  <c r="F53" i="6" s="1"/>
  <c r="E54" i="6"/>
  <c r="E55" i="6"/>
  <c r="E56" i="6"/>
  <c r="E57" i="6"/>
  <c r="F57" i="6" s="1"/>
  <c r="E58" i="6"/>
  <c r="E59" i="6"/>
  <c r="E60" i="6"/>
  <c r="E61" i="6"/>
  <c r="F61" i="6" s="1"/>
  <c r="E62" i="6"/>
  <c r="E63" i="6"/>
  <c r="E64" i="6"/>
  <c r="E65" i="6"/>
  <c r="F65" i="6" s="1"/>
  <c r="E66" i="6"/>
  <c r="E67" i="6"/>
  <c r="E68" i="6"/>
  <c r="E69" i="6"/>
  <c r="F69" i="6" s="1"/>
  <c r="E70" i="6"/>
  <c r="E71" i="6"/>
  <c r="E72" i="6"/>
  <c r="E73" i="6"/>
  <c r="F73" i="6" s="1"/>
  <c r="E74" i="6"/>
  <c r="E75" i="6"/>
  <c r="E76" i="6"/>
  <c r="E77" i="6"/>
  <c r="F77" i="6" s="1"/>
  <c r="E78" i="6"/>
  <c r="E79" i="6"/>
  <c r="E80" i="6"/>
  <c r="E81" i="6"/>
  <c r="F81" i="6" s="1"/>
  <c r="E82" i="6"/>
  <c r="E83" i="6"/>
  <c r="E84" i="6"/>
  <c r="E85" i="6"/>
  <c r="F85" i="6" s="1"/>
  <c r="E86" i="6"/>
  <c r="J14" i="6"/>
  <c r="J15" i="6"/>
  <c r="J16" i="6"/>
  <c r="J17" i="6"/>
  <c r="J11" i="6"/>
  <c r="J18" i="6"/>
  <c r="J19" i="6"/>
  <c r="J12" i="6"/>
  <c r="J20" i="6"/>
  <c r="J21" i="6"/>
  <c r="J22" i="6"/>
  <c r="J23" i="6"/>
  <c r="J24" i="6"/>
  <c r="J25" i="6"/>
  <c r="J13"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I15" i="6"/>
  <c r="I16" i="6"/>
  <c r="I17" i="6"/>
  <c r="I11" i="6"/>
  <c r="I18" i="6"/>
  <c r="I19" i="6"/>
  <c r="I12" i="6"/>
  <c r="I20" i="6"/>
  <c r="I21" i="6"/>
  <c r="I22" i="6"/>
  <c r="I23" i="6"/>
  <c r="I24" i="6"/>
  <c r="I25" i="6"/>
  <c r="I13"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14" i="6"/>
  <c r="E4" i="1"/>
  <c r="E5" i="1"/>
  <c r="E6" i="1"/>
  <c r="E7" i="1"/>
  <c r="E8" i="1"/>
  <c r="E9" i="1"/>
  <c r="E10" i="1"/>
  <c r="E12" i="1"/>
  <c r="E13" i="1"/>
  <c r="E14" i="1"/>
  <c r="E15" i="1"/>
  <c r="E16" i="1"/>
  <c r="E17" i="1"/>
  <c r="E18" i="1"/>
  <c r="E19" i="1"/>
  <c r="E20" i="1"/>
  <c r="E21" i="1"/>
  <c r="E24" i="1"/>
  <c r="E25" i="1"/>
  <c r="E26" i="1"/>
  <c r="E27" i="1"/>
  <c r="E28" i="1"/>
  <c r="E30" i="1"/>
  <c r="E31" i="1"/>
  <c r="F4" i="1"/>
  <c r="F5" i="1"/>
  <c r="F6" i="1"/>
  <c r="F7" i="1"/>
  <c r="F8" i="1"/>
  <c r="F9" i="1"/>
  <c r="F10" i="1"/>
  <c r="F12" i="1"/>
  <c r="F13" i="1"/>
  <c r="F14" i="1"/>
  <c r="F15" i="1"/>
  <c r="F16" i="1"/>
  <c r="F17" i="1"/>
  <c r="F18" i="1"/>
  <c r="F19" i="1"/>
  <c r="F20" i="1"/>
  <c r="F21" i="1"/>
  <c r="F23" i="1"/>
  <c r="F24" i="1"/>
  <c r="F25" i="1"/>
  <c r="F26" i="1"/>
  <c r="F27" i="1"/>
  <c r="F28" i="1"/>
  <c r="F30" i="1"/>
  <c r="F31" i="1"/>
  <c r="G3" i="4"/>
  <c r="H4" i="1" s="1"/>
  <c r="G4" i="4"/>
  <c r="G5" i="4"/>
  <c r="H8" i="1" s="1"/>
  <c r="G6" i="4"/>
  <c r="G7" i="4"/>
  <c r="H13" i="1" s="1"/>
  <c r="G8" i="4"/>
  <c r="H15" i="1" s="1"/>
  <c r="G9" i="4"/>
  <c r="G10" i="4"/>
  <c r="H23" i="1" s="1"/>
  <c r="G11" i="4"/>
  <c r="H29" i="1" s="1"/>
  <c r="G12" i="4"/>
  <c r="H3" i="4"/>
  <c r="H4" i="4"/>
  <c r="H5" i="4"/>
  <c r="H6" i="4"/>
  <c r="H7" i="4"/>
  <c r="H8" i="4"/>
  <c r="H9" i="4"/>
  <c r="H10" i="4"/>
  <c r="H11" i="4"/>
  <c r="H12" i="4"/>
  <c r="F3" i="4"/>
  <c r="F4" i="4"/>
  <c r="F5" i="4"/>
  <c r="F6" i="4"/>
  <c r="F7" i="4"/>
  <c r="F8" i="4"/>
  <c r="F9" i="4"/>
  <c r="F10" i="4"/>
  <c r="F11" i="4"/>
  <c r="F12" i="4"/>
  <c r="E4" i="4"/>
  <c r="E5" i="4"/>
  <c r="E6" i="4"/>
  <c r="E7" i="4"/>
  <c r="E8" i="4"/>
  <c r="E9" i="4"/>
  <c r="E10" i="4"/>
  <c r="E11" i="4"/>
  <c r="E12" i="4"/>
  <c r="D4" i="4"/>
  <c r="D5" i="4"/>
  <c r="D6" i="4"/>
  <c r="D7" i="4"/>
  <c r="D8" i="4"/>
  <c r="D9" i="4"/>
  <c r="D10" i="4"/>
  <c r="D11" i="4"/>
  <c r="D12" i="4"/>
  <c r="D3" i="4"/>
  <c r="AB36" i="7" l="1"/>
  <c r="AI10" i="11"/>
  <c r="AL8" i="11"/>
  <c r="U167" i="7"/>
  <c r="Z167" i="7"/>
  <c r="U159" i="7"/>
  <c r="Z159" i="7"/>
  <c r="Z109" i="7"/>
  <c r="U109" i="7"/>
  <c r="Z36" i="7"/>
  <c r="U36" i="7"/>
  <c r="Z126" i="7"/>
  <c r="U126" i="7"/>
  <c r="Z108" i="7"/>
  <c r="U108" i="7"/>
  <c r="H5" i="1"/>
  <c r="Z149" i="7"/>
  <c r="U149" i="7"/>
  <c r="Z125" i="7"/>
  <c r="U125" i="7"/>
  <c r="U119" i="7"/>
  <c r="Z119" i="7"/>
  <c r="Z120" i="7"/>
  <c r="U120" i="7"/>
  <c r="Z168" i="7"/>
  <c r="U168" i="7"/>
  <c r="Z148" i="7"/>
  <c r="U148" i="7"/>
  <c r="Z128" i="7"/>
  <c r="U128" i="7"/>
  <c r="Z124" i="7"/>
  <c r="U124" i="7"/>
  <c r="Z117" i="7"/>
  <c r="U117" i="7"/>
  <c r="AA13" i="7"/>
  <c r="Z13" i="7"/>
  <c r="W7" i="7" a="1"/>
  <c r="W7" i="7" s="1"/>
  <c r="Y7" i="7" s="1"/>
  <c r="AH8" i="12"/>
  <c r="BK8" i="12" s="1"/>
  <c r="H9" i="1"/>
  <c r="H11" i="1"/>
  <c r="H17" i="1"/>
  <c r="H22" i="1"/>
  <c r="H89" i="6"/>
  <c r="H105" i="6"/>
  <c r="H121" i="6"/>
  <c r="H137" i="6"/>
  <c r="H153" i="6"/>
  <c r="H169" i="6"/>
  <c r="H102" i="6"/>
  <c r="H118" i="6"/>
  <c r="H134" i="6"/>
  <c r="H150" i="6"/>
  <c r="H166" i="6"/>
  <c r="H100" i="6"/>
  <c r="H128" i="6"/>
  <c r="H160" i="6"/>
  <c r="H91" i="6"/>
  <c r="H107" i="6"/>
  <c r="H123" i="6"/>
  <c r="H139" i="6"/>
  <c r="H155" i="6"/>
  <c r="H171" i="6"/>
  <c r="H124" i="6"/>
  <c r="H156" i="6"/>
  <c r="H93" i="6"/>
  <c r="H109" i="6"/>
  <c r="H125" i="6"/>
  <c r="H141" i="6"/>
  <c r="H157" i="6"/>
  <c r="H90" i="6"/>
  <c r="H106" i="6"/>
  <c r="H122" i="6"/>
  <c r="H138" i="6"/>
  <c r="H154" i="6"/>
  <c r="H170" i="6"/>
  <c r="H104" i="6"/>
  <c r="H136" i="6"/>
  <c r="H164" i="6"/>
  <c r="H95" i="6"/>
  <c r="H111" i="6"/>
  <c r="H127" i="6"/>
  <c r="H143" i="6"/>
  <c r="H159" i="6"/>
  <c r="H96" i="6"/>
  <c r="H132" i="6"/>
  <c r="H168" i="6"/>
  <c r="H97" i="6"/>
  <c r="H113" i="6"/>
  <c r="H129" i="6"/>
  <c r="H145" i="6"/>
  <c r="H161" i="6"/>
  <c r="H94" i="6"/>
  <c r="H110" i="6"/>
  <c r="H126" i="6"/>
  <c r="H142" i="6"/>
  <c r="H158" i="6"/>
  <c r="H88" i="6"/>
  <c r="H112" i="6"/>
  <c r="H144" i="6"/>
  <c r="H172" i="6"/>
  <c r="H99" i="6"/>
  <c r="H115" i="6"/>
  <c r="H131" i="6"/>
  <c r="H147" i="6"/>
  <c r="H163" i="6"/>
  <c r="H108" i="6"/>
  <c r="H140" i="6"/>
  <c r="H101" i="6"/>
  <c r="H117" i="6"/>
  <c r="H133" i="6"/>
  <c r="H149" i="6"/>
  <c r="H165" i="6"/>
  <c r="H98" i="6"/>
  <c r="H114" i="6"/>
  <c r="H130" i="6"/>
  <c r="H146" i="6"/>
  <c r="H162" i="6"/>
  <c r="H92" i="6"/>
  <c r="H120" i="6"/>
  <c r="H152" i="6"/>
  <c r="H87" i="6"/>
  <c r="H103" i="6"/>
  <c r="H119" i="6"/>
  <c r="H135" i="6"/>
  <c r="H151" i="6"/>
  <c r="H167" i="6"/>
  <c r="H116" i="6"/>
  <c r="H148" i="6"/>
  <c r="AK10" i="12"/>
  <c r="AJ10" i="12"/>
  <c r="AM13" i="12"/>
  <c r="D22" i="1"/>
  <c r="D11" i="1"/>
  <c r="I11" i="1"/>
  <c r="G11" i="1"/>
  <c r="I22" i="1"/>
  <c r="J22" i="1" s="1"/>
  <c r="G22" i="1"/>
  <c r="AI11" i="11"/>
  <c r="M112" i="13"/>
  <c r="H31" i="1"/>
  <c r="H33" i="1"/>
  <c r="D33" i="1"/>
  <c r="G33" i="1"/>
  <c r="I33" i="1"/>
  <c r="J33" i="1" s="1"/>
  <c r="D29" i="1"/>
  <c r="AJ9" i="11"/>
  <c r="AI12" i="11"/>
  <c r="AJ12" i="11"/>
  <c r="AH11" i="11"/>
  <c r="AH12" i="11"/>
  <c r="AM12" i="11"/>
  <c r="AI8" i="11"/>
  <c r="AK12" i="11"/>
  <c r="AL12" i="11"/>
  <c r="AH10" i="11"/>
  <c r="AH8" i="11"/>
  <c r="AJ8" i="11"/>
  <c r="AK8" i="11"/>
  <c r="AH9" i="11"/>
  <c r="AI9" i="11"/>
  <c r="AI18" i="12"/>
  <c r="AL14" i="12"/>
  <c r="I29" i="1"/>
  <c r="J29" i="1" s="1"/>
  <c r="G29" i="1"/>
  <c r="H26" i="1"/>
  <c r="H32" i="1"/>
  <c r="D32" i="1"/>
  <c r="G32" i="1"/>
  <c r="I32" i="1"/>
  <c r="O37" i="7" a="1"/>
  <c r="O37" i="7" s="1"/>
  <c r="S37" i="7" s="1"/>
  <c r="AN19" i="12"/>
  <c r="S166" i="7"/>
  <c r="N166" i="7" a="1"/>
  <c r="N166" i="7" s="1"/>
  <c r="R166" i="7" s="1"/>
  <c r="S154" i="7"/>
  <c r="N154" i="7" a="1"/>
  <c r="N154" i="7" s="1"/>
  <c r="R154" i="7" s="1"/>
  <c r="S146" i="7"/>
  <c r="N146" i="7" a="1"/>
  <c r="N146" i="7" s="1"/>
  <c r="R146" i="7" s="1"/>
  <c r="S134" i="7"/>
  <c r="N134" i="7" a="1"/>
  <c r="N134" i="7" s="1"/>
  <c r="R134" i="7" s="1"/>
  <c r="S126" i="7"/>
  <c r="N126" i="7" a="1"/>
  <c r="N126" i="7" s="1"/>
  <c r="R126" i="7" s="1"/>
  <c r="S101" i="7"/>
  <c r="N101" i="7" a="1"/>
  <c r="N101" i="7" s="1"/>
  <c r="R101" i="7" s="1"/>
  <c r="S157" i="7"/>
  <c r="N157" i="7" a="1"/>
  <c r="N157" i="7" s="1"/>
  <c r="R157" i="7" s="1"/>
  <c r="S145" i="7"/>
  <c r="N145" i="7" a="1"/>
  <c r="N145" i="7" s="1"/>
  <c r="R145" i="7" s="1"/>
  <c r="S133" i="7"/>
  <c r="N133" i="7" a="1"/>
  <c r="N133" i="7" s="1"/>
  <c r="R133" i="7" s="1"/>
  <c r="S125" i="7"/>
  <c r="N125" i="7" a="1"/>
  <c r="N125" i="7" s="1"/>
  <c r="R125" i="7" s="1"/>
  <c r="S104" i="7"/>
  <c r="N104" i="7" a="1"/>
  <c r="N104" i="7" s="1"/>
  <c r="R104" i="7" s="1"/>
  <c r="S60" i="7"/>
  <c r="N60" i="7" a="1"/>
  <c r="N60" i="7" s="1"/>
  <c r="R60" i="7" s="1"/>
  <c r="S57" i="7"/>
  <c r="N57" i="7" a="1"/>
  <c r="N57" i="7" s="1"/>
  <c r="R57" i="7" s="1"/>
  <c r="S53" i="7"/>
  <c r="N53" i="7" a="1"/>
  <c r="N53" i="7" s="1"/>
  <c r="R53" i="7" s="1"/>
  <c r="S45" i="7"/>
  <c r="N45" i="7" a="1"/>
  <c r="N45" i="7" s="1"/>
  <c r="R45" i="7" s="1"/>
  <c r="S41" i="7"/>
  <c r="N41" i="7" a="1"/>
  <c r="N41" i="7" s="1"/>
  <c r="R41" i="7" s="1"/>
  <c r="S158" i="7"/>
  <c r="N158" i="7" a="1"/>
  <c r="N158" i="7" s="1"/>
  <c r="R158" i="7" s="1"/>
  <c r="S150" i="7"/>
  <c r="N150" i="7" a="1"/>
  <c r="N150" i="7" s="1"/>
  <c r="R150" i="7" s="1"/>
  <c r="S142" i="7"/>
  <c r="N142" i="7" a="1"/>
  <c r="N142" i="7" s="1"/>
  <c r="R142" i="7" s="1"/>
  <c r="S138" i="7"/>
  <c r="N138" i="7" a="1"/>
  <c r="N138" i="7" s="1"/>
  <c r="R138" i="7" s="1"/>
  <c r="S130" i="7"/>
  <c r="N130" i="7" a="1"/>
  <c r="N130" i="7" s="1"/>
  <c r="R130" i="7" s="1"/>
  <c r="S117" i="7"/>
  <c r="N117" i="7" a="1"/>
  <c r="N117" i="7" s="1"/>
  <c r="R117" i="7" s="1"/>
  <c r="S107" i="7"/>
  <c r="N107" i="7" a="1"/>
  <c r="N107" i="7" s="1"/>
  <c r="R107" i="7" s="1"/>
  <c r="S61" i="7"/>
  <c r="N61" i="7" a="1"/>
  <c r="N61" i="7" s="1"/>
  <c r="R61" i="7" s="1"/>
  <c r="S58" i="7"/>
  <c r="N58" i="7" a="1"/>
  <c r="N58" i="7" s="1"/>
  <c r="R58" i="7" s="1"/>
  <c r="S54" i="7"/>
  <c r="N54" i="7" a="1"/>
  <c r="N54" i="7" s="1"/>
  <c r="R54" i="7" s="1"/>
  <c r="S50" i="7"/>
  <c r="N50" i="7" a="1"/>
  <c r="N50" i="7" s="1"/>
  <c r="R50" i="7" s="1"/>
  <c r="S46" i="7"/>
  <c r="N46" i="7" a="1"/>
  <c r="N46" i="7" s="1"/>
  <c r="R46" i="7" s="1"/>
  <c r="S42" i="7"/>
  <c r="N42" i="7" a="1"/>
  <c r="N42" i="7" s="1"/>
  <c r="R42" i="7" s="1"/>
  <c r="S165" i="7"/>
  <c r="N165" i="7" a="1"/>
  <c r="N165" i="7" s="1"/>
  <c r="R165" i="7" s="1"/>
  <c r="S153" i="7"/>
  <c r="N153" i="7" a="1"/>
  <c r="N153" i="7" s="1"/>
  <c r="R153" i="7" s="1"/>
  <c r="S149" i="7"/>
  <c r="N149" i="7" a="1"/>
  <c r="N149" i="7" s="1"/>
  <c r="R149" i="7" s="1"/>
  <c r="S141" i="7"/>
  <c r="N141" i="7" a="1"/>
  <c r="N141" i="7" s="1"/>
  <c r="R141" i="7" s="1"/>
  <c r="S137" i="7"/>
  <c r="N137" i="7" a="1"/>
  <c r="N137" i="7" s="1"/>
  <c r="R137" i="7" s="1"/>
  <c r="S129" i="7"/>
  <c r="N129" i="7" a="1"/>
  <c r="N129" i="7" s="1"/>
  <c r="R129" i="7" s="1"/>
  <c r="S120" i="7"/>
  <c r="N120" i="7" a="1"/>
  <c r="N120" i="7" s="1"/>
  <c r="R120" i="7" s="1"/>
  <c r="S64" i="7"/>
  <c r="N64" i="7" a="1"/>
  <c r="N64" i="7" s="1"/>
  <c r="R64" i="7" s="1"/>
  <c r="S49" i="7"/>
  <c r="N49" i="7" a="1"/>
  <c r="N49" i="7" s="1"/>
  <c r="R49" i="7" s="1"/>
  <c r="S168" i="7"/>
  <c r="N168" i="7" a="1"/>
  <c r="N168" i="7" s="1"/>
  <c r="R168" i="7" s="1"/>
  <c r="S160" i="7"/>
  <c r="N160" i="7" a="1"/>
  <c r="N160" i="7" s="1"/>
  <c r="R160" i="7" s="1"/>
  <c r="S156" i="7"/>
  <c r="N156" i="7" a="1"/>
  <c r="N156" i="7" s="1"/>
  <c r="R156" i="7" s="1"/>
  <c r="S152" i="7"/>
  <c r="N152" i="7" a="1"/>
  <c r="N152" i="7" s="1"/>
  <c r="R152" i="7" s="1"/>
  <c r="S148" i="7"/>
  <c r="N148" i="7" a="1"/>
  <c r="N148" i="7" s="1"/>
  <c r="R148" i="7" s="1"/>
  <c r="S144" i="7"/>
  <c r="N144" i="7" a="1"/>
  <c r="N144" i="7" s="1"/>
  <c r="R144" i="7" s="1"/>
  <c r="S140" i="7"/>
  <c r="N140" i="7" a="1"/>
  <c r="N140" i="7" s="1"/>
  <c r="R140" i="7" s="1"/>
  <c r="S136" i="7"/>
  <c r="N136" i="7" a="1"/>
  <c r="N136" i="7" s="1"/>
  <c r="R136" i="7" s="1"/>
  <c r="S132" i="7"/>
  <c r="N132" i="7" a="1"/>
  <c r="N132" i="7" s="1"/>
  <c r="R132" i="7" s="1"/>
  <c r="S128" i="7"/>
  <c r="N128" i="7" a="1"/>
  <c r="N128" i="7" s="1"/>
  <c r="R128" i="7" s="1"/>
  <c r="S124" i="7"/>
  <c r="N124" i="7" a="1"/>
  <c r="N124" i="7" s="1"/>
  <c r="R124" i="7" s="1"/>
  <c r="S109" i="7"/>
  <c r="N109" i="7" a="1"/>
  <c r="N109" i="7" s="1"/>
  <c r="R109" i="7" s="1"/>
  <c r="S103" i="7"/>
  <c r="N103" i="7" a="1"/>
  <c r="N103" i="7" s="1"/>
  <c r="R103" i="7" s="1"/>
  <c r="S63" i="7"/>
  <c r="N63" i="7" a="1"/>
  <c r="N63" i="7" s="1"/>
  <c r="R63" i="7" s="1"/>
  <c r="S39" i="7"/>
  <c r="N39" i="7" a="1"/>
  <c r="N39" i="7" s="1"/>
  <c r="R39" i="7" s="1"/>
  <c r="S56" i="7"/>
  <c r="N56" i="7" a="1"/>
  <c r="N56" i="7" s="1"/>
  <c r="R56" i="7" s="1"/>
  <c r="S52" i="7"/>
  <c r="N52" i="7" a="1"/>
  <c r="N52" i="7" s="1"/>
  <c r="R52" i="7" s="1"/>
  <c r="S48" i="7"/>
  <c r="N48" i="7" a="1"/>
  <c r="N48" i="7" s="1"/>
  <c r="R48" i="7" s="1"/>
  <c r="S44" i="7"/>
  <c r="N44" i="7" a="1"/>
  <c r="N44" i="7" s="1"/>
  <c r="R44" i="7" s="1"/>
  <c r="S40" i="7"/>
  <c r="N40" i="7" a="1"/>
  <c r="N40" i="7" s="1"/>
  <c r="R40" i="7" s="1"/>
  <c r="S167" i="7"/>
  <c r="N167" i="7" a="1"/>
  <c r="N167" i="7" s="1"/>
  <c r="R167" i="7" s="1"/>
  <c r="S159" i="7"/>
  <c r="N159" i="7" a="1"/>
  <c r="N159" i="7" s="1"/>
  <c r="R159" i="7" s="1"/>
  <c r="S155" i="7"/>
  <c r="N155" i="7" a="1"/>
  <c r="N155" i="7" s="1"/>
  <c r="R155" i="7" s="1"/>
  <c r="S151" i="7"/>
  <c r="N151" i="7" a="1"/>
  <c r="N151" i="7" s="1"/>
  <c r="R151" i="7" s="1"/>
  <c r="S147" i="7"/>
  <c r="N147" i="7" a="1"/>
  <c r="N147" i="7" s="1"/>
  <c r="R147" i="7" s="1"/>
  <c r="S143" i="7"/>
  <c r="N143" i="7" a="1"/>
  <c r="N143" i="7" s="1"/>
  <c r="R143" i="7" s="1"/>
  <c r="S139" i="7"/>
  <c r="N139" i="7" a="1"/>
  <c r="N139" i="7" s="1"/>
  <c r="R139" i="7" s="1"/>
  <c r="S135" i="7"/>
  <c r="N135" i="7" a="1"/>
  <c r="N135" i="7" s="1"/>
  <c r="R135" i="7" s="1"/>
  <c r="S131" i="7"/>
  <c r="N131" i="7" a="1"/>
  <c r="N131" i="7" s="1"/>
  <c r="R131" i="7" s="1"/>
  <c r="S127" i="7"/>
  <c r="N127" i="7" a="1"/>
  <c r="N127" i="7" s="1"/>
  <c r="R127" i="7" s="1"/>
  <c r="S119" i="7"/>
  <c r="N119" i="7" a="1"/>
  <c r="N119" i="7" s="1"/>
  <c r="R119" i="7" s="1"/>
  <c r="S108" i="7"/>
  <c r="N108" i="7" a="1"/>
  <c r="N108" i="7" s="1"/>
  <c r="R108" i="7" s="1"/>
  <c r="S102" i="7"/>
  <c r="N102" i="7" a="1"/>
  <c r="N102" i="7" s="1"/>
  <c r="R102" i="7" s="1"/>
  <c r="S62" i="7"/>
  <c r="N62" i="7" a="1"/>
  <c r="N62" i="7" s="1"/>
  <c r="R62" i="7" s="1"/>
  <c r="S59" i="7"/>
  <c r="N59" i="7" a="1"/>
  <c r="N59" i="7" s="1"/>
  <c r="R59" i="7" s="1"/>
  <c r="S55" i="7"/>
  <c r="N55" i="7" a="1"/>
  <c r="N55" i="7" s="1"/>
  <c r="R55" i="7" s="1"/>
  <c r="S51" i="7"/>
  <c r="N51" i="7" a="1"/>
  <c r="N51" i="7" s="1"/>
  <c r="R51" i="7" s="1"/>
  <c r="S47" i="7"/>
  <c r="N47" i="7" a="1"/>
  <c r="N47" i="7" s="1"/>
  <c r="R47" i="7" s="1"/>
  <c r="S43" i="7"/>
  <c r="N43" i="7" a="1"/>
  <c r="N43" i="7" s="1"/>
  <c r="R43" i="7" s="1"/>
  <c r="N37" i="7" a="1"/>
  <c r="N37" i="7" s="1"/>
  <c r="R37" i="7" s="1"/>
  <c r="M158" i="7" a="1"/>
  <c r="M158" i="7" s="1"/>
  <c r="Q158" i="7" s="1"/>
  <c r="M146" i="7" a="1"/>
  <c r="M146" i="7" s="1"/>
  <c r="Q146" i="7" s="1"/>
  <c r="M138" i="7" a="1"/>
  <c r="M138" i="7" s="1"/>
  <c r="Q138" i="7" s="1"/>
  <c r="M126" i="7" a="1"/>
  <c r="M126" i="7" s="1"/>
  <c r="Q126" i="7" s="1"/>
  <c r="K107" i="7"/>
  <c r="K61" i="7"/>
  <c r="M50" i="7" a="1"/>
  <c r="M50" i="7" s="1"/>
  <c r="Q50" i="7" s="1"/>
  <c r="M42" i="7" a="1"/>
  <c r="M42" i="7" s="1"/>
  <c r="Q42" i="7" s="1"/>
  <c r="L165" i="7" a="1"/>
  <c r="L165" i="7" s="1"/>
  <c r="P165" i="7" s="1"/>
  <c r="L157" i="7" a="1"/>
  <c r="L157" i="7" s="1"/>
  <c r="P157" i="7" s="1"/>
  <c r="L153" i="7" a="1"/>
  <c r="L153" i="7" s="1"/>
  <c r="P153" i="7" s="1"/>
  <c r="L149" i="7" a="1"/>
  <c r="L149" i="7" s="1"/>
  <c r="P149" i="7" s="1"/>
  <c r="L145" i="7" a="1"/>
  <c r="L145" i="7" s="1"/>
  <c r="P145" i="7" s="1"/>
  <c r="K141" i="7"/>
  <c r="K137" i="7"/>
  <c r="K133" i="7"/>
  <c r="K129" i="7"/>
  <c r="L125" i="7" a="1"/>
  <c r="L125" i="7" s="1"/>
  <c r="P125" i="7" s="1"/>
  <c r="K104" i="7"/>
  <c r="L64" i="7" a="1"/>
  <c r="L64" i="7" s="1"/>
  <c r="P64" i="7" s="1"/>
  <c r="M60" i="7" a="1"/>
  <c r="M60" i="7" s="1"/>
  <c r="Q60" i="7" s="1"/>
  <c r="M57" i="7" a="1"/>
  <c r="M57" i="7" s="1"/>
  <c r="Q57" i="7" s="1"/>
  <c r="M53" i="7" a="1"/>
  <c r="M53" i="7" s="1"/>
  <c r="Q53" i="7" s="1"/>
  <c r="M49" i="7" a="1"/>
  <c r="M49" i="7" s="1"/>
  <c r="Q49" i="7" s="1"/>
  <c r="M45" i="7" a="1"/>
  <c r="M45" i="7" s="1"/>
  <c r="Q45" i="7" s="1"/>
  <c r="K41" i="7"/>
  <c r="M154" i="7" a="1"/>
  <c r="M154" i="7" s="1"/>
  <c r="Q154" i="7" s="1"/>
  <c r="M142" i="7" a="1"/>
  <c r="M142" i="7" s="1"/>
  <c r="Q142" i="7" s="1"/>
  <c r="M130" i="7" a="1"/>
  <c r="M130" i="7" s="1"/>
  <c r="Q130" i="7" s="1"/>
  <c r="M117" i="7" a="1"/>
  <c r="M117" i="7" s="1"/>
  <c r="Q117" i="7" s="1"/>
  <c r="M54" i="7" a="1"/>
  <c r="M54" i="7" s="1"/>
  <c r="Q54" i="7" s="1"/>
  <c r="M46" i="7" a="1"/>
  <c r="M46" i="7" s="1"/>
  <c r="Q46" i="7" s="1"/>
  <c r="K160" i="7"/>
  <c r="K152" i="7"/>
  <c r="K144" i="7"/>
  <c r="L140" i="7" a="1"/>
  <c r="L140" i="7" s="1"/>
  <c r="P140" i="7" s="1"/>
  <c r="K136" i="7"/>
  <c r="L132" i="7" a="1"/>
  <c r="L132" i="7" s="1"/>
  <c r="P132" i="7" s="1"/>
  <c r="K103" i="7"/>
  <c r="L63" i="7" a="1"/>
  <c r="L63" i="7" s="1"/>
  <c r="P63" i="7" s="1"/>
  <c r="M39" i="7" a="1"/>
  <c r="M39" i="7" s="1"/>
  <c r="Q39" i="7" s="1"/>
  <c r="L56" i="7" a="1"/>
  <c r="L56" i="7" s="1"/>
  <c r="P56" i="7" s="1"/>
  <c r="K52" i="7"/>
  <c r="L48" i="7" a="1"/>
  <c r="L48" i="7" s="1"/>
  <c r="P48" i="7" s="1"/>
  <c r="L44" i="7" a="1"/>
  <c r="L44" i="7" s="1"/>
  <c r="P44" i="7" s="1"/>
  <c r="L40" i="7" a="1"/>
  <c r="L40" i="7" s="1"/>
  <c r="P40" i="7" s="1"/>
  <c r="M166" i="7" a="1"/>
  <c r="M166" i="7" s="1"/>
  <c r="Q166" i="7" s="1"/>
  <c r="M150" i="7" a="1"/>
  <c r="M150" i="7" s="1"/>
  <c r="Q150" i="7" s="1"/>
  <c r="M134" i="7" a="1"/>
  <c r="M134" i="7" s="1"/>
  <c r="Q134" i="7" s="1"/>
  <c r="L168" i="7" a="1"/>
  <c r="L168" i="7" s="1"/>
  <c r="P168" i="7" s="1"/>
  <c r="L156" i="7" a="1"/>
  <c r="L156" i="7" s="1"/>
  <c r="P156" i="7" s="1"/>
  <c r="L148" i="7" a="1"/>
  <c r="L148" i="7" s="1"/>
  <c r="P148" i="7" s="1"/>
  <c r="L128" i="7" a="1"/>
  <c r="L128" i="7" s="1"/>
  <c r="P128" i="7" s="1"/>
  <c r="L167" i="7" a="1"/>
  <c r="L167" i="7" s="1"/>
  <c r="P167" i="7" s="1"/>
  <c r="M159" i="7" a="1"/>
  <c r="M159" i="7" s="1"/>
  <c r="Q159" i="7" s="1"/>
  <c r="L155" i="7" a="1"/>
  <c r="L155" i="7" s="1"/>
  <c r="P155" i="7" s="1"/>
  <c r="L151" i="7" a="1"/>
  <c r="L151" i="7" s="1"/>
  <c r="P151" i="7" s="1"/>
  <c r="K147" i="7"/>
  <c r="K143" i="7"/>
  <c r="L139" i="7" a="1"/>
  <c r="L139" i="7" s="1"/>
  <c r="P139" i="7" s="1"/>
  <c r="K135" i="7"/>
  <c r="K131" i="7"/>
  <c r="M127" i="7" a="1"/>
  <c r="M127" i="7" s="1"/>
  <c r="Q127" i="7" s="1"/>
  <c r="M102" i="7" a="1"/>
  <c r="M102" i="7" s="1"/>
  <c r="Q102" i="7" s="1"/>
  <c r="M62" i="7" a="1"/>
  <c r="M62" i="7" s="1"/>
  <c r="Q62" i="7" s="1"/>
  <c r="L59" i="7" a="1"/>
  <c r="L59" i="7" s="1"/>
  <c r="P59" i="7" s="1"/>
  <c r="L55" i="7" a="1"/>
  <c r="L55" i="7" s="1"/>
  <c r="P55" i="7" s="1"/>
  <c r="L51" i="7" a="1"/>
  <c r="L51" i="7" s="1"/>
  <c r="P51" i="7" s="1"/>
  <c r="L47" i="7" a="1"/>
  <c r="L47" i="7" s="1"/>
  <c r="P47" i="7" s="1"/>
  <c r="K43" i="7"/>
  <c r="AL23" i="12"/>
  <c r="AM19" i="12"/>
  <c r="AJ20" i="12"/>
  <c r="P6" i="14"/>
  <c r="M6" i="9"/>
  <c r="I6" i="9"/>
  <c r="J6" i="9"/>
  <c r="M61" i="13"/>
  <c r="M62" i="13" s="1"/>
  <c r="M63" i="13" s="1"/>
  <c r="M20" i="13"/>
  <c r="M148" i="13"/>
  <c r="X36" i="7" a="1"/>
  <c r="X36" i="7" s="1"/>
  <c r="T167" i="7" a="1"/>
  <c r="T167" i="7" s="1"/>
  <c r="V167" i="7" s="1"/>
  <c r="X167" i="7" a="1"/>
  <c r="X167" i="7" s="1"/>
  <c r="T164" i="7" a="1"/>
  <c r="T164" i="7" s="1"/>
  <c r="X164" i="7" a="1"/>
  <c r="X164" i="7" s="1"/>
  <c r="T160" i="7" a="1"/>
  <c r="T160" i="7" s="1"/>
  <c r="X160" i="7" a="1"/>
  <c r="X160" i="7" s="1"/>
  <c r="T156" i="7" a="1"/>
  <c r="T156" i="7" s="1"/>
  <c r="X156" i="7" a="1"/>
  <c r="X156" i="7" s="1"/>
  <c r="T152" i="7" a="1"/>
  <c r="T152" i="7" s="1"/>
  <c r="X152" i="7" a="1"/>
  <c r="X152" i="7" s="1"/>
  <c r="T148" i="7" a="1"/>
  <c r="T148" i="7" s="1"/>
  <c r="V148" i="7" s="1"/>
  <c r="X148" i="7" a="1"/>
  <c r="X148" i="7" s="1"/>
  <c r="T144" i="7" a="1"/>
  <c r="T144" i="7" s="1"/>
  <c r="X144" i="7" a="1"/>
  <c r="X144" i="7" s="1"/>
  <c r="T140" i="7" a="1"/>
  <c r="T140" i="7" s="1"/>
  <c r="X140" i="7" a="1"/>
  <c r="X140" i="7" s="1"/>
  <c r="T136" i="7" a="1"/>
  <c r="T136" i="7" s="1"/>
  <c r="X136" i="7" a="1"/>
  <c r="X136" i="7" s="1"/>
  <c r="T132" i="7" a="1"/>
  <c r="T132" i="7" s="1"/>
  <c r="X132" i="7" a="1"/>
  <c r="X132" i="7" s="1"/>
  <c r="T128" i="7" a="1"/>
  <c r="T128" i="7" s="1"/>
  <c r="V128" i="7" s="1"/>
  <c r="X128" i="7" a="1"/>
  <c r="X128" i="7" s="1"/>
  <c r="T124" i="7" a="1"/>
  <c r="T124" i="7" s="1"/>
  <c r="V124" i="7" s="1"/>
  <c r="X124" i="7" a="1"/>
  <c r="X124" i="7" s="1"/>
  <c r="T119" i="7" a="1"/>
  <c r="T119" i="7" s="1"/>
  <c r="V119" i="7" s="1"/>
  <c r="X119" i="7" a="1"/>
  <c r="X119" i="7" s="1"/>
  <c r="T109" i="7" a="1"/>
  <c r="T109" i="7" s="1"/>
  <c r="V109" i="7" s="1"/>
  <c r="X109" i="7" a="1"/>
  <c r="X109" i="7" s="1"/>
  <c r="T105" i="7" a="1"/>
  <c r="T105" i="7" s="1"/>
  <c r="X105" i="7" a="1"/>
  <c r="X105" i="7" s="1"/>
  <c r="T101" i="7" a="1"/>
  <c r="T101" i="7" s="1"/>
  <c r="X101" i="7" a="1"/>
  <c r="X101" i="7" s="1"/>
  <c r="T39" i="7" a="1"/>
  <c r="T39" i="7" s="1"/>
  <c r="X39" i="7" a="1"/>
  <c r="X39" i="7" s="1"/>
  <c r="T57" i="7" a="1"/>
  <c r="T57" i="7" s="1"/>
  <c r="X57" i="7" a="1"/>
  <c r="X57" i="7" s="1"/>
  <c r="T53" i="7" a="1"/>
  <c r="T53" i="7" s="1"/>
  <c r="X53" i="7" a="1"/>
  <c r="X53" i="7" s="1"/>
  <c r="T49" i="7" a="1"/>
  <c r="T49" i="7" s="1"/>
  <c r="X49" i="7" a="1"/>
  <c r="X49" i="7" s="1"/>
  <c r="T45" i="7" a="1"/>
  <c r="T45" i="7" s="1"/>
  <c r="X45" i="7" a="1"/>
  <c r="X45" i="7" s="1"/>
  <c r="T41" i="7" a="1"/>
  <c r="T41" i="7" s="1"/>
  <c r="X41" i="7" a="1"/>
  <c r="X41" i="7" s="1"/>
  <c r="T163" i="7" a="1"/>
  <c r="T163" i="7" s="1"/>
  <c r="X163" i="7" a="1"/>
  <c r="X163" i="7" s="1"/>
  <c r="T159" i="7" a="1"/>
  <c r="T159" i="7" s="1"/>
  <c r="V159" i="7" s="1"/>
  <c r="X159" i="7" a="1"/>
  <c r="X159" i="7" s="1"/>
  <c r="T155" i="7" a="1"/>
  <c r="T155" i="7" s="1"/>
  <c r="X155" i="7" a="1"/>
  <c r="X155" i="7" s="1"/>
  <c r="T151" i="7" a="1"/>
  <c r="T151" i="7" s="1"/>
  <c r="X151" i="7" a="1"/>
  <c r="X151" i="7" s="1"/>
  <c r="T147" i="7" a="1"/>
  <c r="T147" i="7" s="1"/>
  <c r="X147" i="7" a="1"/>
  <c r="X147" i="7" s="1"/>
  <c r="T143" i="7" a="1"/>
  <c r="T143" i="7" s="1"/>
  <c r="X143" i="7" a="1"/>
  <c r="X143" i="7" s="1"/>
  <c r="T139" i="7" a="1"/>
  <c r="T139" i="7" s="1"/>
  <c r="X139" i="7" a="1"/>
  <c r="X139" i="7" s="1"/>
  <c r="T135" i="7" a="1"/>
  <c r="T135" i="7" s="1"/>
  <c r="X135" i="7" a="1"/>
  <c r="X135" i="7" s="1"/>
  <c r="T131" i="7" a="1"/>
  <c r="T131" i="7" s="1"/>
  <c r="X131" i="7" a="1"/>
  <c r="X131" i="7" s="1"/>
  <c r="T127" i="7" a="1"/>
  <c r="T127" i="7" s="1"/>
  <c r="X127" i="7" a="1"/>
  <c r="X127" i="7" s="1"/>
  <c r="T122" i="7" a="1"/>
  <c r="T122" i="7" s="1"/>
  <c r="X122" i="7" a="1"/>
  <c r="X122" i="7" s="1"/>
  <c r="T117" i="7" a="1"/>
  <c r="T117" i="7" s="1"/>
  <c r="V117" i="7" s="1"/>
  <c r="X117" i="7" a="1"/>
  <c r="X117" i="7" s="1"/>
  <c r="T120" i="7" a="1"/>
  <c r="T120" i="7" s="1"/>
  <c r="V120" i="7" s="1"/>
  <c r="X120" i="7" a="1"/>
  <c r="X120" i="7" s="1"/>
  <c r="T108" i="7" a="1"/>
  <c r="T108" i="7" s="1"/>
  <c r="V108" i="7" s="1"/>
  <c r="X108" i="7" a="1"/>
  <c r="X108" i="7" s="1"/>
  <c r="T104" i="7" a="1"/>
  <c r="T104" i="7" s="1"/>
  <c r="X104" i="7" a="1"/>
  <c r="X104" i="7" s="1"/>
  <c r="T64" i="7" a="1"/>
  <c r="T64" i="7" s="1"/>
  <c r="X64" i="7" a="1"/>
  <c r="X64" i="7" s="1"/>
  <c r="T59" i="7" a="1"/>
  <c r="T59" i="7" s="1"/>
  <c r="X59" i="7" a="1"/>
  <c r="X59" i="7" s="1"/>
  <c r="T56" i="7" a="1"/>
  <c r="T56" i="7" s="1"/>
  <c r="X56" i="7" a="1"/>
  <c r="X56" i="7" s="1"/>
  <c r="T52" i="7" a="1"/>
  <c r="T52" i="7" s="1"/>
  <c r="X52" i="7" a="1"/>
  <c r="X52" i="7" s="1"/>
  <c r="T48" i="7" a="1"/>
  <c r="T48" i="7" s="1"/>
  <c r="X48" i="7" a="1"/>
  <c r="X48" i="7" s="1"/>
  <c r="T44" i="7" a="1"/>
  <c r="T44" i="7" s="1"/>
  <c r="X44" i="7" a="1"/>
  <c r="X44" i="7" s="1"/>
  <c r="T40" i="7" a="1"/>
  <c r="T40" i="7" s="1"/>
  <c r="X40" i="7" a="1"/>
  <c r="X40" i="7" s="1"/>
  <c r="T166" i="7" a="1"/>
  <c r="T166" i="7" s="1"/>
  <c r="X166" i="7" a="1"/>
  <c r="X166" i="7" s="1"/>
  <c r="T162" i="7" a="1"/>
  <c r="T162" i="7" s="1"/>
  <c r="X162" i="7" a="1"/>
  <c r="X162" i="7" s="1"/>
  <c r="T158" i="7" a="1"/>
  <c r="T158" i="7" s="1"/>
  <c r="X158" i="7" a="1"/>
  <c r="X158" i="7" s="1"/>
  <c r="T154" i="7" a="1"/>
  <c r="T154" i="7" s="1"/>
  <c r="X154" i="7" a="1"/>
  <c r="X154" i="7" s="1"/>
  <c r="T150" i="7" a="1"/>
  <c r="T150" i="7" s="1"/>
  <c r="X150" i="7" a="1"/>
  <c r="X150" i="7" s="1"/>
  <c r="T146" i="7" a="1"/>
  <c r="T146" i="7" s="1"/>
  <c r="X146" i="7" a="1"/>
  <c r="X146" i="7" s="1"/>
  <c r="T142" i="7" a="1"/>
  <c r="T142" i="7" s="1"/>
  <c r="X142" i="7" a="1"/>
  <c r="X142" i="7" s="1"/>
  <c r="T138" i="7" a="1"/>
  <c r="T138" i="7" s="1"/>
  <c r="X138" i="7" a="1"/>
  <c r="X138" i="7" s="1"/>
  <c r="T134" i="7" a="1"/>
  <c r="T134" i="7" s="1"/>
  <c r="X134" i="7" a="1"/>
  <c r="X134" i="7" s="1"/>
  <c r="T130" i="7" a="1"/>
  <c r="T130" i="7" s="1"/>
  <c r="X130" i="7" a="1"/>
  <c r="X130" i="7" s="1"/>
  <c r="T126" i="7" a="1"/>
  <c r="T126" i="7" s="1"/>
  <c r="V126" i="7" s="1"/>
  <c r="X126" i="7" a="1"/>
  <c r="X126" i="7" s="1"/>
  <c r="T116" i="7" a="1"/>
  <c r="T116" i="7" s="1"/>
  <c r="X116" i="7" a="1"/>
  <c r="X116" i="7" s="1"/>
  <c r="T114" i="7" a="1"/>
  <c r="T114" i="7" s="1"/>
  <c r="X114" i="7" a="1"/>
  <c r="X114" i="7" s="1"/>
  <c r="T107" i="7" a="1"/>
  <c r="T107" i="7" s="1"/>
  <c r="X107" i="7" a="1"/>
  <c r="X107" i="7" s="1"/>
  <c r="T103" i="7" a="1"/>
  <c r="T103" i="7" s="1"/>
  <c r="X103" i="7" a="1"/>
  <c r="X103" i="7" s="1"/>
  <c r="T63" i="7" a="1"/>
  <c r="T63" i="7" s="1"/>
  <c r="X63" i="7" a="1"/>
  <c r="X63" i="7" s="1"/>
  <c r="T61" i="7" a="1"/>
  <c r="T61" i="7" s="1"/>
  <c r="X61" i="7" a="1"/>
  <c r="X61" i="7" s="1"/>
  <c r="T58" i="7" a="1"/>
  <c r="T58" i="7" s="1"/>
  <c r="X58" i="7" a="1"/>
  <c r="X58" i="7" s="1"/>
  <c r="T55" i="7" a="1"/>
  <c r="T55" i="7" s="1"/>
  <c r="X55" i="7" a="1"/>
  <c r="X55" i="7" s="1"/>
  <c r="T51" i="7" a="1"/>
  <c r="T51" i="7" s="1"/>
  <c r="X51" i="7" a="1"/>
  <c r="X51" i="7" s="1"/>
  <c r="T47" i="7" a="1"/>
  <c r="T47" i="7" s="1"/>
  <c r="X47" i="7" a="1"/>
  <c r="X47" i="7" s="1"/>
  <c r="T43" i="7" a="1"/>
  <c r="T43" i="7" s="1"/>
  <c r="X43" i="7" a="1"/>
  <c r="X43" i="7" s="1"/>
  <c r="T168" i="7" a="1"/>
  <c r="T168" i="7" s="1"/>
  <c r="V168" i="7" s="1"/>
  <c r="X168" i="7" a="1"/>
  <c r="X168" i="7" s="1"/>
  <c r="T165" i="7" a="1"/>
  <c r="T165" i="7" s="1"/>
  <c r="X165" i="7" a="1"/>
  <c r="X165" i="7" s="1"/>
  <c r="T161" i="7" a="1"/>
  <c r="T161" i="7" s="1"/>
  <c r="X161" i="7" a="1"/>
  <c r="X161" i="7" s="1"/>
  <c r="T157" i="7" a="1"/>
  <c r="T157" i="7" s="1"/>
  <c r="X157" i="7" a="1"/>
  <c r="X157" i="7" s="1"/>
  <c r="T153" i="7" a="1"/>
  <c r="T153" i="7" s="1"/>
  <c r="X153" i="7" a="1"/>
  <c r="X153" i="7" s="1"/>
  <c r="T149" i="7" a="1"/>
  <c r="T149" i="7" s="1"/>
  <c r="V149" i="7" s="1"/>
  <c r="X149" i="7" a="1"/>
  <c r="X149" i="7" s="1"/>
  <c r="T145" i="7" a="1"/>
  <c r="T145" i="7" s="1"/>
  <c r="X145" i="7" a="1"/>
  <c r="X145" i="7" s="1"/>
  <c r="T141" i="7" a="1"/>
  <c r="T141" i="7" s="1"/>
  <c r="X141" i="7" a="1"/>
  <c r="X141" i="7" s="1"/>
  <c r="T137" i="7" a="1"/>
  <c r="T137" i="7" s="1"/>
  <c r="X137" i="7" a="1"/>
  <c r="X137" i="7" s="1"/>
  <c r="T133" i="7" a="1"/>
  <c r="T133" i="7" s="1"/>
  <c r="X133" i="7" a="1"/>
  <c r="X133" i="7" s="1"/>
  <c r="T129" i="7" a="1"/>
  <c r="T129" i="7" s="1"/>
  <c r="X129" i="7" a="1"/>
  <c r="X129" i="7" s="1"/>
  <c r="T125" i="7" a="1"/>
  <c r="T125" i="7" s="1"/>
  <c r="V125" i="7" s="1"/>
  <c r="X125" i="7" a="1"/>
  <c r="X125" i="7" s="1"/>
  <c r="T121" i="7" a="1"/>
  <c r="T121" i="7" s="1"/>
  <c r="X121" i="7" a="1"/>
  <c r="X121" i="7" s="1"/>
  <c r="T115" i="7" a="1"/>
  <c r="T115" i="7" s="1"/>
  <c r="X115" i="7" a="1"/>
  <c r="X115" i="7" s="1"/>
  <c r="T106" i="7" a="1"/>
  <c r="T106" i="7" s="1"/>
  <c r="X106" i="7" a="1"/>
  <c r="X106" i="7" s="1"/>
  <c r="T102" i="7" a="1"/>
  <c r="T102" i="7" s="1"/>
  <c r="X102" i="7" a="1"/>
  <c r="X102" i="7" s="1"/>
  <c r="T62" i="7" a="1"/>
  <c r="T62" i="7" s="1"/>
  <c r="X62" i="7" a="1"/>
  <c r="X62" i="7" s="1"/>
  <c r="T60" i="7" a="1"/>
  <c r="T60" i="7" s="1"/>
  <c r="X60" i="7" a="1"/>
  <c r="X60" i="7" s="1"/>
  <c r="T54" i="7" a="1"/>
  <c r="T54" i="7" s="1"/>
  <c r="X54" i="7" a="1"/>
  <c r="X54" i="7" s="1"/>
  <c r="T50" i="7" a="1"/>
  <c r="T50" i="7" s="1"/>
  <c r="X50" i="7" a="1"/>
  <c r="X50" i="7" s="1"/>
  <c r="T46" i="7" a="1"/>
  <c r="T46" i="7" s="1"/>
  <c r="X46" i="7" a="1"/>
  <c r="X46" i="7" s="1"/>
  <c r="T42" i="7" a="1"/>
  <c r="T42" i="7" s="1"/>
  <c r="X42" i="7" a="1"/>
  <c r="X42" i="7" s="1"/>
  <c r="T37" i="7" a="1"/>
  <c r="T37" i="7" s="1"/>
  <c r="X37" i="7" a="1"/>
  <c r="X37" i="7" s="1"/>
  <c r="T36" i="7" a="1"/>
  <c r="T36" i="7" s="1"/>
  <c r="V36" i="7" s="1"/>
  <c r="AI11" i="12"/>
  <c r="AH12" i="12"/>
  <c r="AK13" i="12"/>
  <c r="AI14" i="12"/>
  <c r="AH16" i="12"/>
  <c r="AK19" i="12"/>
  <c r="AI21" i="12"/>
  <c r="AH22" i="12"/>
  <c r="AK23" i="12"/>
  <c r="AJ24" i="12"/>
  <c r="AN24" i="12"/>
  <c r="AR24" i="12"/>
  <c r="AV24" i="12"/>
  <c r="AZ24" i="12"/>
  <c r="BD24" i="12"/>
  <c r="AH25" i="12"/>
  <c r="AL25" i="12"/>
  <c r="AJ29" i="12"/>
  <c r="AI26" i="12"/>
  <c r="AH27" i="12"/>
  <c r="AL27" i="12"/>
  <c r="AP27" i="12"/>
  <c r="AT27" i="12"/>
  <c r="AK28" i="12"/>
  <c r="AO28" i="12"/>
  <c r="AJ30" i="12"/>
  <c r="AI31" i="12"/>
  <c r="AM31" i="12"/>
  <c r="AQ31" i="12"/>
  <c r="AU31" i="12"/>
  <c r="AY31" i="12"/>
  <c r="BC31" i="12"/>
  <c r="AJ13" i="12"/>
  <c r="AH14" i="12"/>
  <c r="AJ23" i="12"/>
  <c r="AI24" i="12"/>
  <c r="AY24" i="12"/>
  <c r="AK25" i="12"/>
  <c r="AI29" i="12"/>
  <c r="AK27" i="12"/>
  <c r="AJ28" i="12"/>
  <c r="AI30" i="12"/>
  <c r="AP31" i="12"/>
  <c r="BB31" i="12"/>
  <c r="AH9" i="12"/>
  <c r="AJ11" i="12"/>
  <c r="AI12" i="12"/>
  <c r="AH13" i="12"/>
  <c r="AL13" i="12"/>
  <c r="AJ14" i="12"/>
  <c r="AI16" i="12"/>
  <c r="AH19" i="12"/>
  <c r="AL19" i="12"/>
  <c r="AI22" i="12"/>
  <c r="AH23" i="12"/>
  <c r="AK24" i="12"/>
  <c r="AO24" i="12"/>
  <c r="AS24" i="12"/>
  <c r="AW24" i="12"/>
  <c r="BA24" i="12"/>
  <c r="AI25" i="12"/>
  <c r="AM25" i="12"/>
  <c r="AH17" i="12"/>
  <c r="AK29" i="12"/>
  <c r="AJ26" i="12"/>
  <c r="AI27" i="12"/>
  <c r="AM27" i="12"/>
  <c r="AQ27" i="12"/>
  <c r="AU27" i="12"/>
  <c r="AH28" i="12"/>
  <c r="AL28" i="12"/>
  <c r="AP28" i="12"/>
  <c r="AK30" i="12"/>
  <c r="AJ31" i="12"/>
  <c r="AN31" i="12"/>
  <c r="AR31" i="12"/>
  <c r="AV31" i="12"/>
  <c r="AZ31" i="12"/>
  <c r="AJ9" i="12"/>
  <c r="AH11" i="12"/>
  <c r="AI15" i="12"/>
  <c r="AQ24" i="12"/>
  <c r="BC24" i="12"/>
  <c r="AO27" i="12"/>
  <c r="AN28" i="12"/>
  <c r="AH31" i="12"/>
  <c r="AX31" i="12"/>
  <c r="AI9" i="12"/>
  <c r="AH10" i="12"/>
  <c r="AI13" i="12"/>
  <c r="AH15" i="12"/>
  <c r="AK14" i="12"/>
  <c r="AI19" i="12"/>
  <c r="AH20" i="12"/>
  <c r="AJ22" i="12"/>
  <c r="AI23" i="12"/>
  <c r="AH24" i="12"/>
  <c r="AL24" i="12"/>
  <c r="AP24" i="12"/>
  <c r="AT24" i="12"/>
  <c r="AX24" i="12"/>
  <c r="BB24" i="12"/>
  <c r="AJ25" i="12"/>
  <c r="AI17" i="12"/>
  <c r="AH29" i="12"/>
  <c r="AL29" i="12"/>
  <c r="AJ27" i="12"/>
  <c r="AN27" i="12"/>
  <c r="AR27" i="12"/>
  <c r="AI28" i="12"/>
  <c r="AM28" i="12"/>
  <c r="AQ28" i="12"/>
  <c r="AH30" i="12"/>
  <c r="AL30" i="12"/>
  <c r="AK31" i="12"/>
  <c r="AO31" i="12"/>
  <c r="AS31" i="12"/>
  <c r="AW31" i="12"/>
  <c r="BA31" i="12"/>
  <c r="AI10" i="12"/>
  <c r="AJ19" i="12"/>
  <c r="AI20" i="12"/>
  <c r="AH21" i="12"/>
  <c r="AK22" i="12"/>
  <c r="AM24" i="12"/>
  <c r="AU24" i="12"/>
  <c r="AH18" i="12"/>
  <c r="AJ17" i="12"/>
  <c r="AM29" i="12"/>
  <c r="AH26" i="12"/>
  <c r="AS27" i="12"/>
  <c r="AR28" i="12"/>
  <c r="AL31" i="12"/>
  <c r="AT31" i="12"/>
  <c r="H15" i="6"/>
  <c r="H18" i="6"/>
  <c r="H21" i="6"/>
  <c r="H25" i="6"/>
  <c r="H28" i="6"/>
  <c r="H32" i="6"/>
  <c r="H36" i="6"/>
  <c r="H40" i="6"/>
  <c r="H44" i="6"/>
  <c r="H48" i="6"/>
  <c r="H52" i="6"/>
  <c r="H56" i="6"/>
  <c r="H60" i="6"/>
  <c r="H64" i="6"/>
  <c r="H68" i="6"/>
  <c r="H72" i="6"/>
  <c r="H76" i="6"/>
  <c r="H80" i="6"/>
  <c r="H84" i="6"/>
  <c r="H16" i="6"/>
  <c r="H19" i="6"/>
  <c r="H22" i="6"/>
  <c r="H13" i="6"/>
  <c r="H29" i="6"/>
  <c r="H33" i="6"/>
  <c r="H37" i="6"/>
  <c r="H41" i="6"/>
  <c r="H45" i="6"/>
  <c r="H49" i="6"/>
  <c r="H53" i="6"/>
  <c r="H57" i="6"/>
  <c r="H61" i="6"/>
  <c r="H65" i="6"/>
  <c r="H69" i="6"/>
  <c r="H73" i="6"/>
  <c r="H77" i="6"/>
  <c r="H81" i="6"/>
  <c r="H85" i="6"/>
  <c r="H17" i="6"/>
  <c r="H12" i="6"/>
  <c r="H23" i="6"/>
  <c r="H26" i="6"/>
  <c r="H30" i="6"/>
  <c r="H34" i="6"/>
  <c r="H38" i="6"/>
  <c r="H42" i="6"/>
  <c r="H46" i="6"/>
  <c r="H50" i="6"/>
  <c r="H54" i="6"/>
  <c r="H58" i="6"/>
  <c r="H62" i="6"/>
  <c r="H66" i="6"/>
  <c r="H70" i="6"/>
  <c r="H74" i="6"/>
  <c r="H78" i="6"/>
  <c r="H82" i="6"/>
  <c r="H86" i="6"/>
  <c r="H11" i="6"/>
  <c r="H31" i="6"/>
  <c r="H47" i="6"/>
  <c r="H63" i="6"/>
  <c r="H79" i="6"/>
  <c r="H27" i="6"/>
  <c r="H75" i="6"/>
  <c r="H20" i="6"/>
  <c r="H35" i="6"/>
  <c r="H51" i="6"/>
  <c r="H67" i="6"/>
  <c r="H83" i="6"/>
  <c r="H14" i="6"/>
  <c r="H59" i="6"/>
  <c r="H24" i="6"/>
  <c r="H39" i="6"/>
  <c r="H55" i="6"/>
  <c r="H71" i="6"/>
  <c r="H43" i="6"/>
  <c r="M40" i="13"/>
  <c r="M41" i="13" s="1"/>
  <c r="M42" i="13" s="1"/>
  <c r="M43" i="13" s="1"/>
  <c r="M101" i="13"/>
  <c r="M102" i="13" s="1"/>
  <c r="M103" i="13" s="1"/>
  <c r="M104" i="13" s="1"/>
  <c r="M105" i="13" s="1"/>
  <c r="M106" i="13" s="1"/>
  <c r="M107" i="13" s="1"/>
  <c r="M108" i="13" s="1"/>
  <c r="M21" i="13"/>
  <c r="M22" i="13" s="1"/>
  <c r="M23" i="13" s="1"/>
  <c r="M24" i="13" s="1"/>
  <c r="M69" i="13"/>
  <c r="M70" i="13" s="1"/>
  <c r="M71" i="13" s="1"/>
  <c r="M72" i="13" s="1"/>
  <c r="M73" i="13" s="1"/>
  <c r="M172" i="13"/>
  <c r="M173" i="13" s="1"/>
  <c r="M174" i="13" s="1"/>
  <c r="M175" i="13" s="1"/>
  <c r="M176" i="13" s="1"/>
  <c r="M177" i="13" s="1"/>
  <c r="M178" i="13" s="1"/>
  <c r="M179" i="13" s="1"/>
  <c r="M189" i="13"/>
  <c r="M190" i="13" s="1"/>
  <c r="M191" i="13" s="1"/>
  <c r="M192" i="13" s="1"/>
  <c r="M193" i="13" s="1"/>
  <c r="M194" i="13" s="1"/>
  <c r="M195" i="13" s="1"/>
  <c r="M196" i="13" s="1"/>
  <c r="M197" i="13" s="1"/>
  <c r="M198" i="13" s="1"/>
  <c r="M199" i="13" s="1"/>
  <c r="M200" i="13" s="1"/>
  <c r="M201" i="13" s="1"/>
  <c r="M202" i="13" s="1"/>
  <c r="M203" i="13" s="1"/>
  <c r="M204" i="13" s="1"/>
  <c r="M85" i="13"/>
  <c r="M86" i="13" s="1"/>
  <c r="M87" i="13" s="1"/>
  <c r="M88" i="13" s="1"/>
  <c r="M89" i="13" s="1"/>
  <c r="M90" i="13" s="1"/>
  <c r="M91" i="13" s="1"/>
  <c r="M113" i="13"/>
  <c r="M114" i="13" s="1"/>
  <c r="M115" i="13" s="1"/>
  <c r="M116" i="13" s="1"/>
  <c r="M14" i="13"/>
  <c r="M15" i="13" s="1"/>
  <c r="M16" i="13" s="1"/>
  <c r="M17" i="13" s="1"/>
  <c r="M230" i="13"/>
  <c r="M231" i="13" s="1"/>
  <c r="M232" i="13" s="1"/>
  <c r="M233" i="13" s="1"/>
  <c r="M234" i="13" s="1"/>
  <c r="M235" i="13" s="1"/>
  <c r="M236" i="13" s="1"/>
  <c r="M237" i="13" s="1"/>
  <c r="M238" i="13" s="1"/>
  <c r="M239" i="13" s="1"/>
  <c r="M240" i="13" s="1"/>
  <c r="M241" i="13" s="1"/>
  <c r="M242" i="13" s="1"/>
  <c r="M243" i="13" s="1"/>
  <c r="M244" i="13" s="1"/>
  <c r="M245" i="13" s="1"/>
  <c r="M246" i="13" s="1"/>
  <c r="M247" i="13" s="1"/>
  <c r="M248" i="13" s="1"/>
  <c r="M249" i="13" s="1"/>
  <c r="M250" i="13" s="1"/>
  <c r="M251" i="13" s="1"/>
  <c r="M252" i="13" s="1"/>
  <c r="M76" i="13"/>
  <c r="M77" i="13" s="1"/>
  <c r="M78" i="13" s="1"/>
  <c r="M79" i="13" s="1"/>
  <c r="M80" i="13" s="1"/>
  <c r="M81" i="13" s="1"/>
  <c r="M82" i="13" s="1"/>
  <c r="M154" i="13"/>
  <c r="M155" i="13" s="1"/>
  <c r="M156" i="13" s="1"/>
  <c r="M157" i="13" s="1"/>
  <c r="M158" i="13" s="1"/>
  <c r="M159" i="13" s="1"/>
  <c r="M160" i="13" s="1"/>
  <c r="M161" i="13" s="1"/>
  <c r="M162" i="13" s="1"/>
  <c r="M26" i="13"/>
  <c r="M27" i="13" s="1"/>
  <c r="M28" i="13" s="1"/>
  <c r="M29" i="13" s="1"/>
  <c r="M30" i="13" s="1"/>
  <c r="M64" i="13"/>
  <c r="M65" i="13" s="1"/>
  <c r="M66" i="13" s="1"/>
  <c r="M33" i="13"/>
  <c r="M34" i="13" s="1"/>
  <c r="M35" i="13" s="1"/>
  <c r="M36" i="13" s="1"/>
  <c r="M37" i="13" s="1"/>
  <c r="M165" i="13"/>
  <c r="M166" i="13" s="1"/>
  <c r="M167" i="13" s="1"/>
  <c r="M168" i="13" s="1"/>
  <c r="M169" i="13" s="1"/>
  <c r="M149" i="13"/>
  <c r="M150" i="13" s="1"/>
  <c r="M221" i="13"/>
  <c r="M222" i="13" s="1"/>
  <c r="M223" i="13" s="1"/>
  <c r="M224" i="13" s="1"/>
  <c r="M225" i="13" s="1"/>
  <c r="M226" i="13" s="1"/>
  <c r="M227" i="13" s="1"/>
  <c r="M228" i="13" s="1"/>
  <c r="M45" i="13"/>
  <c r="M46" i="13" s="1"/>
  <c r="M47" i="13" s="1"/>
  <c r="M48" i="13" s="1"/>
  <c r="M49" i="13" s="1"/>
  <c r="M50" i="13" s="1"/>
  <c r="M51" i="13" s="1"/>
  <c r="M52" i="13" s="1"/>
  <c r="M206" i="13"/>
  <c r="M207" i="13" s="1"/>
  <c r="M208" i="13" s="1"/>
  <c r="M209" i="13" s="1"/>
  <c r="M210" i="13" s="1"/>
  <c r="M211" i="13" s="1"/>
  <c r="M212" i="13" s="1"/>
  <c r="M213" i="13" s="1"/>
  <c r="M214" i="13" s="1"/>
  <c r="M215" i="13" s="1"/>
  <c r="M216" i="13" s="1"/>
  <c r="M217" i="13" s="1"/>
  <c r="M218" i="13" s="1"/>
  <c r="M219" i="13" s="1"/>
  <c r="M121" i="13"/>
  <c r="M122" i="13" s="1"/>
  <c r="M123" i="13" s="1"/>
  <c r="M124" i="13" s="1"/>
  <c r="M125" i="13" s="1"/>
  <c r="M126" i="13" s="1"/>
  <c r="M127" i="13" s="1"/>
  <c r="M128" i="13" s="1"/>
  <c r="M129" i="13" s="1"/>
  <c r="M130" i="13" s="1"/>
  <c r="M131" i="13" s="1"/>
  <c r="M132" i="13" s="1"/>
  <c r="M133" i="13" s="1"/>
  <c r="M134" i="13" s="1"/>
  <c r="M135" i="13" s="1"/>
  <c r="M136" i="13" s="1"/>
  <c r="M137" i="13" s="1"/>
  <c r="M138" i="13" s="1"/>
  <c r="M139" i="13" s="1"/>
  <c r="M140" i="13" s="1"/>
  <c r="M141" i="13" s="1"/>
  <c r="M142" i="13" s="1"/>
  <c r="M143" i="13" s="1"/>
  <c r="M144" i="13" s="1"/>
  <c r="M145" i="13" s="1"/>
  <c r="M56" i="13"/>
  <c r="M57" i="13" s="1"/>
  <c r="M58" i="13" s="1"/>
  <c r="M93" i="13"/>
  <c r="M94" i="13" s="1"/>
  <c r="M95" i="13" s="1"/>
  <c r="M96" i="13" s="1"/>
  <c r="M97" i="13" s="1"/>
  <c r="M98" i="13" s="1"/>
  <c r="M181" i="13"/>
  <c r="M182" i="13" s="1"/>
  <c r="M183" i="13" s="1"/>
  <c r="M184" i="13" s="1"/>
  <c r="M185" i="13" s="1"/>
  <c r="M186" i="13" s="1"/>
  <c r="M9" i="13"/>
  <c r="M10" i="13" s="1"/>
  <c r="M11" i="13" s="1"/>
  <c r="M12" i="13" s="1"/>
  <c r="D31" i="1"/>
  <c r="D26" i="1"/>
  <c r="D20" i="1"/>
  <c r="D16" i="1"/>
  <c r="D12" i="1"/>
  <c r="D7" i="1"/>
  <c r="H30" i="1"/>
  <c r="H7" i="1"/>
  <c r="D30" i="1"/>
  <c r="D25" i="1"/>
  <c r="D19" i="1"/>
  <c r="D15" i="1"/>
  <c r="D10" i="1"/>
  <c r="D6" i="1"/>
  <c r="H16" i="1"/>
  <c r="H20" i="1"/>
  <c r="D28" i="1"/>
  <c r="D24" i="1"/>
  <c r="D18" i="1"/>
  <c r="D14" i="1"/>
  <c r="D9" i="1"/>
  <c r="D5" i="1"/>
  <c r="H18" i="1"/>
  <c r="D27" i="1"/>
  <c r="D21" i="1"/>
  <c r="D17" i="1"/>
  <c r="D13" i="1"/>
  <c r="D8" i="1"/>
  <c r="D4" i="1"/>
  <c r="D23" i="1"/>
  <c r="I28" i="1"/>
  <c r="H25" i="1"/>
  <c r="H14" i="1"/>
  <c r="H27" i="1"/>
  <c r="H12" i="1"/>
  <c r="H28" i="1"/>
  <c r="H24" i="1"/>
  <c r="H19" i="1"/>
  <c r="H10" i="1"/>
  <c r="H6" i="1"/>
  <c r="H21" i="1"/>
  <c r="F84" i="6"/>
  <c r="G84" i="6" s="1"/>
  <c r="F80" i="6"/>
  <c r="G80" i="6" s="1"/>
  <c r="F76" i="6"/>
  <c r="G76" i="6" s="1"/>
  <c r="F72" i="6"/>
  <c r="G72" i="6" s="1"/>
  <c r="F68" i="6"/>
  <c r="G68" i="6" s="1"/>
  <c r="F64" i="6"/>
  <c r="G64" i="6" s="1"/>
  <c r="F60" i="6"/>
  <c r="G60" i="6" s="1"/>
  <c r="F56" i="6"/>
  <c r="G56" i="6" s="1"/>
  <c r="F52" i="6"/>
  <c r="G52" i="6" s="1"/>
  <c r="F48" i="6"/>
  <c r="G48" i="6" s="1"/>
  <c r="F44" i="6"/>
  <c r="G44" i="6" s="1"/>
  <c r="F40" i="6"/>
  <c r="G40" i="6" s="1"/>
  <c r="F36" i="6"/>
  <c r="G36" i="6" s="1"/>
  <c r="F32" i="6"/>
  <c r="G32" i="6" s="1"/>
  <c r="F18" i="6"/>
  <c r="G18" i="6" s="1"/>
  <c r="F79" i="6"/>
  <c r="G79" i="6" s="1"/>
  <c r="F71" i="6"/>
  <c r="G71" i="6" s="1"/>
  <c r="F63" i="6"/>
  <c r="G63" i="6" s="1"/>
  <c r="F55" i="6"/>
  <c r="G55" i="6" s="1"/>
  <c r="F47" i="6"/>
  <c r="G47" i="6" s="1"/>
  <c r="F39" i="6"/>
  <c r="G39" i="6" s="1"/>
  <c r="F31" i="6"/>
  <c r="G31" i="6" s="1"/>
  <c r="F24" i="6"/>
  <c r="G24" i="6" s="1"/>
  <c r="F11" i="6"/>
  <c r="G11" i="6" s="1"/>
  <c r="G25" i="6"/>
  <c r="F28" i="6"/>
  <c r="G28" i="6" s="1"/>
  <c r="F21" i="6"/>
  <c r="G21" i="6" s="1"/>
  <c r="F15" i="6"/>
  <c r="G15" i="6" s="1"/>
  <c r="F83" i="6"/>
  <c r="G83" i="6" s="1"/>
  <c r="F75" i="6"/>
  <c r="G75" i="6" s="1"/>
  <c r="F67" i="6"/>
  <c r="G67" i="6" s="1"/>
  <c r="F59" i="6"/>
  <c r="G59" i="6" s="1"/>
  <c r="F51" i="6"/>
  <c r="G51" i="6" s="1"/>
  <c r="F43" i="6"/>
  <c r="G43" i="6" s="1"/>
  <c r="F35" i="6"/>
  <c r="G35" i="6" s="1"/>
  <c r="F27" i="6"/>
  <c r="G27" i="6" s="1"/>
  <c r="F20" i="6"/>
  <c r="G20" i="6" s="1"/>
  <c r="F14" i="6"/>
  <c r="G14" i="6" s="1"/>
  <c r="M168" i="7" a="1"/>
  <c r="M168" i="7" s="1"/>
  <c r="Q168" i="7" s="1"/>
  <c r="M165" i="7" a="1"/>
  <c r="M165" i="7" s="1"/>
  <c r="Q165" i="7" s="1"/>
  <c r="M157" i="7" a="1"/>
  <c r="M157" i="7" s="1"/>
  <c r="Q157" i="7" s="1"/>
  <c r="M155" i="7" a="1"/>
  <c r="M155" i="7" s="1"/>
  <c r="Q155" i="7" s="1"/>
  <c r="M149" i="7" a="1"/>
  <c r="M149" i="7" s="1"/>
  <c r="Q149" i="7" s="1"/>
  <c r="M147" i="7" a="1"/>
  <c r="M147" i="7" s="1"/>
  <c r="Q147" i="7" s="1"/>
  <c r="M145" i="7" a="1"/>
  <c r="M145" i="7" s="1"/>
  <c r="Q145" i="7" s="1"/>
  <c r="M143" i="7" a="1"/>
  <c r="M143" i="7" s="1"/>
  <c r="Q143" i="7" s="1"/>
  <c r="M141" i="7" a="1"/>
  <c r="M141" i="7" s="1"/>
  <c r="Q141" i="7" s="1"/>
  <c r="M139" i="7" a="1"/>
  <c r="M139" i="7" s="1"/>
  <c r="Q139" i="7" s="1"/>
  <c r="M137" i="7" a="1"/>
  <c r="M137" i="7" s="1"/>
  <c r="Q137" i="7" s="1"/>
  <c r="M135" i="7" a="1"/>
  <c r="M135" i="7" s="1"/>
  <c r="Q135" i="7" s="1"/>
  <c r="M133" i="7" a="1"/>
  <c r="M133" i="7" s="1"/>
  <c r="Q133" i="7" s="1"/>
  <c r="M131" i="7" a="1"/>
  <c r="M131" i="7" s="1"/>
  <c r="Q131" i="7" s="1"/>
  <c r="M129" i="7" a="1"/>
  <c r="M129" i="7" s="1"/>
  <c r="Q129" i="7" s="1"/>
  <c r="M125" i="7" a="1"/>
  <c r="M125" i="7" s="1"/>
  <c r="Q125" i="7" s="1"/>
  <c r="M120" i="7" a="1"/>
  <c r="M120" i="7" s="1"/>
  <c r="Q120" i="7" s="1"/>
  <c r="M104" i="7" a="1"/>
  <c r="M104" i="7" s="1"/>
  <c r="Q104" i="7" s="1"/>
  <c r="M64" i="7" a="1"/>
  <c r="M64" i="7" s="1"/>
  <c r="Q64" i="7" s="1"/>
  <c r="M59" i="7" a="1"/>
  <c r="M59" i="7" s="1"/>
  <c r="Q59" i="7" s="1"/>
  <c r="M56" i="7" a="1"/>
  <c r="M56" i="7" s="1"/>
  <c r="Q56" i="7" s="1"/>
  <c r="M52" i="7" a="1"/>
  <c r="M52" i="7" s="1"/>
  <c r="Q52" i="7" s="1"/>
  <c r="M48" i="7" a="1"/>
  <c r="M48" i="7" s="1"/>
  <c r="Q48" i="7" s="1"/>
  <c r="M44" i="7" a="1"/>
  <c r="M44" i="7" s="1"/>
  <c r="Q44" i="7" s="1"/>
  <c r="M40" i="7" a="1"/>
  <c r="M40" i="7" s="1"/>
  <c r="Q40" i="7" s="1"/>
  <c r="M167" i="7" a="1"/>
  <c r="M167" i="7" s="1"/>
  <c r="Q167" i="7" s="1"/>
  <c r="M160" i="7" a="1"/>
  <c r="M160" i="7" s="1"/>
  <c r="Q160" i="7" s="1"/>
  <c r="M156" i="7" a="1"/>
  <c r="M156" i="7" s="1"/>
  <c r="Q156" i="7" s="1"/>
  <c r="M152" i="7" a="1"/>
  <c r="M152" i="7" s="1"/>
  <c r="Q152" i="7" s="1"/>
  <c r="M148" i="7" a="1"/>
  <c r="M148" i="7" s="1"/>
  <c r="Q148" i="7" s="1"/>
  <c r="M144" i="7" a="1"/>
  <c r="M144" i="7" s="1"/>
  <c r="Q144" i="7" s="1"/>
  <c r="M140" i="7" a="1"/>
  <c r="M140" i="7" s="1"/>
  <c r="Q140" i="7" s="1"/>
  <c r="M136" i="7" a="1"/>
  <c r="M136" i="7" s="1"/>
  <c r="Q136" i="7" s="1"/>
  <c r="M132" i="7" a="1"/>
  <c r="M132" i="7" s="1"/>
  <c r="Q132" i="7" s="1"/>
  <c r="M128" i="7" a="1"/>
  <c r="M128" i="7" s="1"/>
  <c r="Q128" i="7" s="1"/>
  <c r="M124" i="7" a="1"/>
  <c r="M124" i="7" s="1"/>
  <c r="Q124" i="7" s="1"/>
  <c r="M119" i="7" a="1"/>
  <c r="M119" i="7" s="1"/>
  <c r="Q119" i="7" s="1"/>
  <c r="M107" i="7" a="1"/>
  <c r="M107" i="7" s="1"/>
  <c r="Q107" i="7" s="1"/>
  <c r="M103" i="7" a="1"/>
  <c r="M103" i="7" s="1"/>
  <c r="Q103" i="7" s="1"/>
  <c r="M63" i="7" a="1"/>
  <c r="M63" i="7" s="1"/>
  <c r="Q63" i="7" s="1"/>
  <c r="M61" i="7" a="1"/>
  <c r="M61" i="7" s="1"/>
  <c r="Q61" i="7" s="1"/>
  <c r="M58" i="7" a="1"/>
  <c r="M58" i="7" s="1"/>
  <c r="Q58" i="7" s="1"/>
  <c r="M55" i="7" a="1"/>
  <c r="M55" i="7" s="1"/>
  <c r="Q55" i="7" s="1"/>
  <c r="M51" i="7" a="1"/>
  <c r="M51" i="7" s="1"/>
  <c r="Q51" i="7" s="1"/>
  <c r="M47" i="7" a="1"/>
  <c r="M47" i="7" s="1"/>
  <c r="Q47" i="7" s="1"/>
  <c r="M43" i="7" a="1"/>
  <c r="M43" i="7" s="1"/>
  <c r="Q43" i="7" s="1"/>
  <c r="M41" i="7" a="1"/>
  <c r="M41" i="7" s="1"/>
  <c r="Q41" i="7" s="1"/>
  <c r="Q36" i="7"/>
  <c r="F86" i="6"/>
  <c r="G86" i="6" s="1"/>
  <c r="F82" i="6"/>
  <c r="G82" i="6" s="1"/>
  <c r="F78" i="6"/>
  <c r="G78" i="6" s="1"/>
  <c r="F74" i="6"/>
  <c r="G74" i="6" s="1"/>
  <c r="F70" i="6"/>
  <c r="G70" i="6" s="1"/>
  <c r="F66" i="6"/>
  <c r="G66" i="6" s="1"/>
  <c r="F62" i="6"/>
  <c r="G62" i="6" s="1"/>
  <c r="F58" i="6"/>
  <c r="G58" i="6" s="1"/>
  <c r="F54" i="6"/>
  <c r="G54" i="6" s="1"/>
  <c r="F50" i="6"/>
  <c r="G50" i="6" s="1"/>
  <c r="F46" i="6"/>
  <c r="G46" i="6" s="1"/>
  <c r="F42" i="6"/>
  <c r="G42" i="6" s="1"/>
  <c r="F38" i="6"/>
  <c r="G38" i="6" s="1"/>
  <c r="F34" i="6"/>
  <c r="G34" i="6" s="1"/>
  <c r="F30" i="6"/>
  <c r="G30" i="6" s="1"/>
  <c r="F26" i="6"/>
  <c r="G26" i="6" s="1"/>
  <c r="F23" i="6"/>
  <c r="G23" i="6" s="1"/>
  <c r="F12" i="6"/>
  <c r="G12" i="6" s="1"/>
  <c r="F17" i="6"/>
  <c r="G17" i="6" s="1"/>
  <c r="G85" i="6"/>
  <c r="G81" i="6"/>
  <c r="G77" i="6"/>
  <c r="G73" i="6"/>
  <c r="G69" i="6"/>
  <c r="G65" i="6"/>
  <c r="G61" i="6"/>
  <c r="G57" i="6"/>
  <c r="G53" i="6"/>
  <c r="G49" i="6"/>
  <c r="G45" i="6"/>
  <c r="G41" i="6"/>
  <c r="G37" i="6"/>
  <c r="G33" i="6"/>
  <c r="G29" i="6"/>
  <c r="G13" i="6"/>
  <c r="G22" i="6"/>
  <c r="G19" i="6"/>
  <c r="G16" i="6"/>
  <c r="L166" i="7" a="1"/>
  <c r="L166" i="7" s="1"/>
  <c r="P166" i="7" s="1"/>
  <c r="K150" i="7"/>
  <c r="L146" i="7" a="1"/>
  <c r="L146" i="7" s="1"/>
  <c r="P146" i="7" s="1"/>
  <c r="K138" i="7"/>
  <c r="K134" i="7"/>
  <c r="K130" i="7"/>
  <c r="L108" i="7" a="1"/>
  <c r="L108" i="7" s="1"/>
  <c r="M108" i="7" s="1" a="1"/>
  <c r="M108" i="7" s="1"/>
  <c r="K102" i="7"/>
  <c r="K62" i="7"/>
  <c r="L60" i="7" a="1"/>
  <c r="L60" i="7" s="1"/>
  <c r="P60" i="7" s="1"/>
  <c r="K54" i="7"/>
  <c r="L50" i="7" a="1"/>
  <c r="L50" i="7" s="1"/>
  <c r="P50" i="7" s="1"/>
  <c r="L46" i="7" a="1"/>
  <c r="L46" i="7" s="1"/>
  <c r="P46" i="7" s="1"/>
  <c r="L42" i="7" a="1"/>
  <c r="L42" i="7" s="1"/>
  <c r="P42" i="7" s="1"/>
  <c r="L37" i="7" a="1"/>
  <c r="L37" i="7" s="1"/>
  <c r="M37" i="7" s="1" a="1"/>
  <c r="M37" i="7" s="1"/>
  <c r="L45" i="7" a="1"/>
  <c r="L45" i="7" s="1"/>
  <c r="P45" i="7" s="1"/>
  <c r="L130" i="7" a="1"/>
  <c r="L130" i="7" s="1"/>
  <c r="P130" i="7" s="1"/>
  <c r="L39" i="7" a="1"/>
  <c r="L39" i="7" s="1"/>
  <c r="P39" i="7" s="1"/>
  <c r="L36" i="7" a="1"/>
  <c r="L36" i="7" s="1"/>
  <c r="P36" i="7" s="1"/>
  <c r="L107" i="7" a="1"/>
  <c r="L107" i="7" s="1"/>
  <c r="P107" i="7" s="1"/>
  <c r="L53" i="7" a="1"/>
  <c r="L53" i="7" s="1"/>
  <c r="P53" i="7" s="1"/>
  <c r="L49" i="7" a="1"/>
  <c r="L49" i="7" s="1"/>
  <c r="P49" i="7" s="1"/>
  <c r="L158" i="7" a="1"/>
  <c r="L158" i="7" s="1"/>
  <c r="P158" i="7" s="1"/>
  <c r="L142" i="7" a="1"/>
  <c r="L142" i="7" s="1"/>
  <c r="P142" i="7" s="1"/>
  <c r="L126" i="7" a="1"/>
  <c r="L126" i="7" s="1"/>
  <c r="P126" i="7" s="1"/>
  <c r="L103" i="7" a="1"/>
  <c r="L103" i="7" s="1"/>
  <c r="P103" i="7" s="1"/>
  <c r="L154" i="7" a="1"/>
  <c r="L154" i="7" s="1"/>
  <c r="P154" i="7" s="1"/>
  <c r="L138" i="7" a="1"/>
  <c r="L138" i="7" s="1"/>
  <c r="P138" i="7" s="1"/>
  <c r="L119" i="7" a="1"/>
  <c r="L119" i="7" s="1"/>
  <c r="P119" i="7" s="1"/>
  <c r="L101" i="7" a="1"/>
  <c r="L101" i="7" s="1"/>
  <c r="M101" i="7" s="1" a="1"/>
  <c r="M101" i="7" s="1"/>
  <c r="L57" i="7" a="1"/>
  <c r="L57" i="7" s="1"/>
  <c r="P57" i="7" s="1"/>
  <c r="L41" i="7" a="1"/>
  <c r="L41" i="7" s="1"/>
  <c r="P41" i="7" s="1"/>
  <c r="L150" i="7" a="1"/>
  <c r="L150" i="7" s="1"/>
  <c r="P150" i="7" s="1"/>
  <c r="L134" i="7" a="1"/>
  <c r="L134" i="7" s="1"/>
  <c r="P134" i="7" s="1"/>
  <c r="L109" i="7" a="1"/>
  <c r="L109" i="7" s="1"/>
  <c r="P109" i="7" s="1"/>
  <c r="L152" i="7" a="1"/>
  <c r="L152" i="7" s="1"/>
  <c r="P152" i="7" s="1"/>
  <c r="L159" i="7" a="1"/>
  <c r="L159" i="7" s="1"/>
  <c r="P159" i="7" s="1"/>
  <c r="L147" i="7" a="1"/>
  <c r="L147" i="7" s="1"/>
  <c r="P147" i="7" s="1"/>
  <c r="L143" i="7" a="1"/>
  <c r="L143" i="7" s="1"/>
  <c r="P143" i="7" s="1"/>
  <c r="L141" i="7" a="1"/>
  <c r="L141" i="7" s="1"/>
  <c r="P141" i="7" s="1"/>
  <c r="L137" i="7" a="1"/>
  <c r="L137" i="7" s="1"/>
  <c r="P137" i="7" s="1"/>
  <c r="L135" i="7" a="1"/>
  <c r="L135" i="7" s="1"/>
  <c r="P135" i="7" s="1"/>
  <c r="L133" i="7" a="1"/>
  <c r="L133" i="7" s="1"/>
  <c r="P133" i="7" s="1"/>
  <c r="L131" i="7" a="1"/>
  <c r="L131" i="7" s="1"/>
  <c r="P131" i="7" s="1"/>
  <c r="L129" i="7" a="1"/>
  <c r="L129" i="7" s="1"/>
  <c r="P129" i="7" s="1"/>
  <c r="L127" i="7" a="1"/>
  <c r="L127" i="7" s="1"/>
  <c r="P127" i="7" s="1"/>
  <c r="L117" i="7" a="1"/>
  <c r="L117" i="7" s="1"/>
  <c r="P117" i="7" s="1"/>
  <c r="L120" i="7" a="1"/>
  <c r="L120" i="7" s="1"/>
  <c r="P120" i="7" s="1"/>
  <c r="L104" i="7" a="1"/>
  <c r="L104" i="7" s="1"/>
  <c r="P104" i="7" s="1"/>
  <c r="L102" i="7" a="1"/>
  <c r="L102" i="7" s="1"/>
  <c r="P102" i="7" s="1"/>
  <c r="L62" i="7" a="1"/>
  <c r="L62" i="7" s="1"/>
  <c r="P62" i="7" s="1"/>
  <c r="L54" i="7" a="1"/>
  <c r="L54" i="7" s="1"/>
  <c r="P54" i="7" s="1"/>
  <c r="L52" i="7" a="1"/>
  <c r="L52" i="7" s="1"/>
  <c r="P52" i="7" s="1"/>
  <c r="L136" i="7" a="1"/>
  <c r="L136" i="7" s="1"/>
  <c r="P136" i="7" s="1"/>
  <c r="L160" i="7" a="1"/>
  <c r="L160" i="7" s="1"/>
  <c r="P160" i="7" s="1"/>
  <c r="L144" i="7" a="1"/>
  <c r="L144" i="7" s="1"/>
  <c r="P144" i="7" s="1"/>
  <c r="L124" i="7" a="1"/>
  <c r="L124" i="7" s="1"/>
  <c r="P124" i="7" s="1"/>
  <c r="L61" i="7" a="1"/>
  <c r="L61" i="7" s="1"/>
  <c r="P61" i="7" s="1"/>
  <c r="L58" i="7" a="1"/>
  <c r="L58" i="7" s="1"/>
  <c r="P58" i="7" s="1"/>
  <c r="L43" i="7" a="1"/>
  <c r="L43" i="7" s="1"/>
  <c r="P43" i="7" s="1"/>
  <c r="I24" i="1"/>
  <c r="I19" i="1"/>
  <c r="I15" i="1"/>
  <c r="J15" i="1" s="1"/>
  <c r="G27" i="1"/>
  <c r="I10" i="1"/>
  <c r="I6" i="1"/>
  <c r="G18" i="1"/>
  <c r="I5" i="1"/>
  <c r="J5" i="1" s="1"/>
  <c r="G23" i="1"/>
  <c r="G9" i="1"/>
  <c r="I25" i="1"/>
  <c r="I12" i="1"/>
  <c r="G31" i="1"/>
  <c r="G17" i="1"/>
  <c r="G13" i="1"/>
  <c r="G8" i="1"/>
  <c r="G4" i="1"/>
  <c r="G14" i="1"/>
  <c r="I30" i="1"/>
  <c r="I16" i="1"/>
  <c r="I7" i="1"/>
  <c r="G26" i="1"/>
  <c r="G21" i="1"/>
  <c r="I27" i="1"/>
  <c r="I23" i="1"/>
  <c r="J23" i="1" s="1"/>
  <c r="I18" i="1"/>
  <c r="I14" i="1"/>
  <c r="I9" i="1"/>
  <c r="J9" i="1" s="1"/>
  <c r="G5" i="1"/>
  <c r="I20" i="1"/>
  <c r="G28" i="1"/>
  <c r="G24" i="1"/>
  <c r="G19" i="1"/>
  <c r="G15" i="1"/>
  <c r="G10" i="1"/>
  <c r="G16" i="1"/>
  <c r="I31" i="1"/>
  <c r="I26" i="1"/>
  <c r="J26" i="1" s="1"/>
  <c r="I21" i="1"/>
  <c r="I17" i="1"/>
  <c r="J17" i="1" s="1"/>
  <c r="I13" i="1"/>
  <c r="J13" i="1" s="1"/>
  <c r="I8" i="1"/>
  <c r="J8" i="1" s="1"/>
  <c r="I4" i="1"/>
  <c r="J4" i="1" s="1"/>
  <c r="G30" i="1"/>
  <c r="G12" i="1"/>
  <c r="G6" i="1"/>
  <c r="G20" i="1"/>
  <c r="G7" i="1"/>
  <c r="G25" i="1"/>
  <c r="J31" i="1" l="1"/>
  <c r="J11" i="1"/>
  <c r="AA7" i="7"/>
  <c r="Z7" i="7"/>
  <c r="V60" i="7"/>
  <c r="U60" i="7"/>
  <c r="V43" i="7"/>
  <c r="W43" i="7" s="1" a="1"/>
  <c r="W43" i="7" s="1"/>
  <c r="Y43" i="7" s="1"/>
  <c r="U43" i="7"/>
  <c r="V63" i="7"/>
  <c r="U63" i="7"/>
  <c r="V130" i="7"/>
  <c r="W130" i="7" s="1" a="1"/>
  <c r="W130" i="7" s="1"/>
  <c r="Y130" i="7" s="1"/>
  <c r="U130" i="7"/>
  <c r="V154" i="7"/>
  <c r="U154" i="7"/>
  <c r="V48" i="7"/>
  <c r="W48" i="7" s="1" a="1"/>
  <c r="W48" i="7" s="1"/>
  <c r="Y48" i="7" s="1"/>
  <c r="U48" i="7"/>
  <c r="V135" i="7"/>
  <c r="U135" i="7"/>
  <c r="V57" i="7"/>
  <c r="W57" i="7" s="1" a="1"/>
  <c r="W57" i="7" s="1"/>
  <c r="Y57" i="7" s="1"/>
  <c r="U57" i="7"/>
  <c r="V101" i="7"/>
  <c r="U101" i="7"/>
  <c r="V132" i="7"/>
  <c r="W132" i="7" s="1" a="1"/>
  <c r="W132" i="7" s="1"/>
  <c r="Y132" i="7" s="1"/>
  <c r="U132" i="7"/>
  <c r="V140" i="7"/>
  <c r="U140" i="7"/>
  <c r="V156" i="7"/>
  <c r="W156" i="7" s="1" a="1"/>
  <c r="W156" i="7" s="1"/>
  <c r="Y156" i="7" s="1"/>
  <c r="U156" i="7"/>
  <c r="V164" i="7"/>
  <c r="U164" i="7"/>
  <c r="V50" i="7"/>
  <c r="W50" i="7" s="1" a="1"/>
  <c r="W50" i="7" s="1"/>
  <c r="Y50" i="7" s="1"/>
  <c r="U50" i="7"/>
  <c r="V115" i="7"/>
  <c r="U115" i="7"/>
  <c r="V141" i="7"/>
  <c r="W141" i="7" s="1" a="1"/>
  <c r="W141" i="7" s="1"/>
  <c r="Y141" i="7" s="1"/>
  <c r="U141" i="7"/>
  <c r="V165" i="7"/>
  <c r="U165" i="7"/>
  <c r="V58" i="7"/>
  <c r="W58" i="7" s="1" a="1"/>
  <c r="W58" i="7" s="1"/>
  <c r="Y58" i="7" s="1"/>
  <c r="U58" i="7"/>
  <c r="V116" i="7"/>
  <c r="U116" i="7"/>
  <c r="V146" i="7"/>
  <c r="W146" i="7" s="1" a="1"/>
  <c r="W146" i="7" s="1"/>
  <c r="Y146" i="7" s="1"/>
  <c r="U146" i="7"/>
  <c r="V40" i="7"/>
  <c r="U40" i="7"/>
  <c r="V64" i="7"/>
  <c r="W64" i="7" s="1" a="1"/>
  <c r="W64" i="7" s="1"/>
  <c r="Y64" i="7" s="1"/>
  <c r="U64" i="7"/>
  <c r="V127" i="7"/>
  <c r="U127" i="7"/>
  <c r="V151" i="7"/>
  <c r="W151" i="7" s="1" a="1"/>
  <c r="W151" i="7" s="1"/>
  <c r="Y151" i="7" s="1"/>
  <c r="U151" i="7"/>
  <c r="V49" i="7"/>
  <c r="U49" i="7"/>
  <c r="V37" i="7"/>
  <c r="W37" i="7" s="1" a="1"/>
  <c r="W37" i="7" s="1"/>
  <c r="Y37" i="7" s="1"/>
  <c r="U37" i="7"/>
  <c r="V54" i="7"/>
  <c r="U54" i="7"/>
  <c r="V106" i="7"/>
  <c r="W106" i="7" s="1" a="1"/>
  <c r="W106" i="7" s="1"/>
  <c r="Y106" i="7" s="1"/>
  <c r="U106" i="7"/>
  <c r="V129" i="7"/>
  <c r="U129" i="7"/>
  <c r="V145" i="7"/>
  <c r="W145" i="7" s="1" a="1"/>
  <c r="W145" i="7" s="1"/>
  <c r="Y145" i="7" s="1"/>
  <c r="U145" i="7"/>
  <c r="V161" i="7"/>
  <c r="U161" i="7"/>
  <c r="V47" i="7"/>
  <c r="W47" i="7" s="1" a="1"/>
  <c r="W47" i="7" s="1"/>
  <c r="Y47" i="7" s="1"/>
  <c r="U47" i="7"/>
  <c r="V61" i="7"/>
  <c r="U61" i="7"/>
  <c r="V114" i="7"/>
  <c r="W114" i="7" s="1" a="1"/>
  <c r="W114" i="7" s="1"/>
  <c r="Y114" i="7" s="1"/>
  <c r="U114" i="7"/>
  <c r="V134" i="7"/>
  <c r="U134" i="7"/>
  <c r="V150" i="7"/>
  <c r="W150" i="7" s="1" a="1"/>
  <c r="W150" i="7" s="1"/>
  <c r="Y150" i="7" s="1"/>
  <c r="U150" i="7"/>
  <c r="V166" i="7"/>
  <c r="U166" i="7"/>
  <c r="V52" i="7"/>
  <c r="W52" i="7" s="1" a="1"/>
  <c r="W52" i="7" s="1"/>
  <c r="Y52" i="7" s="1"/>
  <c r="U52" i="7"/>
  <c r="V104" i="7"/>
  <c r="U104" i="7"/>
  <c r="V122" i="7"/>
  <c r="W122" i="7" s="1" a="1"/>
  <c r="W122" i="7" s="1"/>
  <c r="Y122" i="7" s="1"/>
  <c r="U122" i="7"/>
  <c r="V139" i="7"/>
  <c r="U139" i="7"/>
  <c r="V155" i="7"/>
  <c r="W155" i="7" s="1" a="1"/>
  <c r="W155" i="7" s="1"/>
  <c r="Y155" i="7" s="1"/>
  <c r="U155" i="7"/>
  <c r="V45" i="7"/>
  <c r="U45" i="7"/>
  <c r="V39" i="7"/>
  <c r="W39" i="7" s="1" a="1"/>
  <c r="W39" i="7" s="1"/>
  <c r="Y39" i="7" s="1"/>
  <c r="U39" i="7"/>
  <c r="V136" i="7"/>
  <c r="U136" i="7"/>
  <c r="V152" i="7"/>
  <c r="W152" i="7" s="1" a="1"/>
  <c r="W152" i="7" s="1"/>
  <c r="Y152" i="7" s="1"/>
  <c r="U152" i="7"/>
  <c r="V42" i="7"/>
  <c r="U42" i="7"/>
  <c r="V102" i="7"/>
  <c r="W102" i="7" s="1" a="1"/>
  <c r="W102" i="7" s="1"/>
  <c r="Y102" i="7" s="1"/>
  <c r="U102" i="7"/>
  <c r="V133" i="7"/>
  <c r="U133" i="7"/>
  <c r="V157" i="7"/>
  <c r="W157" i="7" s="1" a="1"/>
  <c r="W157" i="7" s="1"/>
  <c r="Y157" i="7" s="1"/>
  <c r="U157" i="7"/>
  <c r="V51" i="7"/>
  <c r="U51" i="7"/>
  <c r="V107" i="7"/>
  <c r="W107" i="7" s="1" a="1"/>
  <c r="W107" i="7" s="1"/>
  <c r="Y107" i="7" s="1"/>
  <c r="U107" i="7"/>
  <c r="V138" i="7"/>
  <c r="U138" i="7"/>
  <c r="V162" i="7"/>
  <c r="W162" i="7" s="1" a="1"/>
  <c r="W162" i="7" s="1"/>
  <c r="Y162" i="7" s="1"/>
  <c r="U162" i="7"/>
  <c r="V56" i="7"/>
  <c r="U56" i="7"/>
  <c r="V143" i="7"/>
  <c r="W143" i="7" s="1" a="1"/>
  <c r="W143" i="7" s="1"/>
  <c r="Y143" i="7" s="1"/>
  <c r="U143" i="7"/>
  <c r="V41" i="7"/>
  <c r="U41" i="7"/>
  <c r="V46" i="7"/>
  <c r="W46" i="7" s="1" a="1"/>
  <c r="W46" i="7" s="1"/>
  <c r="Y46" i="7" s="1"/>
  <c r="U46" i="7"/>
  <c r="V62" i="7"/>
  <c r="U62" i="7"/>
  <c r="V121" i="7"/>
  <c r="W121" i="7" s="1" a="1"/>
  <c r="W121" i="7" s="1"/>
  <c r="Y121" i="7" s="1"/>
  <c r="U121" i="7"/>
  <c r="V137" i="7"/>
  <c r="U137" i="7"/>
  <c r="V153" i="7"/>
  <c r="W153" i="7" s="1" a="1"/>
  <c r="W153" i="7" s="1"/>
  <c r="Y153" i="7" s="1"/>
  <c r="U153" i="7"/>
  <c r="V55" i="7"/>
  <c r="U55" i="7"/>
  <c r="V103" i="7"/>
  <c r="W103" i="7" s="1" a="1"/>
  <c r="W103" i="7" s="1"/>
  <c r="Y103" i="7" s="1"/>
  <c r="U103" i="7"/>
  <c r="V142" i="7"/>
  <c r="U142" i="7"/>
  <c r="V158" i="7"/>
  <c r="W158" i="7" s="1" a="1"/>
  <c r="W158" i="7" s="1"/>
  <c r="Y158" i="7" s="1"/>
  <c r="U158" i="7"/>
  <c r="V44" i="7"/>
  <c r="U44" i="7"/>
  <c r="V59" i="7"/>
  <c r="W59" i="7" s="1" a="1"/>
  <c r="W59" i="7" s="1"/>
  <c r="Y59" i="7" s="1"/>
  <c r="U59" i="7"/>
  <c r="V131" i="7"/>
  <c r="U131" i="7"/>
  <c r="V147" i="7"/>
  <c r="W147" i="7" s="1" a="1"/>
  <c r="W147" i="7" s="1"/>
  <c r="Y147" i="7" s="1"/>
  <c r="U147" i="7"/>
  <c r="V163" i="7"/>
  <c r="U163" i="7"/>
  <c r="V53" i="7"/>
  <c r="W53" i="7" s="1" a="1"/>
  <c r="W53" i="7" s="1"/>
  <c r="Y53" i="7" s="1"/>
  <c r="U53" i="7"/>
  <c r="V105" i="7"/>
  <c r="U105" i="7"/>
  <c r="V144" i="7"/>
  <c r="W144" i="7" s="1" a="1"/>
  <c r="W144" i="7" s="1"/>
  <c r="Y144" i="7" s="1"/>
  <c r="U144" i="7"/>
  <c r="V160" i="7"/>
  <c r="U160" i="7"/>
  <c r="W62" i="7" a="1"/>
  <c r="W62" i="7" s="1"/>
  <c r="Y62" i="7" s="1"/>
  <c r="W137" i="7" a="1"/>
  <c r="W137" i="7" s="1"/>
  <c r="Y137" i="7" s="1"/>
  <c r="W142" i="7" a="1"/>
  <c r="W142" i="7" s="1"/>
  <c r="Y142" i="7" s="1"/>
  <c r="W44" i="7" a="1"/>
  <c r="W44" i="7" s="1"/>
  <c r="Y44" i="7" s="1"/>
  <c r="W120" i="7" a="1"/>
  <c r="W120" i="7" s="1"/>
  <c r="Y120" i="7" s="1"/>
  <c r="AA120" i="7" s="1"/>
  <c r="W136" i="7" a="1"/>
  <c r="W136" i="7" s="1"/>
  <c r="Y136" i="7" s="1"/>
  <c r="W167" i="7" a="1"/>
  <c r="W167" i="7" s="1"/>
  <c r="Y167" i="7" s="1"/>
  <c r="AA167" i="7" s="1"/>
  <c r="W60" i="7" a="1"/>
  <c r="W60" i="7" s="1"/>
  <c r="Y60" i="7" s="1"/>
  <c r="W133" i="7" a="1"/>
  <c r="W133" i="7" s="1"/>
  <c r="Y133" i="7" s="1"/>
  <c r="W165" i="7" a="1"/>
  <c r="W165" i="7" s="1"/>
  <c r="Y165" i="7" s="1"/>
  <c r="W63" i="7" a="1"/>
  <c r="W63" i="7" s="1"/>
  <c r="Y63" i="7" s="1"/>
  <c r="W138" i="7" a="1"/>
  <c r="W138" i="7" s="1"/>
  <c r="Y138" i="7" s="1"/>
  <c r="W40" i="7" a="1"/>
  <c r="W40" i="7" s="1"/>
  <c r="Y40" i="7" s="1"/>
  <c r="J19" i="1"/>
  <c r="BK18" i="12"/>
  <c r="J18" i="1"/>
  <c r="J6" i="1"/>
  <c r="J32" i="1"/>
  <c r="J27" i="1"/>
  <c r="J16" i="1"/>
  <c r="J21" i="1"/>
  <c r="J30" i="1"/>
  <c r="J12" i="1"/>
  <c r="J20" i="1"/>
  <c r="M151" i="7" a="1"/>
  <c r="M151" i="7" s="1"/>
  <c r="Q151" i="7" s="1"/>
  <c r="M153" i="7" a="1"/>
  <c r="M153" i="7" s="1"/>
  <c r="Q153" i="7" s="1"/>
  <c r="E6" i="9"/>
  <c r="K6" i="9" s="1"/>
  <c r="J25" i="1"/>
  <c r="J7" i="1"/>
  <c r="J10" i="1"/>
  <c r="J24" i="1"/>
  <c r="BH8" i="11"/>
  <c r="BH12" i="11"/>
  <c r="BH11" i="11"/>
  <c r="BH10" i="11"/>
  <c r="BH9" i="11"/>
  <c r="W55" i="7" a="1"/>
  <c r="W55" i="7" s="1"/>
  <c r="Y55" i="7" s="1"/>
  <c r="W148" i="7" a="1"/>
  <c r="W148" i="7" s="1"/>
  <c r="Y148" i="7" s="1"/>
  <c r="AA148" i="7" s="1"/>
  <c r="W36" i="7" a="1"/>
  <c r="W36" i="7" s="1"/>
  <c r="Y36" i="7" s="1"/>
  <c r="AA36" i="7" s="1"/>
  <c r="W126" i="7" a="1"/>
  <c r="W126" i="7" s="1"/>
  <c r="Y126" i="7" s="1"/>
  <c r="AA126" i="7" s="1"/>
  <c r="W135" i="7" a="1"/>
  <c r="W135" i="7" s="1"/>
  <c r="Y135" i="7" s="1"/>
  <c r="W124" i="7" a="1"/>
  <c r="W124" i="7" s="1"/>
  <c r="Y124" i="7" s="1"/>
  <c r="AA124" i="7" s="1"/>
  <c r="W115" i="7" a="1"/>
  <c r="W115" i="7" s="1"/>
  <c r="Y115" i="7" s="1"/>
  <c r="W109" i="7" a="1"/>
  <c r="W109" i="7" s="1"/>
  <c r="Y109" i="7" s="1"/>
  <c r="AA109" i="7" s="1"/>
  <c r="W128" i="7" a="1"/>
  <c r="W128" i="7" s="1"/>
  <c r="Y128" i="7" s="1"/>
  <c r="AA128" i="7" s="1"/>
  <c r="W160" i="7" a="1"/>
  <c r="W160" i="7" s="1"/>
  <c r="Y160" i="7" s="1"/>
  <c r="W108" i="7" a="1"/>
  <c r="W108" i="7" s="1"/>
  <c r="Y108" i="7" s="1"/>
  <c r="AA108" i="7" s="1"/>
  <c r="W125" i="7" a="1"/>
  <c r="W125" i="7" s="1"/>
  <c r="Y125" i="7" s="1"/>
  <c r="AA125" i="7" s="1"/>
  <c r="W117" i="7" a="1"/>
  <c r="W117" i="7" s="1"/>
  <c r="Y117" i="7" s="1"/>
  <c r="AA117" i="7" s="1"/>
  <c r="W54" i="7" a="1"/>
  <c r="W54" i="7" s="1"/>
  <c r="Y54" i="7" s="1"/>
  <c r="W149" i="7" a="1"/>
  <c r="W149" i="7" s="1"/>
  <c r="Y149" i="7" s="1"/>
  <c r="AA149" i="7" s="1"/>
  <c r="W101" i="7" a="1"/>
  <c r="W101" i="7" s="1"/>
  <c r="Y101" i="7" s="1"/>
  <c r="W119" i="7" a="1"/>
  <c r="W119" i="7" s="1"/>
  <c r="Y119" i="7" s="1"/>
  <c r="AA119" i="7" s="1"/>
  <c r="W168" i="7" a="1"/>
  <c r="W168" i="7" s="1"/>
  <c r="Y168" i="7" s="1"/>
  <c r="AA168" i="7" s="1"/>
  <c r="W159" i="7" a="1"/>
  <c r="W159" i="7" s="1"/>
  <c r="Y159" i="7" s="1"/>
  <c r="AA159" i="7" s="1"/>
  <c r="W42" i="7" a="1"/>
  <c r="W42" i="7" s="1"/>
  <c r="Y42" i="7" s="1"/>
  <c r="W51" i="7" a="1"/>
  <c r="W51" i="7" s="1"/>
  <c r="Y51" i="7" s="1"/>
  <c r="W61" i="7" a="1"/>
  <c r="W61" i="7" s="1"/>
  <c r="Y61" i="7" s="1"/>
  <c r="W116" i="7" a="1"/>
  <c r="W116" i="7" s="1"/>
  <c r="Y116" i="7" s="1"/>
  <c r="W134" i="7" a="1"/>
  <c r="W134" i="7" s="1"/>
  <c r="Y134" i="7" s="1"/>
  <c r="W166" i="7" a="1"/>
  <c r="W166" i="7" s="1"/>
  <c r="Y166" i="7" s="1"/>
  <c r="W45" i="7" a="1"/>
  <c r="W45" i="7" s="1"/>
  <c r="Y45" i="7" s="1"/>
  <c r="W105" i="7" a="1"/>
  <c r="W105" i="7" s="1"/>
  <c r="Y105" i="7" s="1"/>
  <c r="W140" i="7" a="1"/>
  <c r="W140" i="7" s="1"/>
  <c r="Y140" i="7" s="1"/>
  <c r="W164" i="7" a="1"/>
  <c r="W164" i="7" s="1"/>
  <c r="Y164" i="7" s="1"/>
  <c r="W56" i="7" a="1"/>
  <c r="W56" i="7" s="1"/>
  <c r="Y56" i="7" s="1"/>
  <c r="W127" i="7" a="1"/>
  <c r="W127" i="7" s="1"/>
  <c r="Y127" i="7" s="1"/>
  <c r="W139" i="7" a="1"/>
  <c r="W139" i="7" s="1"/>
  <c r="Y139" i="7" s="1"/>
  <c r="W163" i="7" a="1"/>
  <c r="W163" i="7" s="1"/>
  <c r="Y163" i="7" s="1"/>
  <c r="W129" i="7" a="1"/>
  <c r="W129" i="7" s="1"/>
  <c r="Y129" i="7" s="1"/>
  <c r="W161" i="7" a="1"/>
  <c r="W161" i="7" s="1"/>
  <c r="Y161" i="7" s="1"/>
  <c r="W154" i="7" a="1"/>
  <c r="W154" i="7" s="1"/>
  <c r="Y154" i="7" s="1"/>
  <c r="W41" i="7" a="1"/>
  <c r="W41" i="7" s="1"/>
  <c r="Y41" i="7" s="1"/>
  <c r="W49" i="7" a="1"/>
  <c r="W49" i="7" s="1"/>
  <c r="Y49" i="7" s="1"/>
  <c r="W104" i="7" a="1"/>
  <c r="W104" i="7" s="1"/>
  <c r="Y104" i="7" s="1"/>
  <c r="W131" i="7" a="1"/>
  <c r="W131" i="7" s="1"/>
  <c r="Y131" i="7" s="1"/>
  <c r="BK10" i="12"/>
  <c r="BK26" i="12"/>
  <c r="BK22" i="12"/>
  <c r="BK20" i="12"/>
  <c r="BK14" i="12"/>
  <c r="BK21" i="12"/>
  <c r="BK25" i="12"/>
  <c r="BK27" i="12"/>
  <c r="BK30" i="12"/>
  <c r="BK13" i="12"/>
  <c r="BK28" i="12"/>
  <c r="BK12" i="12"/>
  <c r="BK16" i="12"/>
  <c r="BK11" i="12"/>
  <c r="BK29" i="12"/>
  <c r="BK9" i="12"/>
  <c r="BK17" i="12"/>
  <c r="BK19" i="12"/>
  <c r="BK31" i="12"/>
  <c r="BK15" i="12"/>
  <c r="BK24" i="12"/>
  <c r="BK23" i="12"/>
  <c r="L6" i="9"/>
  <c r="G7" i="9"/>
  <c r="J28" i="1"/>
  <c r="J14" i="1"/>
  <c r="M109" i="7" a="1"/>
  <c r="M109" i="7" s="1"/>
  <c r="Q109" i="7" s="1"/>
  <c r="Q108" i="7"/>
  <c r="Q37" i="7"/>
  <c r="Q101" i="7"/>
  <c r="P108" i="7"/>
  <c r="P37" i="7"/>
  <c r="P101" i="7"/>
  <c r="J161" i="7"/>
  <c r="O161" i="7" s="1" a="1"/>
  <c r="O161" i="7" s="1"/>
  <c r="J116" i="7"/>
  <c r="J164" i="7"/>
  <c r="J106" i="7"/>
  <c r="O106" i="7" s="1" a="1"/>
  <c r="O106" i="7" s="1"/>
  <c r="J122" i="7"/>
  <c r="J121" i="7"/>
  <c r="J162" i="7"/>
  <c r="O162" i="7" s="1" a="1"/>
  <c r="O162" i="7" s="1"/>
  <c r="J105" i="7"/>
  <c r="J115" i="7"/>
  <c r="J163" i="7"/>
  <c r="J114" i="7"/>
  <c r="K73" i="7" l="1"/>
  <c r="K78" i="7"/>
  <c r="K74" i="7"/>
  <c r="K76" i="7"/>
  <c r="K72" i="7"/>
  <c r="K75" i="7"/>
  <c r="K79" i="7"/>
  <c r="K81" i="7"/>
  <c r="K77" i="7"/>
  <c r="K80" i="7"/>
  <c r="AA162" i="7"/>
  <c r="Z162" i="7"/>
  <c r="AA64" i="7"/>
  <c r="Z64" i="7"/>
  <c r="AA45" i="7"/>
  <c r="Z45" i="7"/>
  <c r="AA51" i="7"/>
  <c r="Z51" i="7"/>
  <c r="AA42" i="7"/>
  <c r="Z42" i="7"/>
  <c r="AA141" i="7"/>
  <c r="Z141" i="7"/>
  <c r="AA133" i="7"/>
  <c r="Z133" i="7"/>
  <c r="AA104" i="7"/>
  <c r="Z104" i="7"/>
  <c r="AA154" i="7"/>
  <c r="Z154" i="7"/>
  <c r="AA103" i="7"/>
  <c r="Z103" i="7"/>
  <c r="AA145" i="7"/>
  <c r="Z145" i="7"/>
  <c r="AA48" i="7"/>
  <c r="Z48" i="7"/>
  <c r="AA127" i="7"/>
  <c r="Z127" i="7"/>
  <c r="AA132" i="7"/>
  <c r="Z132" i="7"/>
  <c r="AA166" i="7"/>
  <c r="Z166" i="7"/>
  <c r="AA116" i="7"/>
  <c r="Z116" i="7"/>
  <c r="AA153" i="7"/>
  <c r="Z153" i="7"/>
  <c r="AA101" i="7"/>
  <c r="Z101" i="7"/>
  <c r="AA54" i="7"/>
  <c r="Z54" i="7"/>
  <c r="AA59" i="7"/>
  <c r="Z59" i="7"/>
  <c r="AA52" i="7"/>
  <c r="Z52" i="7"/>
  <c r="AA135" i="7"/>
  <c r="Z135" i="7"/>
  <c r="AA46" i="7"/>
  <c r="Z46" i="7"/>
  <c r="AA136" i="7"/>
  <c r="Z136" i="7"/>
  <c r="AA138" i="7"/>
  <c r="Z138" i="7"/>
  <c r="AA60" i="7"/>
  <c r="Z60" i="7"/>
  <c r="AA62" i="7"/>
  <c r="Z62" i="7"/>
  <c r="AA114" i="7"/>
  <c r="Z114" i="7"/>
  <c r="AA139" i="7"/>
  <c r="Z139" i="7"/>
  <c r="AA134" i="7"/>
  <c r="Z134" i="7"/>
  <c r="AA40" i="7"/>
  <c r="Z40" i="7"/>
  <c r="AA137" i="7"/>
  <c r="Z137" i="7"/>
  <c r="AA146" i="7"/>
  <c r="Z146" i="7"/>
  <c r="AA58" i="7"/>
  <c r="Z58" i="7"/>
  <c r="AA129" i="7"/>
  <c r="Z129" i="7"/>
  <c r="AA163" i="7"/>
  <c r="Z163" i="7"/>
  <c r="AA56" i="7"/>
  <c r="Z56" i="7"/>
  <c r="AA105" i="7"/>
  <c r="Z105" i="7"/>
  <c r="AA158" i="7"/>
  <c r="Z158" i="7"/>
  <c r="AA107" i="7"/>
  <c r="Z107" i="7"/>
  <c r="AA121" i="7"/>
  <c r="Z121" i="7"/>
  <c r="AA57" i="7"/>
  <c r="Z57" i="7"/>
  <c r="AA37" i="7"/>
  <c r="Z37" i="7"/>
  <c r="AA160" i="7"/>
  <c r="Z160" i="7"/>
  <c r="AA115" i="7"/>
  <c r="Z115" i="7"/>
  <c r="AA122" i="7"/>
  <c r="Z122" i="7"/>
  <c r="AA106" i="7"/>
  <c r="Z106" i="7"/>
  <c r="AA156" i="7"/>
  <c r="Z156" i="7"/>
  <c r="AA63" i="7"/>
  <c r="Z63" i="7"/>
  <c r="AA44" i="7"/>
  <c r="Z44" i="7"/>
  <c r="AA131" i="7"/>
  <c r="Z131" i="7"/>
  <c r="AA161" i="7"/>
  <c r="Z161" i="7"/>
  <c r="AA140" i="7"/>
  <c r="Z140" i="7"/>
  <c r="AA157" i="7"/>
  <c r="Z157" i="7"/>
  <c r="AA39" i="7"/>
  <c r="Z39" i="7"/>
  <c r="AA49" i="7"/>
  <c r="Z49" i="7"/>
  <c r="AA41" i="7"/>
  <c r="Z41" i="7"/>
  <c r="AA130" i="7"/>
  <c r="Z130" i="7"/>
  <c r="AA43" i="7"/>
  <c r="Z43" i="7"/>
  <c r="AA50" i="7"/>
  <c r="Z50" i="7"/>
  <c r="AA151" i="7"/>
  <c r="Z151" i="7"/>
  <c r="AA164" i="7"/>
  <c r="Z164" i="7"/>
  <c r="AA53" i="7"/>
  <c r="Z53" i="7"/>
  <c r="AA150" i="7"/>
  <c r="Z150" i="7"/>
  <c r="AA61" i="7"/>
  <c r="Z61" i="7"/>
  <c r="AA102" i="7"/>
  <c r="Z102" i="7"/>
  <c r="AA152" i="7"/>
  <c r="Z152" i="7"/>
  <c r="AA47" i="7"/>
  <c r="Z47" i="7"/>
  <c r="AA147" i="7"/>
  <c r="Z147" i="7"/>
  <c r="AA155" i="7"/>
  <c r="Z155" i="7"/>
  <c r="AA144" i="7"/>
  <c r="Z144" i="7"/>
  <c r="AA55" i="7"/>
  <c r="Z55" i="7"/>
  <c r="AA143" i="7"/>
  <c r="Z143" i="7"/>
  <c r="AA165" i="7"/>
  <c r="Z165" i="7"/>
  <c r="AA142" i="7"/>
  <c r="Z142" i="7"/>
  <c r="K33" i="7"/>
  <c r="K123" i="7"/>
  <c r="K32" i="7"/>
  <c r="O164" i="7" a="1"/>
  <c r="O164" i="7" s="1"/>
  <c r="S164" i="7" s="1"/>
  <c r="K112" i="7"/>
  <c r="K111" i="7"/>
  <c r="O105" i="7" a="1"/>
  <c r="O105" i="7" s="1"/>
  <c r="S105" i="7" s="1"/>
  <c r="K38" i="7"/>
  <c r="N105" i="7" a="1"/>
  <c r="N105" i="7" s="1"/>
  <c r="R105" i="7" s="1"/>
  <c r="S106" i="7"/>
  <c r="N106" i="7" a="1"/>
  <c r="N106" i="7" s="1"/>
  <c r="R106" i="7" s="1"/>
  <c r="S161" i="7"/>
  <c r="S162" i="7"/>
  <c r="N164" i="7" a="1"/>
  <c r="N164" i="7" s="1"/>
  <c r="R164" i="7" s="1"/>
  <c r="K58" i="7"/>
  <c r="K118" i="7"/>
  <c r="F6" i="9"/>
  <c r="P6" i="9"/>
  <c r="K16" i="7"/>
  <c r="K24" i="7"/>
  <c r="K18" i="7"/>
  <c r="K23" i="7"/>
  <c r="K28" i="7"/>
  <c r="K26" i="7"/>
  <c r="K9" i="7"/>
  <c r="K8" i="7"/>
  <c r="K31" i="7"/>
  <c r="K29" i="7"/>
  <c r="K34" i="7"/>
  <c r="K20" i="7"/>
  <c r="K15" i="7"/>
  <c r="K25" i="7"/>
  <c r="K30" i="7"/>
  <c r="K17" i="7"/>
  <c r="K35" i="7"/>
  <c r="K7" i="7"/>
  <c r="K27" i="7"/>
  <c r="K13" i="7"/>
  <c r="K22" i="7"/>
  <c r="K12" i="7"/>
  <c r="K10" i="7"/>
  <c r="K19" i="7"/>
  <c r="G7" i="14"/>
  <c r="K124" i="7"/>
  <c r="K119" i="7"/>
  <c r="K117" i="7"/>
  <c r="K120" i="7"/>
  <c r="L115" i="7" a="1"/>
  <c r="L115" i="7" s="1"/>
  <c r="P115" i="7" s="1"/>
  <c r="L122" i="7" a="1"/>
  <c r="L122" i="7" s="1"/>
  <c r="P122" i="7" s="1"/>
  <c r="L116" i="7" a="1"/>
  <c r="L116" i="7" s="1"/>
  <c r="P116" i="7" s="1"/>
  <c r="L105" i="7" a="1"/>
  <c r="L105" i="7" s="1"/>
  <c r="P105" i="7" s="1"/>
  <c r="L106" i="7" a="1"/>
  <c r="L106" i="7" s="1"/>
  <c r="P106" i="7" s="1"/>
  <c r="L161" i="7" a="1"/>
  <c r="L161" i="7" s="1"/>
  <c r="P161" i="7" s="1"/>
  <c r="L114" i="7" a="1"/>
  <c r="L114" i="7" s="1"/>
  <c r="P114" i="7" s="1"/>
  <c r="L162" i="7" a="1"/>
  <c r="L162" i="7" s="1"/>
  <c r="P162" i="7" s="1"/>
  <c r="L164" i="7" a="1"/>
  <c r="L164" i="7" s="1"/>
  <c r="P164" i="7" s="1"/>
  <c r="L163" i="7" a="1"/>
  <c r="L163" i="7" s="1"/>
  <c r="P163" i="7" s="1"/>
  <c r="L121" i="7" a="1"/>
  <c r="L121" i="7" s="1"/>
  <c r="P121" i="7" s="1"/>
  <c r="K57" i="7"/>
  <c r="K159" i="7"/>
  <c r="K47" i="7"/>
  <c r="K101" i="7"/>
  <c r="K127" i="7"/>
  <c r="K46" i="7"/>
  <c r="K164" i="7"/>
  <c r="K162" i="7"/>
  <c r="K158" i="7"/>
  <c r="K142" i="7"/>
  <c r="K132" i="7"/>
  <c r="K126" i="7"/>
  <c r="K115" i="7"/>
  <c r="K63" i="7"/>
  <c r="K148" i="7"/>
  <c r="K40" i="7"/>
  <c r="K168" i="7"/>
  <c r="K49" i="7"/>
  <c r="K161" i="7"/>
  <c r="K56" i="7"/>
  <c r="K153" i="7"/>
  <c r="K37" i="7"/>
  <c r="K167" i="7"/>
  <c r="K156" i="7"/>
  <c r="K109" i="7"/>
  <c r="K42" i="7"/>
  <c r="K139" i="7"/>
  <c r="K105" i="7"/>
  <c r="K125" i="7"/>
  <c r="K149" i="7"/>
  <c r="K121" i="7"/>
  <c r="K166" i="7"/>
  <c r="K64" i="7"/>
  <c r="K146" i="7"/>
  <c r="K36" i="7"/>
  <c r="K59" i="7"/>
  <c r="K163" i="7"/>
  <c r="K155" i="7"/>
  <c r="K128" i="7"/>
  <c r="K154" i="7"/>
  <c r="K39" i="7"/>
  <c r="K122" i="7"/>
  <c r="K157" i="7"/>
  <c r="K44" i="7"/>
  <c r="K50" i="7"/>
  <c r="K51" i="7"/>
  <c r="K114" i="7"/>
  <c r="K48" i="7"/>
  <c r="K60" i="7"/>
  <c r="K45" i="7"/>
  <c r="K106" i="7"/>
  <c r="K53" i="7"/>
  <c r="K55" i="7"/>
  <c r="K145" i="7"/>
  <c r="K116" i="7"/>
  <c r="K151" i="7"/>
  <c r="K165" i="7"/>
  <c r="K108" i="7"/>
  <c r="K140" i="7"/>
  <c r="H6" i="9" l="1"/>
  <c r="O6" i="9"/>
  <c r="F6" i="14"/>
  <c r="D8" i="8"/>
  <c r="F8" i="8"/>
  <c r="M116" i="7" a="1"/>
  <c r="M116" i="7" s="1"/>
  <c r="N116" i="7" s="1" a="1"/>
  <c r="N116" i="7" s="1"/>
  <c r="O116" i="7" s="1" a="1"/>
  <c r="O116" i="7" s="1"/>
  <c r="M121" i="7" a="1"/>
  <c r="M121" i="7" s="1"/>
  <c r="N121" i="7" s="1" a="1"/>
  <c r="N121" i="7" s="1"/>
  <c r="O121" i="7" s="1" a="1"/>
  <c r="O121" i="7" s="1"/>
  <c r="M114" i="7" a="1"/>
  <c r="M114" i="7" s="1"/>
  <c r="N114" i="7" s="1" a="1"/>
  <c r="N114" i="7" s="1"/>
  <c r="O114" i="7" s="1" a="1"/>
  <c r="O114" i="7" s="1"/>
  <c r="M122" i="7" a="1"/>
  <c r="M122" i="7" s="1"/>
  <c r="N122" i="7" s="1" a="1"/>
  <c r="N122" i="7" s="1"/>
  <c r="O122" i="7" s="1" a="1"/>
  <c r="O122" i="7" s="1"/>
  <c r="M115" i="7" a="1"/>
  <c r="M115" i="7" s="1"/>
  <c r="N115" i="7" s="1" a="1"/>
  <c r="N115" i="7" s="1"/>
  <c r="O115" i="7" s="1" a="1"/>
  <c r="O115" i="7" s="1"/>
  <c r="M106" i="7" a="1"/>
  <c r="M106" i="7" s="1"/>
  <c r="Q106" i="7" s="1"/>
  <c r="M105" i="7" a="1"/>
  <c r="M105" i="7" s="1"/>
  <c r="Q105" i="7" s="1"/>
  <c r="M161" i="7" a="1"/>
  <c r="M161" i="7" s="1"/>
  <c r="M163" i="7" a="1"/>
  <c r="M163" i="7" s="1"/>
  <c r="N163" i="7" s="1" a="1"/>
  <c r="N163" i="7" s="1"/>
  <c r="O163" i="7" s="1" a="1"/>
  <c r="O163" i="7" s="1"/>
  <c r="M164" i="7" a="1"/>
  <c r="M164" i="7" s="1"/>
  <c r="Q164" i="7" s="1"/>
  <c r="M162" i="7" a="1"/>
  <c r="M162" i="7" s="1"/>
  <c r="N161" i="7" l="1" a="1"/>
  <c r="N161" i="7" s="1"/>
  <c r="R161" i="7" s="1"/>
  <c r="N162" i="7" a="1"/>
  <c r="N162" i="7" s="1"/>
  <c r="R162" i="7" s="1"/>
  <c r="R115" i="7"/>
  <c r="R121" i="7"/>
  <c r="R116" i="7"/>
  <c r="R122" i="7"/>
  <c r="R163" i="7"/>
  <c r="Q162" i="7"/>
  <c r="Q161" i="7"/>
  <c r="C7" i="9"/>
  <c r="D7" i="9" s="1"/>
  <c r="H6" i="14"/>
  <c r="C7" i="14" s="1"/>
  <c r="D7" i="14" s="1"/>
  <c r="O6" i="14"/>
  <c r="E9" i="8"/>
  <c r="I8" i="8"/>
  <c r="I7" i="8"/>
  <c r="Q114" i="7"/>
  <c r="Q121" i="7"/>
  <c r="Q116" i="7"/>
  <c r="Q122" i="7"/>
  <c r="Q115" i="7"/>
  <c r="Q163" i="7"/>
  <c r="R114" i="7" l="1"/>
  <c r="S114" i="7"/>
  <c r="K7" i="9"/>
  <c r="E7" i="9"/>
  <c r="F7" i="9" s="1"/>
  <c r="H7" i="9" s="1"/>
  <c r="M7" i="9"/>
  <c r="G8" i="9"/>
  <c r="N7" i="9"/>
  <c r="N7" i="14"/>
  <c r="K7" i="14"/>
  <c r="L7" i="14"/>
  <c r="M7" i="14"/>
  <c r="G8" i="14"/>
  <c r="E7" i="14"/>
  <c r="I7" i="14" s="1"/>
  <c r="F9" i="8"/>
  <c r="C9" i="8"/>
  <c r="D9" i="8" s="1"/>
  <c r="I9" i="8" s="1"/>
  <c r="H8" i="8"/>
  <c r="G9" i="8" l="1"/>
  <c r="H9" i="8" s="1"/>
  <c r="S115" i="7"/>
  <c r="S163" i="7"/>
  <c r="S121" i="7"/>
  <c r="S122" i="7"/>
  <c r="S116" i="7"/>
  <c r="L7" i="9"/>
  <c r="P7" i="9" s="1"/>
  <c r="O7" i="9"/>
  <c r="P7" i="14"/>
  <c r="J7" i="9"/>
  <c r="I7" i="9"/>
  <c r="J7" i="14"/>
  <c r="F7" i="14"/>
  <c r="H7" i="14" s="1"/>
  <c r="E10" i="8"/>
  <c r="C10" i="8" l="1"/>
  <c r="D10" i="8" s="1"/>
  <c r="I10" i="8" s="1"/>
  <c r="G10" i="8"/>
  <c r="C8" i="9"/>
  <c r="D8" i="9" s="1"/>
  <c r="J8" i="9" s="1"/>
  <c r="C8" i="14"/>
  <c r="D8" i="14" s="1"/>
  <c r="O7" i="14"/>
  <c r="E11" i="8" l="1"/>
  <c r="F11" i="8" s="1"/>
  <c r="F10" i="8"/>
  <c r="H10" i="8" s="1"/>
  <c r="G9" i="9"/>
  <c r="K8" i="9"/>
  <c r="N8" i="9"/>
  <c r="M8" i="9"/>
  <c r="E8" i="9"/>
  <c r="F8" i="9" s="1"/>
  <c r="H8" i="9" s="1"/>
  <c r="L8" i="9"/>
  <c r="I8" i="9"/>
  <c r="N8" i="14"/>
  <c r="K8" i="14"/>
  <c r="M8" i="14"/>
  <c r="E8" i="14"/>
  <c r="F8" i="14" s="1"/>
  <c r="H8" i="14" s="1"/>
  <c r="I8" i="14"/>
  <c r="J8" i="14"/>
  <c r="G9" i="14"/>
  <c r="L8" i="14" l="1"/>
  <c r="P8" i="14" s="1"/>
  <c r="C11" i="8"/>
  <c r="D11" i="8" s="1"/>
  <c r="C9" i="9"/>
  <c r="D9" i="9" s="1"/>
  <c r="P8" i="9"/>
  <c r="O8" i="9"/>
  <c r="O8" i="14"/>
  <c r="C9" i="14"/>
  <c r="D9" i="14" s="1"/>
  <c r="G11" i="8" l="1"/>
  <c r="H11" i="8" s="1"/>
  <c r="I11" i="8"/>
  <c r="E12" i="8"/>
  <c r="C10" i="9"/>
  <c r="D10" i="9" s="1"/>
  <c r="J10" i="9" s="1"/>
  <c r="I9" i="9"/>
  <c r="J9" i="9"/>
  <c r="M9" i="9"/>
  <c r="E9" i="9"/>
  <c r="K9" i="9"/>
  <c r="G10" i="9"/>
  <c r="L9" i="9"/>
  <c r="L9" i="14"/>
  <c r="K9" i="14"/>
  <c r="I9" i="14"/>
  <c r="J9" i="14"/>
  <c r="G10" i="14"/>
  <c r="E9" i="14"/>
  <c r="N9" i="14" s="1"/>
  <c r="M9" i="14" l="1"/>
  <c r="P9" i="14" s="1"/>
  <c r="C12" i="8"/>
  <c r="D12" i="8" s="1"/>
  <c r="I12" i="8" s="1"/>
  <c r="G12" i="8"/>
  <c r="K10" i="9"/>
  <c r="I10" i="9"/>
  <c r="L10" i="9"/>
  <c r="N10" i="9"/>
  <c r="E10" i="9"/>
  <c r="F10" i="9" s="1"/>
  <c r="H10" i="9" s="1"/>
  <c r="M10" i="9"/>
  <c r="G11" i="9"/>
  <c r="N9" i="9"/>
  <c r="P9" i="9" s="1"/>
  <c r="F9" i="9"/>
  <c r="F9" i="14"/>
  <c r="F12" i="8" l="1"/>
  <c r="H12" i="8" s="1"/>
  <c r="E13" i="8"/>
  <c r="C11" i="9"/>
  <c r="D11" i="9" s="1"/>
  <c r="J11" i="9" s="1"/>
  <c r="P10" i="9"/>
  <c r="H9" i="9"/>
  <c r="O9" i="9"/>
  <c r="O10" i="9"/>
  <c r="H9" i="14"/>
  <c r="C10" i="14" s="1"/>
  <c r="O9" i="14"/>
  <c r="C13" i="8" l="1"/>
  <c r="D13" i="8" s="1"/>
  <c r="I13" i="8" s="1"/>
  <c r="F13" i="8"/>
  <c r="L11" i="9"/>
  <c r="I11" i="9"/>
  <c r="M11" i="9"/>
  <c r="E11" i="9"/>
  <c r="N11" i="9"/>
  <c r="G12" i="9"/>
  <c r="D10" i="14"/>
  <c r="E14" i="8" l="1"/>
  <c r="G13" i="8"/>
  <c r="H13" i="8" s="1"/>
  <c r="K11" i="9"/>
  <c r="P11" i="9" s="1"/>
  <c r="F11" i="9"/>
  <c r="L10" i="14"/>
  <c r="K10" i="14"/>
  <c r="M10" i="14"/>
  <c r="I10" i="14"/>
  <c r="J10" i="14"/>
  <c r="E10" i="14"/>
  <c r="F10" i="14" s="1"/>
  <c r="G11" i="14"/>
  <c r="G14" i="8" l="1"/>
  <c r="C14" i="8"/>
  <c r="D14" i="8" s="1"/>
  <c r="I14" i="8" s="1"/>
  <c r="H11" i="9"/>
  <c r="C12" i="9" s="1"/>
  <c r="O11" i="9"/>
  <c r="N10" i="14"/>
  <c r="P10" i="14" s="1"/>
  <c r="O10" i="14"/>
  <c r="H10" i="14"/>
  <c r="C11" i="14" s="1"/>
  <c r="F14" i="8" l="1"/>
  <c r="H14" i="8" s="1"/>
  <c r="E15" i="8"/>
  <c r="D12" i="9"/>
  <c r="C15" i="8" l="1"/>
  <c r="D15" i="8" s="1"/>
  <c r="I15" i="8" s="1"/>
  <c r="F15" i="8"/>
  <c r="M12" i="9"/>
  <c r="K12" i="9"/>
  <c r="E12" i="9"/>
  <c r="F12" i="9" s="1"/>
  <c r="N12" i="9"/>
  <c r="G13" i="9"/>
  <c r="D11" i="14"/>
  <c r="G15" i="8" l="1"/>
  <c r="H15" i="8" s="1"/>
  <c r="E16" i="8"/>
  <c r="J12" i="9"/>
  <c r="L12" i="9"/>
  <c r="P12" i="9" s="1"/>
  <c r="I12" i="9"/>
  <c r="H12" i="9"/>
  <c r="O12" i="9"/>
  <c r="K11" i="14"/>
  <c r="L11" i="14"/>
  <c r="M11" i="14"/>
  <c r="I11" i="14"/>
  <c r="J11" i="14"/>
  <c r="E11" i="14"/>
  <c r="F11" i="14" s="1"/>
  <c r="H11" i="14" s="1"/>
  <c r="G12" i="14"/>
  <c r="C16" i="8" l="1"/>
  <c r="D16" i="8" s="1"/>
  <c r="I16" i="8" s="1"/>
  <c r="C12" i="14"/>
  <c r="D12" i="14" s="1"/>
  <c r="C13" i="9"/>
  <c r="D13" i="9" s="1"/>
  <c r="N11" i="14"/>
  <c r="P11" i="14" s="1"/>
  <c r="O11" i="14"/>
  <c r="G16" i="8" l="1"/>
  <c r="F16" i="8"/>
  <c r="E17" i="8"/>
  <c r="C17" i="8" s="1"/>
  <c r="D17" i="8" s="1"/>
  <c r="I17" i="8" s="1"/>
  <c r="I13" i="9"/>
  <c r="J13" i="9"/>
  <c r="G14" i="9"/>
  <c r="E13" i="9"/>
  <c r="F13" i="9" s="1"/>
  <c r="N13" i="9"/>
  <c r="K13" i="9"/>
  <c r="L13" i="9"/>
  <c r="L12" i="14"/>
  <c r="M12" i="14"/>
  <c r="I12" i="14"/>
  <c r="J12" i="14"/>
  <c r="G13" i="14"/>
  <c r="E12" i="14"/>
  <c r="F12" i="14" s="1"/>
  <c r="H12" i="14" s="1"/>
  <c r="H16" i="8" l="1"/>
  <c r="F17" i="8"/>
  <c r="G17" i="8"/>
  <c r="E18" i="8"/>
  <c r="N12" i="14"/>
  <c r="K12" i="14"/>
  <c r="M13" i="9"/>
  <c r="P13" i="9" s="1"/>
  <c r="H13" i="9"/>
  <c r="C14" i="9" s="1"/>
  <c r="O13" i="9"/>
  <c r="C13" i="14"/>
  <c r="O12" i="14"/>
  <c r="H17" i="8" l="1"/>
  <c r="C18" i="8"/>
  <c r="G18" i="8" s="1"/>
  <c r="P12" i="14"/>
  <c r="D14" i="9"/>
  <c r="D18" i="8" l="1"/>
  <c r="F18" i="8"/>
  <c r="H18" i="8" s="1"/>
  <c r="I14" i="9"/>
  <c r="J14" i="9"/>
  <c r="M14" i="9"/>
  <c r="E14" i="9"/>
  <c r="L14" i="9"/>
  <c r="G15" i="9"/>
  <c r="K14" i="9"/>
  <c r="D13" i="14"/>
  <c r="E19" i="8" l="1"/>
  <c r="I18" i="8"/>
  <c r="N14" i="9"/>
  <c r="P14" i="9" s="1"/>
  <c r="F14" i="9"/>
  <c r="L13" i="14"/>
  <c r="M13" i="14"/>
  <c r="I13" i="14"/>
  <c r="G14" i="14"/>
  <c r="E13" i="14"/>
  <c r="F13" i="14" s="1"/>
  <c r="H13" i="14" s="1"/>
  <c r="C19" i="8" l="1"/>
  <c r="D19" i="8" s="1"/>
  <c r="I19" i="8" s="1"/>
  <c r="F19" i="8"/>
  <c r="N13" i="14"/>
  <c r="J13" i="14"/>
  <c r="C14" i="14" s="1"/>
  <c r="K13" i="14"/>
  <c r="H14" i="9"/>
  <c r="C15" i="9" s="1"/>
  <c r="O14" i="9"/>
  <c r="O13" i="14"/>
  <c r="G19" i="8" l="1"/>
  <c r="H19" i="8" s="1"/>
  <c r="E20" i="8"/>
  <c r="P13" i="14"/>
  <c r="D15" i="9"/>
  <c r="G20" i="8" l="1"/>
  <c r="C20" i="8"/>
  <c r="I15" i="9"/>
  <c r="J15" i="9"/>
  <c r="M15" i="9"/>
  <c r="E15" i="9"/>
  <c r="F15" i="9" s="1"/>
  <c r="G16" i="9"/>
  <c r="K15" i="9"/>
  <c r="L15" i="9"/>
  <c r="D14" i="14"/>
  <c r="D20" i="8" l="1"/>
  <c r="F20" i="8"/>
  <c r="H20" i="8" s="1"/>
  <c r="N15" i="9"/>
  <c r="P15" i="9" s="1"/>
  <c r="H15" i="9"/>
  <c r="C16" i="9" s="1"/>
  <c r="D16" i="9" s="1"/>
  <c r="J16" i="9" s="1"/>
  <c r="O15" i="9"/>
  <c r="N14" i="14"/>
  <c r="M14" i="14"/>
  <c r="G15" i="14"/>
  <c r="E14" i="14"/>
  <c r="F14" i="14" s="1"/>
  <c r="H14" i="14" s="1"/>
  <c r="I20" i="8" l="1"/>
  <c r="E21" i="8"/>
  <c r="K14" i="14"/>
  <c r="L14" i="14"/>
  <c r="L16" i="9"/>
  <c r="E16" i="9"/>
  <c r="F16" i="9" s="1"/>
  <c r="H16" i="9" s="1"/>
  <c r="G17" i="9"/>
  <c r="M16" i="9"/>
  <c r="I16" i="9"/>
  <c r="I14" i="14"/>
  <c r="J14" i="14"/>
  <c r="O14" i="14"/>
  <c r="N16" i="9" l="1"/>
  <c r="C21" i="8"/>
  <c r="D21" i="8" s="1"/>
  <c r="I21" i="8" s="1"/>
  <c r="P14" i="14"/>
  <c r="K16" i="9"/>
  <c r="C17" i="9"/>
  <c r="D17" i="9" s="1"/>
  <c r="O16" i="9"/>
  <c r="C15" i="14"/>
  <c r="D15" i="14" s="1"/>
  <c r="F21" i="8" l="1"/>
  <c r="P16" i="9"/>
  <c r="E22" i="8"/>
  <c r="G21" i="8"/>
  <c r="H21" i="8" s="1"/>
  <c r="N15" i="14"/>
  <c r="M17" i="9"/>
  <c r="E17" i="9"/>
  <c r="K17" i="9" s="1"/>
  <c r="G18" i="9"/>
  <c r="E15" i="14"/>
  <c r="F15" i="14" s="1"/>
  <c r="H15" i="14" s="1"/>
  <c r="G16" i="14"/>
  <c r="K15" i="14" l="1"/>
  <c r="C22" i="8"/>
  <c r="D22" i="8" s="1"/>
  <c r="I22" i="8" s="1"/>
  <c r="J15" i="14"/>
  <c r="I15" i="14"/>
  <c r="M15" i="14"/>
  <c r="L17" i="9"/>
  <c r="J17" i="9"/>
  <c r="I17" i="9"/>
  <c r="L15" i="14"/>
  <c r="N17" i="9"/>
  <c r="F17" i="9"/>
  <c r="H17" i="9" s="1"/>
  <c r="O15" i="14"/>
  <c r="G22" i="8" l="1"/>
  <c r="E23" i="8"/>
  <c r="F22" i="8"/>
  <c r="P15" i="14"/>
  <c r="C16" i="14"/>
  <c r="P17" i="9"/>
  <c r="C18" i="9"/>
  <c r="D18" i="9" s="1"/>
  <c r="O17" i="9"/>
  <c r="H22" i="8" l="1"/>
  <c r="C23" i="8"/>
  <c r="D23" i="8" s="1"/>
  <c r="I23" i="8" s="1"/>
  <c r="I18" i="9"/>
  <c r="E18" i="9"/>
  <c r="F18" i="9" s="1"/>
  <c r="H18" i="9" s="1"/>
  <c r="G19" i="9"/>
  <c r="D16" i="14"/>
  <c r="F23" i="8" l="1"/>
  <c r="K18" i="9"/>
  <c r="G23" i="8"/>
  <c r="H23" i="8" s="1"/>
  <c r="E24" i="8"/>
  <c r="L18" i="9"/>
  <c r="J18" i="9"/>
  <c r="C19" i="9" s="1"/>
  <c r="D19" i="9" s="1"/>
  <c r="M18" i="9"/>
  <c r="N16" i="14"/>
  <c r="N18" i="9"/>
  <c r="O18" i="9"/>
  <c r="G17" i="14"/>
  <c r="E16" i="14"/>
  <c r="M16" i="14" s="1"/>
  <c r="I16" i="14" l="1"/>
  <c r="J16" i="14"/>
  <c r="C24" i="8"/>
  <c r="D24" i="8" s="1"/>
  <c r="I24" i="8" s="1"/>
  <c r="L16" i="14"/>
  <c r="K16" i="14"/>
  <c r="P18" i="9"/>
  <c r="M19" i="9"/>
  <c r="G20" i="9"/>
  <c r="E19" i="9"/>
  <c r="K19" i="9" s="1"/>
  <c r="F16" i="14"/>
  <c r="H16" i="14" s="1"/>
  <c r="G24" i="8" l="1"/>
  <c r="I19" i="9"/>
  <c r="J19" i="9"/>
  <c r="F24" i="8"/>
  <c r="E25" i="8"/>
  <c r="P16" i="14"/>
  <c r="N19" i="9"/>
  <c r="F19" i="9"/>
  <c r="H19" i="9" s="1"/>
  <c r="L19" i="9"/>
  <c r="C17" i="14"/>
  <c r="O16" i="14"/>
  <c r="H24" i="8" l="1"/>
  <c r="C20" i="9"/>
  <c r="C25" i="8"/>
  <c r="D25" i="8" s="1"/>
  <c r="F25" i="8"/>
  <c r="P19" i="9"/>
  <c r="O19" i="9"/>
  <c r="D17" i="14"/>
  <c r="G25" i="8" l="1"/>
  <c r="H25" i="8" s="1"/>
  <c r="E26" i="8"/>
  <c r="I25" i="8"/>
  <c r="K17" i="14"/>
  <c r="D20" i="9"/>
  <c r="J20" i="9" s="1"/>
  <c r="I17" i="14"/>
  <c r="G18" i="14"/>
  <c r="E17" i="14"/>
  <c r="F17" i="14" s="1"/>
  <c r="H17" i="14" s="1"/>
  <c r="L17" i="14" l="1"/>
  <c r="G26" i="8"/>
  <c r="C26" i="8"/>
  <c r="D26" i="8" s="1"/>
  <c r="E27" i="8" s="1"/>
  <c r="J17" i="14"/>
  <c r="M17" i="14"/>
  <c r="N17" i="14"/>
  <c r="I20" i="9"/>
  <c r="M20" i="9"/>
  <c r="G21" i="9"/>
  <c r="E20" i="9"/>
  <c r="K20" i="9" s="1"/>
  <c r="L20" i="9"/>
  <c r="C18" i="14"/>
  <c r="O17" i="14"/>
  <c r="C27" i="8" l="1"/>
  <c r="D27" i="8" s="1"/>
  <c r="E28" i="8" s="1"/>
  <c r="F27" i="8"/>
  <c r="I26" i="8"/>
  <c r="F26" i="8"/>
  <c r="H26" i="8" s="1"/>
  <c r="P17" i="14"/>
  <c r="N20" i="9"/>
  <c r="P20" i="9" s="1"/>
  <c r="F20" i="9"/>
  <c r="H20" i="9" s="1"/>
  <c r="C21" i="9" s="1"/>
  <c r="D18" i="14"/>
  <c r="I27" i="8" l="1"/>
  <c r="G27" i="8"/>
  <c r="H27" i="8" s="1"/>
  <c r="C28" i="8"/>
  <c r="D28" i="8" s="1"/>
  <c r="I28" i="8" s="1"/>
  <c r="K18" i="14"/>
  <c r="O20" i="9"/>
  <c r="I18" i="14"/>
  <c r="J18" i="14"/>
  <c r="G19" i="14"/>
  <c r="E18" i="14"/>
  <c r="F18" i="14" s="1"/>
  <c r="H18" i="14" s="1"/>
  <c r="G28" i="8" l="1"/>
  <c r="M18" i="14"/>
  <c r="E29" i="8"/>
  <c r="C29" i="8" s="1"/>
  <c r="D29" i="8" s="1"/>
  <c r="I29" i="8" s="1"/>
  <c r="F28" i="8"/>
  <c r="L18" i="14"/>
  <c r="N18" i="14"/>
  <c r="D21" i="9"/>
  <c r="C19" i="14"/>
  <c r="O18" i="14"/>
  <c r="H28" i="8" l="1"/>
  <c r="E30" i="8"/>
  <c r="F29" i="8"/>
  <c r="G29" i="8"/>
  <c r="P18" i="14"/>
  <c r="I21" i="9"/>
  <c r="J21" i="9"/>
  <c r="M21" i="9"/>
  <c r="G22" i="9"/>
  <c r="E21" i="9"/>
  <c r="F21" i="9" s="1"/>
  <c r="H21" i="9" s="1"/>
  <c r="L21" i="9"/>
  <c r="D19" i="14"/>
  <c r="G30" i="8" l="1"/>
  <c r="H29" i="8"/>
  <c r="C30" i="8"/>
  <c r="D30" i="8" s="1"/>
  <c r="E31" i="8" s="1"/>
  <c r="K19" i="14"/>
  <c r="L19" i="14"/>
  <c r="C22" i="9"/>
  <c r="N21" i="9"/>
  <c r="K21" i="9"/>
  <c r="O21" i="9"/>
  <c r="I19" i="14"/>
  <c r="J19" i="14"/>
  <c r="G20" i="14"/>
  <c r="E19" i="14"/>
  <c r="F19" i="14" s="1"/>
  <c r="H19" i="14" s="1"/>
  <c r="I30" i="8" l="1"/>
  <c r="F30" i="8"/>
  <c r="H30" i="8" s="1"/>
  <c r="M19" i="14"/>
  <c r="N19" i="14"/>
  <c r="P21" i="9"/>
  <c r="D22" i="9"/>
  <c r="J22" i="9" s="1"/>
  <c r="C20" i="14"/>
  <c r="O19" i="14"/>
  <c r="C31" i="8"/>
  <c r="D31" i="8" s="1"/>
  <c r="G31" i="8" l="1"/>
  <c r="P19" i="14"/>
  <c r="I22" i="9"/>
  <c r="M22" i="9"/>
  <c r="G23" i="9"/>
  <c r="E22" i="9"/>
  <c r="F22" i="9" s="1"/>
  <c r="H22" i="9" s="1"/>
  <c r="D20" i="14"/>
  <c r="E32" i="8"/>
  <c r="I31" i="8"/>
  <c r="F31" i="8"/>
  <c r="C23" i="9" l="1"/>
  <c r="N22" i="9"/>
  <c r="K20" i="14"/>
  <c r="L20" i="14"/>
  <c r="M20" i="14"/>
  <c r="K22" i="9"/>
  <c r="L22" i="9"/>
  <c r="O22" i="9"/>
  <c r="I20" i="14"/>
  <c r="J20" i="14"/>
  <c r="E20" i="14"/>
  <c r="F20" i="14" s="1"/>
  <c r="G21" i="14"/>
  <c r="H31" i="8"/>
  <c r="C32" i="8"/>
  <c r="D32" i="8" s="1"/>
  <c r="G32" i="8" l="1"/>
  <c r="P22" i="9"/>
  <c r="N20" i="14"/>
  <c r="P20" i="14" s="1"/>
  <c r="H20" i="14"/>
  <c r="C21" i="14" s="1"/>
  <c r="D23" i="9"/>
  <c r="J23" i="9" s="1"/>
  <c r="O20" i="14"/>
  <c r="F32" i="8"/>
  <c r="E33" i="8"/>
  <c r="I32" i="8"/>
  <c r="I23" i="9" l="1"/>
  <c r="D21" i="14"/>
  <c r="G22" i="14" s="1"/>
  <c r="G24" i="9"/>
  <c r="E23" i="9"/>
  <c r="N23" i="9" s="1"/>
  <c r="H32" i="8"/>
  <c r="C33" i="8"/>
  <c r="D33" i="8" s="1"/>
  <c r="G33" i="8" l="1"/>
  <c r="M23" i="9"/>
  <c r="K21" i="14"/>
  <c r="L21" i="14"/>
  <c r="M21" i="14"/>
  <c r="J21" i="14"/>
  <c r="I21" i="14"/>
  <c r="E21" i="14"/>
  <c r="L23" i="9"/>
  <c r="K23" i="9"/>
  <c r="F23" i="9"/>
  <c r="H23" i="9" s="1"/>
  <c r="C24" i="9" s="1"/>
  <c r="F33" i="8"/>
  <c r="E34" i="8"/>
  <c r="I33" i="8"/>
  <c r="P23" i="9" l="1"/>
  <c r="N21" i="14"/>
  <c r="P21" i="14" s="1"/>
  <c r="F21" i="14"/>
  <c r="D24" i="9"/>
  <c r="O23" i="9"/>
  <c r="H33" i="8"/>
  <c r="C34" i="8"/>
  <c r="D34" i="8" s="1"/>
  <c r="G34" i="8" l="1"/>
  <c r="M24" i="9"/>
  <c r="H21" i="14"/>
  <c r="C22" i="14" s="1"/>
  <c r="D22" i="14" s="1"/>
  <c r="O21" i="14"/>
  <c r="E24" i="9"/>
  <c r="F24" i="9" s="1"/>
  <c r="H24" i="9" s="1"/>
  <c r="G25" i="9"/>
  <c r="F34" i="8"/>
  <c r="E35" i="8"/>
  <c r="I34" i="8"/>
  <c r="H34" i="8" l="1"/>
  <c r="I22" i="14"/>
  <c r="J22" i="14"/>
  <c r="G23" i="14"/>
  <c r="L22" i="14"/>
  <c r="M22" i="14"/>
  <c r="E22" i="14"/>
  <c r="F22" i="14" s="1"/>
  <c r="I24" i="9"/>
  <c r="J24" i="9"/>
  <c r="N24" i="9"/>
  <c r="L24" i="9"/>
  <c r="K24" i="9"/>
  <c r="O24" i="9"/>
  <c r="C35" i="8"/>
  <c r="D35" i="8" s="1"/>
  <c r="F35" i="8"/>
  <c r="G35" i="8" l="1"/>
  <c r="H35" i="8" s="1"/>
  <c r="K22" i="14"/>
  <c r="H22" i="14"/>
  <c r="C23" i="14" s="1"/>
  <c r="O22" i="14"/>
  <c r="N22" i="14"/>
  <c r="C25" i="9"/>
  <c r="D25" i="9" s="1"/>
  <c r="P24" i="9"/>
  <c r="E36" i="8"/>
  <c r="I35" i="8"/>
  <c r="P22" i="14" l="1"/>
  <c r="D23" i="14"/>
  <c r="E25" i="9"/>
  <c r="F25" i="9" s="1"/>
  <c r="H25" i="9" s="1"/>
  <c r="K25" i="9"/>
  <c r="G26" i="9"/>
  <c r="N25" i="9"/>
  <c r="C36" i="8"/>
  <c r="D36" i="8" s="1"/>
  <c r="G36" i="8" l="1"/>
  <c r="M23" i="14"/>
  <c r="E23" i="14"/>
  <c r="F23" i="14" s="1"/>
  <c r="G24" i="14"/>
  <c r="L23" i="14"/>
  <c r="L25" i="9"/>
  <c r="I25" i="9"/>
  <c r="J25" i="9"/>
  <c r="O25" i="9"/>
  <c r="M25" i="9"/>
  <c r="F36" i="8"/>
  <c r="E37" i="8"/>
  <c r="I36" i="8"/>
  <c r="H36" i="8" l="1"/>
  <c r="I23" i="14"/>
  <c r="J23" i="14"/>
  <c r="K23" i="14"/>
  <c r="P25" i="9"/>
  <c r="N23" i="14"/>
  <c r="H23" i="14"/>
  <c r="O23" i="14"/>
  <c r="C26" i="9"/>
  <c r="D26" i="9" s="1"/>
  <c r="J26" i="9" s="1"/>
  <c r="C37" i="8"/>
  <c r="D37" i="8" s="1"/>
  <c r="C24" i="14" l="1"/>
  <c r="D24" i="14" s="1"/>
  <c r="M24" i="14" s="1"/>
  <c r="G37" i="8"/>
  <c r="P23" i="14"/>
  <c r="I26" i="9"/>
  <c r="M26" i="9"/>
  <c r="G27" i="9"/>
  <c r="L26" i="9"/>
  <c r="E26" i="9"/>
  <c r="F26" i="9" s="1"/>
  <c r="F37" i="8"/>
  <c r="E38" i="8"/>
  <c r="I37" i="8"/>
  <c r="K26" i="9" l="1"/>
  <c r="E24" i="14"/>
  <c r="K24" i="14" s="1"/>
  <c r="G25" i="14"/>
  <c r="L24" i="14"/>
  <c r="N24" i="14"/>
  <c r="J24" i="14"/>
  <c r="N26" i="9"/>
  <c r="H26" i="9"/>
  <c r="C27" i="9" s="1"/>
  <c r="O26" i="9"/>
  <c r="H37" i="8"/>
  <c r="C38" i="8"/>
  <c r="D38" i="8" s="1"/>
  <c r="G38" i="8" l="1"/>
  <c r="P26" i="9"/>
  <c r="P24" i="14"/>
  <c r="F24" i="14"/>
  <c r="H24" i="14" s="1"/>
  <c r="I24" i="14"/>
  <c r="D27" i="9"/>
  <c r="F38" i="8"/>
  <c r="E39" i="8"/>
  <c r="I38" i="8"/>
  <c r="H38" i="8" l="1"/>
  <c r="C25" i="14"/>
  <c r="D25" i="14" s="1"/>
  <c r="O24" i="14"/>
  <c r="K27" i="9"/>
  <c r="M27" i="9"/>
  <c r="G28" i="9"/>
  <c r="E27" i="9"/>
  <c r="F27" i="9" s="1"/>
  <c r="C39" i="8"/>
  <c r="D39" i="8" s="1"/>
  <c r="F39" i="8"/>
  <c r="L27" i="9" l="1"/>
  <c r="I27" i="9"/>
  <c r="J27" i="9"/>
  <c r="G39" i="8"/>
  <c r="H39" i="8" s="1"/>
  <c r="G26" i="14"/>
  <c r="E25" i="14"/>
  <c r="F25" i="14" s="1"/>
  <c r="N25" i="14"/>
  <c r="K25" i="14"/>
  <c r="N27" i="9"/>
  <c r="P27" i="9" s="1"/>
  <c r="H27" i="9"/>
  <c r="O27" i="9"/>
  <c r="E40" i="8"/>
  <c r="I39" i="8"/>
  <c r="C28" i="9" l="1"/>
  <c r="D28" i="9" s="1"/>
  <c r="J28" i="9" s="1"/>
  <c r="J25" i="14"/>
  <c r="I25" i="14"/>
  <c r="M25" i="14"/>
  <c r="L25" i="14"/>
  <c r="H25" i="14"/>
  <c r="O25" i="14"/>
  <c r="C40" i="8"/>
  <c r="D40" i="8" s="1"/>
  <c r="G40" i="8" l="1"/>
  <c r="C26" i="14"/>
  <c r="D26" i="14" s="1"/>
  <c r="P25" i="14"/>
  <c r="M28" i="9"/>
  <c r="I28" i="9"/>
  <c r="G29" i="9"/>
  <c r="E28" i="9"/>
  <c r="F28" i="9" s="1"/>
  <c r="L28" i="9"/>
  <c r="K28" i="9"/>
  <c r="F40" i="8"/>
  <c r="E41" i="8"/>
  <c r="I40" i="8"/>
  <c r="H40" i="8" l="1"/>
  <c r="N28" i="9"/>
  <c r="P28" i="9" s="1"/>
  <c r="G27" i="14"/>
  <c r="K26" i="14"/>
  <c r="N26" i="14"/>
  <c r="E26" i="14"/>
  <c r="F26" i="14" s="1"/>
  <c r="O26" i="14" s="1"/>
  <c r="H28" i="9"/>
  <c r="C29" i="9" s="1"/>
  <c r="D29" i="9" s="1"/>
  <c r="J29" i="9" s="1"/>
  <c r="O28" i="9"/>
  <c r="C41" i="8"/>
  <c r="D41" i="8" s="1"/>
  <c r="F41" i="8"/>
  <c r="L26" i="14" l="1"/>
  <c r="J26" i="14"/>
  <c r="I26" i="14"/>
  <c r="G41" i="8"/>
  <c r="H41" i="8" s="1"/>
  <c r="M26" i="14"/>
  <c r="P26" i="14" s="1"/>
  <c r="H26" i="14"/>
  <c r="G30" i="9"/>
  <c r="E29" i="9"/>
  <c r="F29" i="9" s="1"/>
  <c r="H29" i="9" s="1"/>
  <c r="I29" i="9"/>
  <c r="M29" i="9"/>
  <c r="L29" i="9"/>
  <c r="E42" i="8"/>
  <c r="I41" i="8"/>
  <c r="N29" i="9" l="1"/>
  <c r="C27" i="14"/>
  <c r="D27" i="14" s="1"/>
  <c r="K27" i="14" s="1"/>
  <c r="C30" i="9"/>
  <c r="D30" i="9" s="1"/>
  <c r="G31" i="9" s="1"/>
  <c r="O29" i="9"/>
  <c r="K29" i="9"/>
  <c r="C42" i="8"/>
  <c r="D42" i="8" s="1"/>
  <c r="G42" i="8" l="1"/>
  <c r="P29" i="9"/>
  <c r="E27" i="14"/>
  <c r="F27" i="14" s="1"/>
  <c r="H27" i="14" s="1"/>
  <c r="I27" i="14"/>
  <c r="N27" i="14"/>
  <c r="J27" i="14"/>
  <c r="L27" i="14"/>
  <c r="G28" i="14"/>
  <c r="M30" i="9"/>
  <c r="E30" i="9"/>
  <c r="F30" i="9" s="1"/>
  <c r="H30" i="9" s="1"/>
  <c r="K30" i="9"/>
  <c r="F42" i="8"/>
  <c r="E43" i="8"/>
  <c r="I42" i="8"/>
  <c r="H42" i="8" l="1"/>
  <c r="N30" i="9"/>
  <c r="M27" i="14"/>
  <c r="P27" i="14" s="1"/>
  <c r="C28" i="14"/>
  <c r="D28" i="14" s="1"/>
  <c r="E28" i="14" s="1"/>
  <c r="F28" i="14" s="1"/>
  <c r="H28" i="14" s="1"/>
  <c r="O27" i="14"/>
  <c r="L30" i="9"/>
  <c r="O30" i="9"/>
  <c r="I30" i="9"/>
  <c r="J30" i="9"/>
  <c r="C43" i="8"/>
  <c r="D43" i="8" s="1"/>
  <c r="P30" i="9" l="1"/>
  <c r="G29" i="14"/>
  <c r="I28" i="14"/>
  <c r="L28" i="14"/>
  <c r="J28" i="14"/>
  <c r="K28" i="14"/>
  <c r="M28" i="14"/>
  <c r="G43" i="8"/>
  <c r="O28" i="14"/>
  <c r="N28" i="14"/>
  <c r="C31" i="9"/>
  <c r="D31" i="9" s="1"/>
  <c r="E44" i="8"/>
  <c r="I43" i="8"/>
  <c r="F43" i="8"/>
  <c r="C29" i="14" l="1"/>
  <c r="D29" i="14" s="1"/>
  <c r="J29" i="14" s="1"/>
  <c r="P28" i="14"/>
  <c r="G32" i="9"/>
  <c r="E31" i="9"/>
  <c r="J31" i="9" s="1"/>
  <c r="L31" i="9"/>
  <c r="I31" i="9"/>
  <c r="M31" i="9"/>
  <c r="H43" i="8"/>
  <c r="C44" i="8"/>
  <c r="D44" i="8" s="1"/>
  <c r="G44" i="8" l="1"/>
  <c r="N31" i="9"/>
  <c r="K31" i="9"/>
  <c r="E29" i="14"/>
  <c r="F29" i="14" s="1"/>
  <c r="O29" i="14" s="1"/>
  <c r="L29" i="14"/>
  <c r="G30" i="14"/>
  <c r="K29" i="14"/>
  <c r="I29" i="14"/>
  <c r="M29" i="14"/>
  <c r="F31" i="9"/>
  <c r="H31" i="9" s="1"/>
  <c r="C32" i="9" s="1"/>
  <c r="F44" i="8"/>
  <c r="E45" i="8"/>
  <c r="I44" i="8"/>
  <c r="H44" i="8" l="1"/>
  <c r="P31" i="9"/>
  <c r="H29" i="14"/>
  <c r="C30" i="14" s="1"/>
  <c r="D30" i="14" s="1"/>
  <c r="L30" i="14" s="1"/>
  <c r="N29" i="14"/>
  <c r="P29" i="14" s="1"/>
  <c r="O31" i="9"/>
  <c r="D32" i="9"/>
  <c r="C45" i="8"/>
  <c r="D45" i="8" s="1"/>
  <c r="E30" i="14" l="1"/>
  <c r="F30" i="14" s="1"/>
  <c r="H30" i="14" s="1"/>
  <c r="G31" i="14"/>
  <c r="J30" i="14"/>
  <c r="M30" i="14"/>
  <c r="G45" i="8"/>
  <c r="I30" i="14"/>
  <c r="N30" i="14"/>
  <c r="G33" i="9"/>
  <c r="E32" i="9"/>
  <c r="N32" i="9" s="1"/>
  <c r="M32" i="9"/>
  <c r="K32" i="9"/>
  <c r="E46" i="8"/>
  <c r="I45" i="8"/>
  <c r="F45" i="8"/>
  <c r="J32" i="9" l="1"/>
  <c r="I32" i="9"/>
  <c r="K30" i="14"/>
  <c r="P30" i="14" s="1"/>
  <c r="O30" i="14"/>
  <c r="C31" i="14"/>
  <c r="D31" i="14" s="1"/>
  <c r="L32" i="9"/>
  <c r="P32" i="9" s="1"/>
  <c r="F32" i="9"/>
  <c r="H45" i="8"/>
  <c r="C46" i="8"/>
  <c r="D46" i="8" s="1"/>
  <c r="G46" i="8" l="1"/>
  <c r="M31" i="14"/>
  <c r="E31" i="14"/>
  <c r="I31" i="14" s="1"/>
  <c r="G32" i="14"/>
  <c r="L31" i="14"/>
  <c r="H32" i="9"/>
  <c r="C33" i="9" s="1"/>
  <c r="O32" i="9"/>
  <c r="F46" i="8"/>
  <c r="E47" i="8"/>
  <c r="I46" i="8"/>
  <c r="J31" i="14" l="1"/>
  <c r="N31" i="14"/>
  <c r="F31" i="14"/>
  <c r="H31" i="14" s="1"/>
  <c r="K31" i="14"/>
  <c r="D33" i="9"/>
  <c r="H46" i="8"/>
  <c r="C47" i="8"/>
  <c r="D47" i="8" s="1"/>
  <c r="F47" i="8"/>
  <c r="C32" i="14" l="1"/>
  <c r="D32" i="14" s="1"/>
  <c r="G33" i="14" s="1"/>
  <c r="P31" i="14"/>
  <c r="G47" i="8"/>
  <c r="H47" i="8" s="1"/>
  <c r="O31" i="14"/>
  <c r="I33" i="9"/>
  <c r="J33" i="9"/>
  <c r="G34" i="9"/>
  <c r="M33" i="9"/>
  <c r="E33" i="9"/>
  <c r="F33" i="9" s="1"/>
  <c r="L33" i="9"/>
  <c r="E48" i="8"/>
  <c r="I47" i="8"/>
  <c r="K33" i="9" l="1"/>
  <c r="M32" i="14"/>
  <c r="E32" i="14"/>
  <c r="K32" i="14" s="1"/>
  <c r="N32" i="14"/>
  <c r="J32" i="14"/>
  <c r="I32" i="14"/>
  <c r="N33" i="9"/>
  <c r="P33" i="9" s="1"/>
  <c r="H33" i="9"/>
  <c r="C34" i="9" s="1"/>
  <c r="O33" i="9"/>
  <c r="C48" i="8"/>
  <c r="D48" i="8" s="1"/>
  <c r="G48" i="8" l="1"/>
  <c r="L32" i="14"/>
  <c r="P32" i="14" s="1"/>
  <c r="F32" i="14"/>
  <c r="H32" i="14" s="1"/>
  <c r="C33" i="14" s="1"/>
  <c r="D33" i="14" s="1"/>
  <c r="D34" i="9"/>
  <c r="F48" i="8"/>
  <c r="E49" i="8"/>
  <c r="I48" i="8"/>
  <c r="H48" i="8" l="1"/>
  <c r="O32" i="14"/>
  <c r="G34" i="14"/>
  <c r="E33" i="14"/>
  <c r="M33" i="14" s="1"/>
  <c r="N33" i="14"/>
  <c r="E34" i="9"/>
  <c r="F34" i="9" s="1"/>
  <c r="G35" i="9"/>
  <c r="K34" i="9"/>
  <c r="M34" i="9"/>
  <c r="C49" i="8"/>
  <c r="D49" i="8" s="1"/>
  <c r="F49" i="8"/>
  <c r="J34" i="9" l="1"/>
  <c r="L34" i="9"/>
  <c r="I34" i="9"/>
  <c r="K33" i="14"/>
  <c r="G49" i="8"/>
  <c r="H49" i="8" s="1"/>
  <c r="J33" i="14"/>
  <c r="N34" i="9"/>
  <c r="L33" i="14"/>
  <c r="F33" i="14"/>
  <c r="I33" i="14"/>
  <c r="H34" i="9"/>
  <c r="C35" i="9" s="1"/>
  <c r="O34" i="9"/>
  <c r="E50" i="8"/>
  <c r="I49" i="8"/>
  <c r="P34" i="9" l="1"/>
  <c r="P33" i="14"/>
  <c r="H33" i="14"/>
  <c r="C34" i="14" s="1"/>
  <c r="D34" i="14" s="1"/>
  <c r="O33" i="14"/>
  <c r="D35" i="9"/>
  <c r="C50" i="8"/>
  <c r="D50" i="8" s="1"/>
  <c r="G50" i="8" l="1"/>
  <c r="E34" i="14"/>
  <c r="L34" i="14" s="1"/>
  <c r="K34" i="14"/>
  <c r="G35" i="14"/>
  <c r="I35" i="9"/>
  <c r="J35" i="9"/>
  <c r="M35" i="9"/>
  <c r="L35" i="9"/>
  <c r="E35" i="9"/>
  <c r="F35" i="9" s="1"/>
  <c r="G36" i="9"/>
  <c r="K35" i="9"/>
  <c r="F50" i="8"/>
  <c r="E51" i="8"/>
  <c r="I50" i="8"/>
  <c r="N35" i="9" l="1"/>
  <c r="P35" i="9" s="1"/>
  <c r="I34" i="14"/>
  <c r="J34" i="14"/>
  <c r="N34" i="14"/>
  <c r="M34" i="14"/>
  <c r="F34" i="14"/>
  <c r="H35" i="9"/>
  <c r="C36" i="9" s="1"/>
  <c r="D36" i="9" s="1"/>
  <c r="O35" i="9"/>
  <c r="H50" i="8"/>
  <c r="C51" i="8"/>
  <c r="D51" i="8" s="1"/>
  <c r="G51" i="8" l="1"/>
  <c r="P34" i="14"/>
  <c r="H34" i="14"/>
  <c r="C35" i="14" s="1"/>
  <c r="D35" i="14" s="1"/>
  <c r="O34" i="14"/>
  <c r="J36" i="9"/>
  <c r="G37" i="9"/>
  <c r="M36" i="9"/>
  <c r="L36" i="9"/>
  <c r="I36" i="9"/>
  <c r="E36" i="9"/>
  <c r="F36" i="9" s="1"/>
  <c r="E52" i="8"/>
  <c r="I51" i="8"/>
  <c r="F51" i="8"/>
  <c r="N36" i="9" l="1"/>
  <c r="G36" i="14"/>
  <c r="K35" i="14"/>
  <c r="J35" i="14"/>
  <c r="I35" i="14"/>
  <c r="E35" i="14"/>
  <c r="F35" i="14" s="1"/>
  <c r="K36" i="9"/>
  <c r="H36" i="9"/>
  <c r="C37" i="9" s="1"/>
  <c r="D37" i="9" s="1"/>
  <c r="K37" i="9" s="1"/>
  <c r="O36" i="9"/>
  <c r="H51" i="8"/>
  <c r="C52" i="8"/>
  <c r="D52" i="8" s="1"/>
  <c r="G52" i="8" l="1"/>
  <c r="P36" i="9"/>
  <c r="N35" i="14"/>
  <c r="L35" i="14"/>
  <c r="H35" i="14"/>
  <c r="C36" i="14" s="1"/>
  <c r="D36" i="14" s="1"/>
  <c r="O35" i="14"/>
  <c r="M35" i="14"/>
  <c r="M37" i="9"/>
  <c r="E37" i="9"/>
  <c r="F37" i="9" s="1"/>
  <c r="G38" i="9"/>
  <c r="F52" i="8"/>
  <c r="E53" i="8"/>
  <c r="I52" i="8"/>
  <c r="H52" i="8" l="1"/>
  <c r="N37" i="9"/>
  <c r="P35" i="14"/>
  <c r="I36" i="14"/>
  <c r="K36" i="14"/>
  <c r="J36" i="14"/>
  <c r="L36" i="14"/>
  <c r="E36" i="14"/>
  <c r="M36" i="14" s="1"/>
  <c r="G37" i="14"/>
  <c r="J37" i="9"/>
  <c r="I37" i="9"/>
  <c r="H37" i="9"/>
  <c r="O37" i="9"/>
  <c r="L37" i="9"/>
  <c r="P37" i="9" s="1"/>
  <c r="C53" i="8"/>
  <c r="D53" i="8" s="1"/>
  <c r="F53" i="8"/>
  <c r="G53" i="8" l="1"/>
  <c r="H53" i="8" s="1"/>
  <c r="N36" i="14"/>
  <c r="P36" i="14" s="1"/>
  <c r="F36" i="14"/>
  <c r="C38" i="9"/>
  <c r="D38" i="9" s="1"/>
  <c r="L38" i="9" s="1"/>
  <c r="E54" i="8"/>
  <c r="I53" i="8"/>
  <c r="H36" i="14" l="1"/>
  <c r="C37" i="14" s="1"/>
  <c r="O36" i="14"/>
  <c r="I38" i="9"/>
  <c r="G39" i="9"/>
  <c r="M38" i="9"/>
  <c r="E38" i="9"/>
  <c r="F38" i="9" s="1"/>
  <c r="H38" i="9" s="1"/>
  <c r="J38" i="9"/>
  <c r="N38" i="9"/>
  <c r="C54" i="8"/>
  <c r="D54" i="8" s="1"/>
  <c r="G54" i="8" l="1"/>
  <c r="K38" i="9"/>
  <c r="P38" i="9" s="1"/>
  <c r="C39" i="9"/>
  <c r="D39" i="9" s="1"/>
  <c r="M39" i="9" s="1"/>
  <c r="D37" i="14"/>
  <c r="O38" i="9"/>
  <c r="F54" i="8"/>
  <c r="E55" i="8"/>
  <c r="I54" i="8"/>
  <c r="H54" i="8" l="1"/>
  <c r="G40" i="9"/>
  <c r="E39" i="9"/>
  <c r="F39" i="9" s="1"/>
  <c r="H39" i="9" s="1"/>
  <c r="G38" i="14"/>
  <c r="L37" i="14"/>
  <c r="M37" i="14"/>
  <c r="J37" i="14"/>
  <c r="I37" i="14"/>
  <c r="E37" i="14"/>
  <c r="K37" i="14" s="1"/>
  <c r="C55" i="8"/>
  <c r="D55" i="8" s="1"/>
  <c r="F55" i="8"/>
  <c r="K39" i="9" l="1"/>
  <c r="L39" i="9"/>
  <c r="J39" i="9"/>
  <c r="I39" i="9"/>
  <c r="G55" i="8"/>
  <c r="H55" i="8" s="1"/>
  <c r="N39" i="9"/>
  <c r="O39" i="9"/>
  <c r="N37" i="14"/>
  <c r="P37" i="14" s="1"/>
  <c r="F37" i="14"/>
  <c r="E56" i="8"/>
  <c r="I55" i="8"/>
  <c r="P39" i="9" l="1"/>
  <c r="C40" i="9"/>
  <c r="D40" i="9" s="1"/>
  <c r="H37" i="14"/>
  <c r="C38" i="14" s="1"/>
  <c r="D38" i="14" s="1"/>
  <c r="O37" i="14"/>
  <c r="C56" i="8"/>
  <c r="D56" i="8" s="1"/>
  <c r="G56" i="8" l="1"/>
  <c r="E40" i="9"/>
  <c r="F40" i="9" s="1"/>
  <c r="H40" i="9" s="1"/>
  <c r="G41" i="9"/>
  <c r="M40" i="9"/>
  <c r="K40" i="9"/>
  <c r="L40" i="9"/>
  <c r="N40" i="9"/>
  <c r="L38" i="14"/>
  <c r="M38" i="14"/>
  <c r="E38" i="14"/>
  <c r="F38" i="14" s="1"/>
  <c r="G39" i="14"/>
  <c r="J38" i="14"/>
  <c r="E57" i="8"/>
  <c r="I56" i="8"/>
  <c r="F56" i="8"/>
  <c r="H56" i="8" l="1"/>
  <c r="I40" i="9"/>
  <c r="J40" i="9"/>
  <c r="O40" i="9"/>
  <c r="P40" i="9"/>
  <c r="K38" i="14"/>
  <c r="I38" i="14"/>
  <c r="N38" i="14"/>
  <c r="H38" i="14"/>
  <c r="O38" i="14"/>
  <c r="C57" i="8"/>
  <c r="D57" i="8" s="1"/>
  <c r="F57" i="8"/>
  <c r="C41" i="9" l="1"/>
  <c r="D41" i="9" s="1"/>
  <c r="J41" i="9" s="1"/>
  <c r="P38" i="14"/>
  <c r="C39" i="14"/>
  <c r="D39" i="14" s="1"/>
  <c r="M39" i="14" s="1"/>
  <c r="G57" i="8"/>
  <c r="H57" i="8" s="1"/>
  <c r="E58" i="8"/>
  <c r="G58" i="8" s="1"/>
  <c r="I57" i="8"/>
  <c r="K41" i="9" l="1"/>
  <c r="I41" i="9"/>
  <c r="N41" i="9"/>
  <c r="G42" i="9"/>
  <c r="M41" i="9"/>
  <c r="E41" i="9"/>
  <c r="F41" i="9" s="1"/>
  <c r="H41" i="9" s="1"/>
  <c r="C42" i="9" s="1"/>
  <c r="D42" i="9" s="1"/>
  <c r="J42" i="9" s="1"/>
  <c r="L41" i="9"/>
  <c r="G40" i="14"/>
  <c r="E39" i="14"/>
  <c r="I39" i="14" s="1"/>
  <c r="K39" i="14"/>
  <c r="C58" i="8"/>
  <c r="D58" i="8" s="1"/>
  <c r="G43" i="9" l="1"/>
  <c r="I42" i="9"/>
  <c r="O41" i="9"/>
  <c r="P41" i="9"/>
  <c r="L42" i="9"/>
  <c r="E42" i="9"/>
  <c r="F42" i="9" s="1"/>
  <c r="H42" i="9" s="1"/>
  <c r="C43" i="9" s="1"/>
  <c r="D43" i="9" s="1"/>
  <c r="M42" i="9"/>
  <c r="J39" i="14"/>
  <c r="F39" i="14"/>
  <c r="O39" i="14" s="1"/>
  <c r="N39" i="14"/>
  <c r="L39" i="14"/>
  <c r="K42" i="9"/>
  <c r="F58" i="8"/>
  <c r="E59" i="8"/>
  <c r="I58" i="8"/>
  <c r="N42" i="9" l="1"/>
  <c r="O42" i="9"/>
  <c r="P39" i="14"/>
  <c r="H39" i="14"/>
  <c r="C40" i="14" s="1"/>
  <c r="D40" i="14" s="1"/>
  <c r="E40" i="14" s="1"/>
  <c r="I40" i="14" s="1"/>
  <c r="P42" i="9"/>
  <c r="M43" i="9"/>
  <c r="G44" i="9"/>
  <c r="E43" i="9"/>
  <c r="F43" i="9" s="1"/>
  <c r="H43" i="9" s="1"/>
  <c r="H58" i="8"/>
  <c r="C59" i="8"/>
  <c r="D59" i="8" s="1"/>
  <c r="G41" i="14" l="1"/>
  <c r="M40" i="14"/>
  <c r="L40" i="14"/>
  <c r="G59" i="8"/>
  <c r="N40" i="14"/>
  <c r="J40" i="14"/>
  <c r="F40" i="14"/>
  <c r="K40" i="14"/>
  <c r="J43" i="9"/>
  <c r="I43" i="9"/>
  <c r="K43" i="9"/>
  <c r="N43" i="9"/>
  <c r="L43" i="9"/>
  <c r="O43" i="9"/>
  <c r="F59" i="8"/>
  <c r="E60" i="8"/>
  <c r="I59" i="8"/>
  <c r="P40" i="14" l="1"/>
  <c r="H40" i="14"/>
  <c r="C41" i="14" s="1"/>
  <c r="D41" i="14" s="1"/>
  <c r="O40" i="14"/>
  <c r="C44" i="9"/>
  <c r="D44" i="9" s="1"/>
  <c r="P43" i="9"/>
  <c r="H59" i="8"/>
  <c r="C60" i="8"/>
  <c r="D60" i="8" s="1"/>
  <c r="G60" i="8" l="1"/>
  <c r="G42" i="14"/>
  <c r="E41" i="14"/>
  <c r="M41" i="14" s="1"/>
  <c r="E44" i="9"/>
  <c r="F44" i="9" s="1"/>
  <c r="H44" i="9" s="1"/>
  <c r="G45" i="9"/>
  <c r="I44" i="9"/>
  <c r="M44" i="9"/>
  <c r="N44" i="9"/>
  <c r="F60" i="8"/>
  <c r="E61" i="8"/>
  <c r="I60" i="8"/>
  <c r="K44" i="9" l="1"/>
  <c r="I41" i="14"/>
  <c r="N41" i="14"/>
  <c r="K41" i="14"/>
  <c r="L41" i="14"/>
  <c r="F41" i="14"/>
  <c r="J41" i="14"/>
  <c r="O44" i="9"/>
  <c r="L44" i="9"/>
  <c r="J44" i="9"/>
  <c r="C45" i="9" s="1"/>
  <c r="D45" i="9" s="1"/>
  <c r="H60" i="8"/>
  <c r="C61" i="8"/>
  <c r="D61" i="8" s="1"/>
  <c r="F61" i="8" l="1"/>
  <c r="P44" i="9"/>
  <c r="G61" i="8"/>
  <c r="P41" i="14"/>
  <c r="H41" i="14"/>
  <c r="C42" i="14" s="1"/>
  <c r="D42" i="14" s="1"/>
  <c r="O41" i="14"/>
  <c r="G46" i="9"/>
  <c r="E45" i="9"/>
  <c r="F45" i="9" s="1"/>
  <c r="H45" i="9" s="1"/>
  <c r="E62" i="8"/>
  <c r="I61" i="8"/>
  <c r="H61" i="8" l="1"/>
  <c r="I45" i="9"/>
  <c r="L45" i="9"/>
  <c r="J45" i="9"/>
  <c r="E42" i="14"/>
  <c r="L42" i="14" s="1"/>
  <c r="G43" i="14"/>
  <c r="M45" i="9"/>
  <c r="N45" i="9"/>
  <c r="K45" i="9"/>
  <c r="O45" i="9"/>
  <c r="C62" i="8"/>
  <c r="D62" i="8" s="1"/>
  <c r="C46" i="9" l="1"/>
  <c r="D46" i="9" s="1"/>
  <c r="J46" i="9" s="1"/>
  <c r="F62" i="8"/>
  <c r="K42" i="14"/>
  <c r="G62" i="8"/>
  <c r="I42" i="14"/>
  <c r="J42" i="14"/>
  <c r="N42" i="14"/>
  <c r="M42" i="14"/>
  <c r="F42" i="14"/>
  <c r="P45" i="9"/>
  <c r="E63" i="8"/>
  <c r="I62" i="8"/>
  <c r="H62" i="8" l="1"/>
  <c r="P42" i="14"/>
  <c r="H42" i="14"/>
  <c r="C43" i="14" s="1"/>
  <c r="D43" i="14" s="1"/>
  <c r="O42" i="14"/>
  <c r="I46" i="9"/>
  <c r="M46" i="9"/>
  <c r="L46" i="9"/>
  <c r="E46" i="9"/>
  <c r="F46" i="9" s="1"/>
  <c r="H46" i="9" s="1"/>
  <c r="G47" i="9"/>
  <c r="C63" i="8"/>
  <c r="D63" i="8" s="1"/>
  <c r="G63" i="8" l="1"/>
  <c r="E43" i="14"/>
  <c r="F43" i="14" s="1"/>
  <c r="K43" i="14"/>
  <c r="I43" i="14"/>
  <c r="J43" i="14"/>
  <c r="L43" i="14"/>
  <c r="G44" i="14"/>
  <c r="C47" i="9"/>
  <c r="N46" i="9"/>
  <c r="K46" i="9"/>
  <c r="O46" i="9"/>
  <c r="F63" i="8"/>
  <c r="E64" i="8"/>
  <c r="I63" i="8"/>
  <c r="M43" i="14" l="1"/>
  <c r="N43" i="14"/>
  <c r="H43" i="14"/>
  <c r="C44" i="14" s="1"/>
  <c r="D44" i="14" s="1"/>
  <c r="O43" i="14"/>
  <c r="P46" i="9"/>
  <c r="D47" i="9"/>
  <c r="J47" i="9" s="1"/>
  <c r="H63" i="8"/>
  <c r="C64" i="8"/>
  <c r="D64" i="8" s="1"/>
  <c r="F64" i="8" l="1"/>
  <c r="P43" i="14"/>
  <c r="G64" i="8"/>
  <c r="J44" i="14"/>
  <c r="K44" i="14"/>
  <c r="E44" i="14"/>
  <c r="M44" i="14" s="1"/>
  <c r="G45" i="14"/>
  <c r="L44" i="14"/>
  <c r="I44" i="14"/>
  <c r="I47" i="9"/>
  <c r="M47" i="9"/>
  <c r="E47" i="9"/>
  <c r="F47" i="9" s="1"/>
  <c r="H47" i="9" s="1"/>
  <c r="G48" i="9"/>
  <c r="E65" i="8"/>
  <c r="I64" i="8"/>
  <c r="H64" i="8" l="1"/>
  <c r="C48" i="9"/>
  <c r="N44" i="14"/>
  <c r="P44" i="14" s="1"/>
  <c r="F44" i="14"/>
  <c r="N47" i="9"/>
  <c r="K47" i="9"/>
  <c r="L47" i="9"/>
  <c r="O47" i="9"/>
  <c r="C65" i="8"/>
  <c r="D65" i="8" s="1"/>
  <c r="G65" i="8" l="1"/>
  <c r="H44" i="14"/>
  <c r="C45" i="14" s="1"/>
  <c r="D45" i="14" s="1"/>
  <c r="O44" i="14"/>
  <c r="P47" i="9"/>
  <c r="D48" i="9"/>
  <c r="F65" i="8"/>
  <c r="E66" i="8"/>
  <c r="I65" i="8"/>
  <c r="H65" i="8" l="1"/>
  <c r="K45" i="14"/>
  <c r="I45" i="14"/>
  <c r="L45" i="14"/>
  <c r="J45" i="14"/>
  <c r="G46" i="14"/>
  <c r="E45" i="14"/>
  <c r="M45" i="14" s="1"/>
  <c r="I48" i="9"/>
  <c r="J48" i="9"/>
  <c r="M48" i="9"/>
  <c r="G49" i="9"/>
  <c r="E48" i="9"/>
  <c r="F48" i="9" s="1"/>
  <c r="H48" i="9" s="1"/>
  <c r="L48" i="9"/>
  <c r="C66" i="8"/>
  <c r="D66" i="8" s="1"/>
  <c r="F66" i="8"/>
  <c r="G66" i="8" l="1"/>
  <c r="H66" i="8" s="1"/>
  <c r="N45" i="14"/>
  <c r="P45" i="14" s="1"/>
  <c r="F45" i="14"/>
  <c r="C49" i="9"/>
  <c r="N48" i="9"/>
  <c r="K48" i="9"/>
  <c r="O48" i="9"/>
  <c r="E67" i="8"/>
  <c r="G67" i="8" s="1"/>
  <c r="I66" i="8"/>
  <c r="H45" i="14" l="1"/>
  <c r="C46" i="14" s="1"/>
  <c r="D46" i="14" s="1"/>
  <c r="O45" i="14"/>
  <c r="P48" i="9"/>
  <c r="D49" i="9"/>
  <c r="J49" i="9" s="1"/>
  <c r="C67" i="8"/>
  <c r="D67" i="8" s="1"/>
  <c r="M46" i="14" l="1"/>
  <c r="E46" i="14"/>
  <c r="F46" i="14" s="1"/>
  <c r="K46" i="14"/>
  <c r="I46" i="14"/>
  <c r="L46" i="14"/>
  <c r="N46" i="14"/>
  <c r="G47" i="14"/>
  <c r="J46" i="14"/>
  <c r="I49" i="9"/>
  <c r="M49" i="9"/>
  <c r="G50" i="9"/>
  <c r="L49" i="9"/>
  <c r="E49" i="9"/>
  <c r="F49" i="9" s="1"/>
  <c r="H49" i="9" s="1"/>
  <c r="C50" i="9" s="1"/>
  <c r="F67" i="8"/>
  <c r="E68" i="8"/>
  <c r="I67" i="8"/>
  <c r="P46" i="14" l="1"/>
  <c r="H46" i="14"/>
  <c r="C47" i="14" s="1"/>
  <c r="D47" i="14" s="1"/>
  <c r="O46" i="14"/>
  <c r="N49" i="9"/>
  <c r="K49" i="9"/>
  <c r="O49" i="9"/>
  <c r="H67" i="8"/>
  <c r="C68" i="8"/>
  <c r="D68" i="8" s="1"/>
  <c r="G68" i="8" l="1"/>
  <c r="M47" i="14"/>
  <c r="G48" i="14"/>
  <c r="E47" i="14"/>
  <c r="K47" i="14"/>
  <c r="I47" i="14"/>
  <c r="J47" i="14"/>
  <c r="L47" i="14"/>
  <c r="P49" i="9"/>
  <c r="D50" i="9"/>
  <c r="F68" i="8"/>
  <c r="E69" i="8"/>
  <c r="I68" i="8"/>
  <c r="N47" i="14" l="1"/>
  <c r="P47" i="14" s="1"/>
  <c r="F47" i="14"/>
  <c r="E50" i="9"/>
  <c r="F50" i="9" s="1"/>
  <c r="H50" i="9" s="1"/>
  <c r="L50" i="9"/>
  <c r="G51" i="9"/>
  <c r="H68" i="8"/>
  <c r="C69" i="8"/>
  <c r="D69" i="8" s="1"/>
  <c r="G69" i="8" l="1"/>
  <c r="J50" i="9"/>
  <c r="I50" i="9"/>
  <c r="C51" i="9" s="1"/>
  <c r="N50" i="9"/>
  <c r="H47" i="14"/>
  <c r="C48" i="14" s="1"/>
  <c r="D48" i="14" s="1"/>
  <c r="O47" i="14"/>
  <c r="M50" i="9"/>
  <c r="F69" i="8"/>
  <c r="K50" i="9"/>
  <c r="O50" i="9"/>
  <c r="E70" i="8"/>
  <c r="I69" i="8"/>
  <c r="H69" i="8" l="1"/>
  <c r="P50" i="9"/>
  <c r="M48" i="14"/>
  <c r="I48" i="14"/>
  <c r="K48" i="14"/>
  <c r="J48" i="14"/>
  <c r="L48" i="14"/>
  <c r="E48" i="14"/>
  <c r="G49" i="14"/>
  <c r="D51" i="9"/>
  <c r="J51" i="9" s="1"/>
  <c r="C70" i="8"/>
  <c r="D70" i="8" s="1"/>
  <c r="F70" i="8"/>
  <c r="G70" i="8" l="1"/>
  <c r="H70" i="8" s="1"/>
  <c r="N48" i="14"/>
  <c r="P48" i="14" s="1"/>
  <c r="F48" i="14"/>
  <c r="I51" i="9"/>
  <c r="E51" i="9"/>
  <c r="M51" i="9" s="1"/>
  <c r="G52" i="9"/>
  <c r="L51" i="9"/>
  <c r="E71" i="8"/>
  <c r="I70" i="8"/>
  <c r="N51" i="9" l="1"/>
  <c r="H48" i="14"/>
  <c r="C49" i="14" s="1"/>
  <c r="D49" i="14" s="1"/>
  <c r="O48" i="14"/>
  <c r="K51" i="9"/>
  <c r="F51" i="9"/>
  <c r="H51" i="9" s="1"/>
  <c r="C52" i="9" s="1"/>
  <c r="C71" i="8"/>
  <c r="D71" i="8" s="1"/>
  <c r="G71" i="8" l="1"/>
  <c r="P51" i="9"/>
  <c r="K49" i="14"/>
  <c r="J49" i="14"/>
  <c r="M49" i="14"/>
  <c r="I49" i="14"/>
  <c r="E49" i="14"/>
  <c r="G50" i="14"/>
  <c r="L49" i="14"/>
  <c r="D52" i="9"/>
  <c r="O51" i="9"/>
  <c r="F71" i="8"/>
  <c r="E72" i="8"/>
  <c r="I71" i="8"/>
  <c r="H71" i="8" l="1"/>
  <c r="N49" i="14"/>
  <c r="P49" i="14" s="1"/>
  <c r="F49" i="14"/>
  <c r="M52" i="9"/>
  <c r="G53" i="9"/>
  <c r="E52" i="9"/>
  <c r="F52" i="9" s="1"/>
  <c r="H52" i="9" s="1"/>
  <c r="C72" i="8"/>
  <c r="D72" i="8" s="1"/>
  <c r="F72" i="8"/>
  <c r="G72" i="8" l="1"/>
  <c r="H72" i="8" s="1"/>
  <c r="H49" i="14"/>
  <c r="C50" i="14" s="1"/>
  <c r="D50" i="14" s="1"/>
  <c r="O49" i="14"/>
  <c r="J52" i="9"/>
  <c r="I52" i="9"/>
  <c r="K52" i="9"/>
  <c r="N52" i="9"/>
  <c r="O52" i="9"/>
  <c r="L52" i="9"/>
  <c r="E73" i="8"/>
  <c r="I72" i="8"/>
  <c r="M50" i="14" l="1"/>
  <c r="E50" i="14"/>
  <c r="I50" i="14"/>
  <c r="G51" i="14"/>
  <c r="L50" i="14"/>
  <c r="J50" i="14"/>
  <c r="K50" i="14"/>
  <c r="C53" i="9"/>
  <c r="D53" i="9" s="1"/>
  <c r="P52" i="9"/>
  <c r="C73" i="8"/>
  <c r="D73" i="8" s="1"/>
  <c r="G73" i="8" l="1"/>
  <c r="N50" i="14"/>
  <c r="P50" i="14" s="1"/>
  <c r="F50" i="14"/>
  <c r="J53" i="9"/>
  <c r="G54" i="9"/>
  <c r="E53" i="9"/>
  <c r="F53" i="9" s="1"/>
  <c r="H53" i="9" s="1"/>
  <c r="K53" i="9"/>
  <c r="F73" i="8"/>
  <c r="E74" i="8"/>
  <c r="I73" i="8"/>
  <c r="H73" i="8" l="1"/>
  <c r="H50" i="14"/>
  <c r="C51" i="14" s="1"/>
  <c r="D51" i="14" s="1"/>
  <c r="O50" i="14"/>
  <c r="I53" i="9"/>
  <c r="C54" i="9" s="1"/>
  <c r="D54" i="9" s="1"/>
  <c r="M53" i="9"/>
  <c r="N53" i="9"/>
  <c r="L53" i="9"/>
  <c r="O53" i="9"/>
  <c r="C74" i="8"/>
  <c r="D74" i="8" s="1"/>
  <c r="G74" i="8" l="1"/>
  <c r="L51" i="14"/>
  <c r="J51" i="14"/>
  <c r="K51" i="14"/>
  <c r="E51" i="14"/>
  <c r="G52" i="14"/>
  <c r="M51" i="14"/>
  <c r="I51" i="14"/>
  <c r="P53" i="9"/>
  <c r="M54" i="9"/>
  <c r="G55" i="9"/>
  <c r="E54" i="9"/>
  <c r="F54" i="9" s="1"/>
  <c r="H54" i="9" s="1"/>
  <c r="L54" i="9"/>
  <c r="F74" i="8"/>
  <c r="E75" i="8"/>
  <c r="I74" i="8"/>
  <c r="I54" i="9" l="1"/>
  <c r="J54" i="9"/>
  <c r="N51" i="14"/>
  <c r="P51" i="14" s="1"/>
  <c r="F51" i="14"/>
  <c r="N54" i="9"/>
  <c r="K54" i="9"/>
  <c r="O54" i="9"/>
  <c r="H74" i="8"/>
  <c r="C75" i="8"/>
  <c r="D75" i="8" s="1"/>
  <c r="G75" i="8" l="1"/>
  <c r="H51" i="14"/>
  <c r="C52" i="14" s="1"/>
  <c r="D52" i="14" s="1"/>
  <c r="O51" i="14"/>
  <c r="C55" i="9"/>
  <c r="P54" i="9"/>
  <c r="F75" i="8"/>
  <c r="E76" i="8"/>
  <c r="I75" i="8"/>
  <c r="H75" i="8" l="1"/>
  <c r="M52" i="14"/>
  <c r="E52" i="14"/>
  <c r="G53" i="14"/>
  <c r="I52" i="14"/>
  <c r="J52" i="14"/>
  <c r="L52" i="14"/>
  <c r="K52" i="14"/>
  <c r="D55" i="9"/>
  <c r="C76" i="8"/>
  <c r="D76" i="8" s="1"/>
  <c r="F76" i="8"/>
  <c r="G76" i="8" l="1"/>
  <c r="H76" i="8" s="1"/>
  <c r="N52" i="14"/>
  <c r="P52" i="14" s="1"/>
  <c r="F52" i="14"/>
  <c r="M55" i="9"/>
  <c r="G56" i="9"/>
  <c r="E55" i="9"/>
  <c r="F55" i="9" s="1"/>
  <c r="E77" i="8"/>
  <c r="G77" i="8" s="1"/>
  <c r="I76" i="8"/>
  <c r="K55" i="9" l="1"/>
  <c r="L55" i="9"/>
  <c r="J55" i="9"/>
  <c r="I55" i="9"/>
  <c r="H52" i="14"/>
  <c r="C53" i="14" s="1"/>
  <c r="D53" i="14" s="1"/>
  <c r="O52" i="14"/>
  <c r="H55" i="9"/>
  <c r="O55" i="9"/>
  <c r="N55" i="9"/>
  <c r="P55" i="9" s="1"/>
  <c r="C77" i="8"/>
  <c r="D77" i="8" s="1"/>
  <c r="C56" i="9" l="1"/>
  <c r="D56" i="9" s="1"/>
  <c r="K53" i="14"/>
  <c r="E53" i="14"/>
  <c r="J53" i="14"/>
  <c r="L53" i="14"/>
  <c r="G54" i="14"/>
  <c r="M53" i="14"/>
  <c r="I53" i="14"/>
  <c r="F77" i="8"/>
  <c r="E78" i="8"/>
  <c r="I77" i="8"/>
  <c r="N53" i="14" l="1"/>
  <c r="P53" i="14" s="1"/>
  <c r="F53" i="14"/>
  <c r="E56" i="9"/>
  <c r="F56" i="9" s="1"/>
  <c r="M56" i="9"/>
  <c r="G57" i="9"/>
  <c r="K56" i="9"/>
  <c r="H77" i="8"/>
  <c r="C78" i="8"/>
  <c r="D78" i="8" s="1"/>
  <c r="F78" i="8"/>
  <c r="L56" i="9" l="1"/>
  <c r="J56" i="9"/>
  <c r="I56" i="9"/>
  <c r="G78" i="8"/>
  <c r="H78" i="8" s="1"/>
  <c r="H53" i="14"/>
  <c r="C54" i="14" s="1"/>
  <c r="D54" i="14" s="1"/>
  <c r="O53" i="14"/>
  <c r="N56" i="9"/>
  <c r="P56" i="9" s="1"/>
  <c r="H56" i="9"/>
  <c r="C57" i="9" s="1"/>
  <c r="D57" i="9" s="1"/>
  <c r="O56" i="9"/>
  <c r="E79" i="8"/>
  <c r="I78" i="8"/>
  <c r="K54" i="14" l="1"/>
  <c r="I54" i="14"/>
  <c r="E54" i="14"/>
  <c r="L54" i="14"/>
  <c r="J54" i="14"/>
  <c r="M54" i="14"/>
  <c r="G55" i="14"/>
  <c r="I57" i="9"/>
  <c r="J57" i="9"/>
  <c r="M57" i="9"/>
  <c r="G58" i="9"/>
  <c r="L57" i="9"/>
  <c r="E57" i="9"/>
  <c r="F57" i="9" s="1"/>
  <c r="H57" i="9" s="1"/>
  <c r="C79" i="8"/>
  <c r="D79" i="8" s="1"/>
  <c r="G79" i="8" l="1"/>
  <c r="N57" i="9"/>
  <c r="C58" i="9"/>
  <c r="D58" i="9" s="1"/>
  <c r="N54" i="14"/>
  <c r="P54" i="14" s="1"/>
  <c r="F54" i="14"/>
  <c r="K57" i="9"/>
  <c r="O57" i="9"/>
  <c r="F79" i="8"/>
  <c r="E80" i="8"/>
  <c r="I79" i="8"/>
  <c r="P57" i="9" l="1"/>
  <c r="H54" i="14"/>
  <c r="C55" i="14" s="1"/>
  <c r="D55" i="14" s="1"/>
  <c r="O54" i="14"/>
  <c r="G59" i="9"/>
  <c r="M58" i="9"/>
  <c r="E58" i="9"/>
  <c r="F58" i="9" s="1"/>
  <c r="H79" i="8"/>
  <c r="C80" i="8"/>
  <c r="D80" i="8" s="1"/>
  <c r="F80" i="8"/>
  <c r="N58" i="9" l="1"/>
  <c r="G80" i="8"/>
  <c r="H80" i="8" s="1"/>
  <c r="K55" i="14"/>
  <c r="I55" i="14"/>
  <c r="L55" i="14"/>
  <c r="J55" i="14"/>
  <c r="E55" i="14"/>
  <c r="G56" i="14"/>
  <c r="M55" i="14"/>
  <c r="I58" i="9"/>
  <c r="L58" i="9"/>
  <c r="J58" i="9"/>
  <c r="K58" i="9"/>
  <c r="H58" i="9"/>
  <c r="O58" i="9"/>
  <c r="E81" i="8"/>
  <c r="I80" i="8"/>
  <c r="N55" i="14" l="1"/>
  <c r="P55" i="14" s="1"/>
  <c r="F55" i="14"/>
  <c r="P58" i="9"/>
  <c r="C59" i="9"/>
  <c r="C81" i="8"/>
  <c r="D81" i="8" s="1"/>
  <c r="G81" i="8" l="1"/>
  <c r="H55" i="14"/>
  <c r="C56" i="14" s="1"/>
  <c r="D56" i="14" s="1"/>
  <c r="O55" i="14"/>
  <c r="D59" i="9"/>
  <c r="F81" i="8"/>
  <c r="E82" i="8"/>
  <c r="I81" i="8"/>
  <c r="H81" i="8" l="1"/>
  <c r="K56" i="14"/>
  <c r="I56" i="14"/>
  <c r="L56" i="14"/>
  <c r="J56" i="14"/>
  <c r="E56" i="14"/>
  <c r="M56" i="14"/>
  <c r="G57" i="14"/>
  <c r="E59" i="9"/>
  <c r="F59" i="9" s="1"/>
  <c r="G60" i="9"/>
  <c r="K59" i="9"/>
  <c r="N59" i="9"/>
  <c r="C82" i="8"/>
  <c r="D82" i="8" s="1"/>
  <c r="L59" i="9" l="1"/>
  <c r="J59" i="9"/>
  <c r="G82" i="8"/>
  <c r="N56" i="14"/>
  <c r="P56" i="14" s="1"/>
  <c r="F56" i="14"/>
  <c r="I59" i="9"/>
  <c r="M59" i="9"/>
  <c r="P59" i="9" s="1"/>
  <c r="H59" i="9"/>
  <c r="O59" i="9"/>
  <c r="F82" i="8"/>
  <c r="E83" i="8"/>
  <c r="I82" i="8"/>
  <c r="H56" i="14" l="1"/>
  <c r="C57" i="14" s="1"/>
  <c r="D57" i="14" s="1"/>
  <c r="O56" i="14"/>
  <c r="C60" i="9"/>
  <c r="D60" i="9" s="1"/>
  <c r="H82" i="8"/>
  <c r="C83" i="8"/>
  <c r="D83" i="8" s="1"/>
  <c r="G83" i="8" l="1"/>
  <c r="I57" i="14"/>
  <c r="K57" i="14"/>
  <c r="E57" i="14"/>
  <c r="M57" i="14"/>
  <c r="G58" i="14"/>
  <c r="L57" i="14"/>
  <c r="J57" i="14"/>
  <c r="I60" i="9"/>
  <c r="E60" i="9"/>
  <c r="N60" i="9" s="1"/>
  <c r="G61" i="9"/>
  <c r="M60" i="9"/>
  <c r="L60" i="9"/>
  <c r="F83" i="8"/>
  <c r="E84" i="8"/>
  <c r="I83" i="8"/>
  <c r="H83" i="8" l="1"/>
  <c r="J60" i="9"/>
  <c r="N57" i="14"/>
  <c r="P57" i="14" s="1"/>
  <c r="F57" i="14"/>
  <c r="K60" i="9"/>
  <c r="P60" i="9" s="1"/>
  <c r="F60" i="9"/>
  <c r="C84" i="8"/>
  <c r="D84" i="8" s="1"/>
  <c r="F84" i="8"/>
  <c r="G84" i="8" l="1"/>
  <c r="H84" i="8" s="1"/>
  <c r="H57" i="14"/>
  <c r="C58" i="14" s="1"/>
  <c r="D58" i="14" s="1"/>
  <c r="O57" i="14"/>
  <c r="H60" i="9"/>
  <c r="C61" i="9" s="1"/>
  <c r="O60" i="9"/>
  <c r="E85" i="8"/>
  <c r="I84" i="8"/>
  <c r="I58" i="14" l="1"/>
  <c r="G59" i="14"/>
  <c r="E58" i="14"/>
  <c r="L58" i="14"/>
  <c r="J58" i="14"/>
  <c r="M58" i="14"/>
  <c r="K58" i="14"/>
  <c r="D61" i="9"/>
  <c r="C85" i="8"/>
  <c r="D85" i="8" s="1"/>
  <c r="G85" i="8" l="1"/>
  <c r="N58" i="14"/>
  <c r="P58" i="14" s="1"/>
  <c r="F58" i="14"/>
  <c r="E61" i="9"/>
  <c r="F61" i="9" s="1"/>
  <c r="G62" i="9"/>
  <c r="M61" i="9"/>
  <c r="K61" i="9"/>
  <c r="F85" i="8"/>
  <c r="E86" i="8"/>
  <c r="I85" i="8"/>
  <c r="J61" i="9" l="1"/>
  <c r="I61" i="9"/>
  <c r="L61" i="9"/>
  <c r="N61" i="9"/>
  <c r="H58" i="14"/>
  <c r="C59" i="14" s="1"/>
  <c r="O58" i="14"/>
  <c r="H61" i="9"/>
  <c r="O61" i="9"/>
  <c r="H85" i="8"/>
  <c r="C86" i="8"/>
  <c r="D86" i="8" s="1"/>
  <c r="F86" i="8"/>
  <c r="C62" i="9" l="1"/>
  <c r="D62" i="9" s="1"/>
  <c r="P61" i="9"/>
  <c r="G86" i="8"/>
  <c r="H86" i="8" s="1"/>
  <c r="D59" i="14"/>
  <c r="E87" i="8"/>
  <c r="G87" i="8" s="1"/>
  <c r="I86" i="8"/>
  <c r="E59" i="14" l="1"/>
  <c r="F59" i="14" s="1"/>
  <c r="M59" i="14"/>
  <c r="G60" i="14"/>
  <c r="K59" i="14"/>
  <c r="J59" i="14"/>
  <c r="L59" i="14"/>
  <c r="I59" i="14"/>
  <c r="I62" i="9"/>
  <c r="J62" i="9"/>
  <c r="E62" i="9"/>
  <c r="F62" i="9" s="1"/>
  <c r="G63" i="9"/>
  <c r="K62" i="9"/>
  <c r="M62" i="9"/>
  <c r="L62" i="9"/>
  <c r="C87" i="8"/>
  <c r="D87" i="8" s="1"/>
  <c r="N59" i="14" l="1"/>
  <c r="P59" i="14" s="1"/>
  <c r="N62" i="9"/>
  <c r="P62" i="9" s="1"/>
  <c r="H59" i="14"/>
  <c r="C60" i="14" s="1"/>
  <c r="D60" i="14" s="1"/>
  <c r="O59" i="14"/>
  <c r="H62" i="9"/>
  <c r="C63" i="9" s="1"/>
  <c r="O62" i="9"/>
  <c r="F87" i="8"/>
  <c r="H87" i="8" s="1"/>
  <c r="E88" i="8"/>
  <c r="I87" i="8"/>
  <c r="M60" i="14" l="1"/>
  <c r="K60" i="14"/>
  <c r="L60" i="14"/>
  <c r="E60" i="14"/>
  <c r="F60" i="14" s="1"/>
  <c r="G61" i="14"/>
  <c r="I60" i="14"/>
  <c r="J60" i="14"/>
  <c r="D63" i="9"/>
  <c r="C88" i="8"/>
  <c r="D88" i="8" s="1"/>
  <c r="F88" i="8"/>
  <c r="G88" i="8" l="1"/>
  <c r="H88" i="8" s="1"/>
  <c r="H60" i="14"/>
  <c r="C61" i="14" s="1"/>
  <c r="O60" i="14"/>
  <c r="N60" i="14"/>
  <c r="P60" i="14" s="1"/>
  <c r="I63" i="9"/>
  <c r="E63" i="9"/>
  <c r="F63" i="9" s="1"/>
  <c r="M63" i="9"/>
  <c r="G64" i="9"/>
  <c r="K63" i="9"/>
  <c r="L63" i="9"/>
  <c r="E89" i="8"/>
  <c r="G89" i="8" s="1"/>
  <c r="I88" i="8"/>
  <c r="J63" i="9" l="1"/>
  <c r="D61" i="14"/>
  <c r="N63" i="9"/>
  <c r="P63" i="9" s="1"/>
  <c r="H63" i="9"/>
  <c r="O63" i="9"/>
  <c r="C89" i="8"/>
  <c r="D89" i="8" s="1"/>
  <c r="C64" i="9" l="1"/>
  <c r="J61" i="14"/>
  <c r="M61" i="14"/>
  <c r="L61" i="14"/>
  <c r="G62" i="14"/>
  <c r="I61" i="14"/>
  <c r="K61" i="14"/>
  <c r="E61" i="14"/>
  <c r="F61" i="14" s="1"/>
  <c r="D64" i="9"/>
  <c r="F89" i="8"/>
  <c r="H89" i="8" s="1"/>
  <c r="E90" i="8"/>
  <c r="I89" i="8"/>
  <c r="N61" i="14" l="1"/>
  <c r="P61" i="14" s="1"/>
  <c r="H61" i="14"/>
  <c r="C62" i="14" s="1"/>
  <c r="O61" i="14"/>
  <c r="I64" i="9"/>
  <c r="J64" i="9"/>
  <c r="G65" i="9"/>
  <c r="M64" i="9"/>
  <c r="L64" i="9"/>
  <c r="E64" i="9"/>
  <c r="F64" i="9" s="1"/>
  <c r="C90" i="8"/>
  <c r="D90" i="8" s="1"/>
  <c r="G90" i="8" l="1"/>
  <c r="K64" i="9"/>
  <c r="D62" i="14"/>
  <c r="N64" i="9"/>
  <c r="H64" i="9"/>
  <c r="C65" i="9" s="1"/>
  <c r="D65" i="9" s="1"/>
  <c r="O64" i="9"/>
  <c r="F90" i="8"/>
  <c r="E91" i="8"/>
  <c r="I90" i="8"/>
  <c r="P64" i="9" l="1"/>
  <c r="L62" i="14"/>
  <c r="N62" i="14"/>
  <c r="K62" i="14"/>
  <c r="M62" i="14"/>
  <c r="E62" i="14"/>
  <c r="F62" i="14" s="1"/>
  <c r="J62" i="14"/>
  <c r="I62" i="14"/>
  <c r="G63" i="14"/>
  <c r="E65" i="9"/>
  <c r="I65" i="9" s="1"/>
  <c r="G66" i="9"/>
  <c r="M65" i="9"/>
  <c r="H90" i="8"/>
  <c r="C91" i="8"/>
  <c r="D91" i="8" s="1"/>
  <c r="G91" i="8" l="1"/>
  <c r="N65" i="9"/>
  <c r="L65" i="9"/>
  <c r="J65" i="9"/>
  <c r="P62" i="14"/>
  <c r="H62" i="14"/>
  <c r="C63" i="14" s="1"/>
  <c r="O62" i="14"/>
  <c r="F65" i="9"/>
  <c r="K65" i="9"/>
  <c r="F91" i="8"/>
  <c r="E92" i="8"/>
  <c r="I91" i="8"/>
  <c r="H91" i="8" l="1"/>
  <c r="P65" i="9"/>
  <c r="D63" i="14"/>
  <c r="C64" i="14"/>
  <c r="H65" i="9"/>
  <c r="C66" i="9" s="1"/>
  <c r="D66" i="9" s="1"/>
  <c r="E66" i="9" s="1"/>
  <c r="O65" i="9"/>
  <c r="C92" i="8"/>
  <c r="D92" i="8" s="1"/>
  <c r="F92" i="8"/>
  <c r="G92" i="8" l="1"/>
  <c r="H92" i="8" s="1"/>
  <c r="D64" i="14"/>
  <c r="C65" i="14"/>
  <c r="N63" i="14"/>
  <c r="J63" i="14"/>
  <c r="M63" i="14"/>
  <c r="G64" i="14"/>
  <c r="K63" i="14"/>
  <c r="E63" i="14"/>
  <c r="F63" i="14" s="1"/>
  <c r="L63" i="14"/>
  <c r="I63" i="14"/>
  <c r="M66" i="9"/>
  <c r="N66" i="9"/>
  <c r="F66" i="9"/>
  <c r="O66" i="9" s="1"/>
  <c r="L66" i="9"/>
  <c r="J66" i="9"/>
  <c r="G67" i="9"/>
  <c r="I66" i="9"/>
  <c r="K66" i="9"/>
  <c r="E93" i="8"/>
  <c r="G93" i="8" s="1"/>
  <c r="I92" i="8"/>
  <c r="P63" i="14" l="1"/>
  <c r="O63" i="14"/>
  <c r="H63" i="14"/>
  <c r="C66" i="14"/>
  <c r="D65" i="14"/>
  <c r="G66" i="14" s="1"/>
  <c r="E64" i="14"/>
  <c r="F64" i="14" s="1"/>
  <c r="G65" i="14"/>
  <c r="I64" i="14"/>
  <c r="J64" i="14"/>
  <c r="N64" i="14"/>
  <c r="M64" i="14"/>
  <c r="K64" i="14"/>
  <c r="L64" i="14"/>
  <c r="P66" i="9"/>
  <c r="H66" i="9"/>
  <c r="C67" i="9" s="1"/>
  <c r="C93" i="8"/>
  <c r="D93" i="8" s="1"/>
  <c r="J65" i="14" l="1"/>
  <c r="I65" i="14"/>
  <c r="P64" i="14"/>
  <c r="E65" i="14"/>
  <c r="F65" i="14" s="1"/>
  <c r="H65" i="14" s="1"/>
  <c r="K65" i="14"/>
  <c r="M65" i="14"/>
  <c r="N65" i="14"/>
  <c r="L65" i="14"/>
  <c r="C67" i="14"/>
  <c r="D66" i="14"/>
  <c r="H64" i="14"/>
  <c r="O64" i="14"/>
  <c r="D67" i="9"/>
  <c r="F93" i="8"/>
  <c r="H93" i="8" s="1"/>
  <c r="E94" i="8"/>
  <c r="I93" i="8"/>
  <c r="N66" i="14" l="1"/>
  <c r="L66" i="14"/>
  <c r="K66" i="14"/>
  <c r="M66" i="14"/>
  <c r="C68" i="14"/>
  <c r="D67" i="14"/>
  <c r="P65" i="14"/>
  <c r="E67" i="9"/>
  <c r="F67" i="9" s="1"/>
  <c r="G68" i="9"/>
  <c r="O65" i="14"/>
  <c r="C94" i="8"/>
  <c r="D94" i="8" s="1"/>
  <c r="F94" i="8"/>
  <c r="K67" i="9" l="1"/>
  <c r="N67" i="9"/>
  <c r="L67" i="9"/>
  <c r="J67" i="9"/>
  <c r="G94" i="8"/>
  <c r="H94" i="8" s="1"/>
  <c r="P66" i="14"/>
  <c r="L67" i="14"/>
  <c r="M67" i="14"/>
  <c r="N67" i="14"/>
  <c r="K67" i="14"/>
  <c r="C69" i="14"/>
  <c r="D68" i="14"/>
  <c r="I67" i="9"/>
  <c r="M67" i="9"/>
  <c r="H67" i="9"/>
  <c r="O67" i="9"/>
  <c r="E66" i="14"/>
  <c r="I66" i="14"/>
  <c r="J66" i="14"/>
  <c r="G67" i="14"/>
  <c r="E95" i="8"/>
  <c r="G95" i="8" s="1"/>
  <c r="I94" i="8"/>
  <c r="P67" i="9" l="1"/>
  <c r="P67" i="14"/>
  <c r="L68" i="14"/>
  <c r="N68" i="14"/>
  <c r="M68" i="14"/>
  <c r="K68" i="14"/>
  <c r="C70" i="14"/>
  <c r="D69" i="14"/>
  <c r="C68" i="9"/>
  <c r="D68" i="9" s="1"/>
  <c r="F66" i="14"/>
  <c r="H66" i="14" s="1"/>
  <c r="C95" i="8"/>
  <c r="D95" i="8" s="1"/>
  <c r="P68" i="14" l="1"/>
  <c r="L69" i="14"/>
  <c r="N69" i="14"/>
  <c r="M69" i="14"/>
  <c r="K69" i="14"/>
  <c r="C71" i="14"/>
  <c r="D70" i="14"/>
  <c r="E68" i="9"/>
  <c r="F68" i="9" s="1"/>
  <c r="M68" i="9"/>
  <c r="G69" i="9"/>
  <c r="F95" i="8"/>
  <c r="O66" i="14"/>
  <c r="E96" i="8"/>
  <c r="I95" i="8"/>
  <c r="K68" i="9" l="1"/>
  <c r="I68" i="9"/>
  <c r="L68" i="9"/>
  <c r="J68" i="9"/>
  <c r="P69" i="14"/>
  <c r="L70" i="14"/>
  <c r="M70" i="14"/>
  <c r="N70" i="14"/>
  <c r="K70" i="14"/>
  <c r="N68" i="9"/>
  <c r="C72" i="14"/>
  <c r="D71" i="14"/>
  <c r="H68" i="9"/>
  <c r="O68" i="9"/>
  <c r="E67" i="14"/>
  <c r="I67" i="14"/>
  <c r="J67" i="14"/>
  <c r="H95" i="8"/>
  <c r="G68" i="14"/>
  <c r="C96" i="8"/>
  <c r="D96" i="8" s="1"/>
  <c r="F96" i="8"/>
  <c r="P68" i="9" l="1"/>
  <c r="C69" i="9"/>
  <c r="D69" i="9" s="1"/>
  <c r="G96" i="8"/>
  <c r="H96" i="8" s="1"/>
  <c r="P70" i="14"/>
  <c r="L71" i="14"/>
  <c r="K71" i="14"/>
  <c r="M71" i="14"/>
  <c r="N71" i="14"/>
  <c r="D72" i="14"/>
  <c r="C73" i="14"/>
  <c r="F67" i="14"/>
  <c r="H67" i="14" s="1"/>
  <c r="E97" i="8"/>
  <c r="G97" i="8" s="1"/>
  <c r="I96" i="8"/>
  <c r="P71" i="14" l="1"/>
  <c r="C74" i="14"/>
  <c r="D73" i="14"/>
  <c r="M72" i="14"/>
  <c r="N72" i="14"/>
  <c r="K72" i="14"/>
  <c r="L72" i="14"/>
  <c r="M69" i="9"/>
  <c r="E69" i="9"/>
  <c r="F69" i="9" s="1"/>
  <c r="G70" i="9"/>
  <c r="O67" i="14"/>
  <c r="C97" i="8"/>
  <c r="D97" i="8" s="1"/>
  <c r="L69" i="9" l="1"/>
  <c r="I69" i="9"/>
  <c r="J69" i="9"/>
  <c r="K69" i="9"/>
  <c r="P72" i="14"/>
  <c r="L73" i="14"/>
  <c r="N73" i="14"/>
  <c r="K73" i="14"/>
  <c r="M73" i="14"/>
  <c r="C75" i="14"/>
  <c r="D74" i="14"/>
  <c r="N69" i="9"/>
  <c r="H69" i="9"/>
  <c r="O69" i="9"/>
  <c r="E68" i="14"/>
  <c r="I68" i="14"/>
  <c r="J68" i="14"/>
  <c r="G69" i="14"/>
  <c r="F97" i="8"/>
  <c r="E98" i="8"/>
  <c r="I97" i="8"/>
  <c r="C70" i="9" l="1"/>
  <c r="P69" i="9"/>
  <c r="P73" i="14"/>
  <c r="N74" i="14"/>
  <c r="K74" i="14"/>
  <c r="M74" i="14"/>
  <c r="L74" i="14"/>
  <c r="C76" i="14"/>
  <c r="D75" i="14"/>
  <c r="D70" i="9"/>
  <c r="F68" i="14"/>
  <c r="H68" i="14" s="1"/>
  <c r="H97" i="8"/>
  <c r="C98" i="8"/>
  <c r="D98" i="8" s="1"/>
  <c r="F98" i="8"/>
  <c r="G98" i="8" l="1"/>
  <c r="H98" i="8" s="1"/>
  <c r="P74" i="14"/>
  <c r="L75" i="14"/>
  <c r="M75" i="14"/>
  <c r="K75" i="14"/>
  <c r="N75" i="14"/>
  <c r="D76" i="14"/>
  <c r="C77" i="14"/>
  <c r="M70" i="9"/>
  <c r="G71" i="9"/>
  <c r="E70" i="9"/>
  <c r="F70" i="9" s="1"/>
  <c r="O68" i="14"/>
  <c r="E99" i="8"/>
  <c r="I98" i="8"/>
  <c r="P75" i="14" l="1"/>
  <c r="I70" i="9"/>
  <c r="L70" i="9"/>
  <c r="J70" i="9"/>
  <c r="K70" i="9"/>
  <c r="D77" i="14"/>
  <c r="C78" i="14"/>
  <c r="K76" i="14"/>
  <c r="M76" i="14"/>
  <c r="N76" i="14"/>
  <c r="L76" i="14"/>
  <c r="H70" i="9"/>
  <c r="O70" i="9"/>
  <c r="N70" i="9"/>
  <c r="E69" i="14"/>
  <c r="I69" i="14"/>
  <c r="J69" i="14"/>
  <c r="G70" i="14"/>
  <c r="C99" i="8"/>
  <c r="D99" i="8" s="1"/>
  <c r="G99" i="8" l="1"/>
  <c r="C71" i="9"/>
  <c r="D71" i="9" s="1"/>
  <c r="G72" i="9" s="1"/>
  <c r="P70" i="9"/>
  <c r="P76" i="14"/>
  <c r="C79" i="14"/>
  <c r="D78" i="14"/>
  <c r="N77" i="14"/>
  <c r="K77" i="14"/>
  <c r="L77" i="14"/>
  <c r="M77" i="14"/>
  <c r="F99" i="8"/>
  <c r="F69" i="14"/>
  <c r="H69" i="14" s="1"/>
  <c r="E100" i="8"/>
  <c r="I99" i="8"/>
  <c r="E71" i="9" l="1"/>
  <c r="F71" i="9" s="1"/>
  <c r="H71" i="9" s="1"/>
  <c r="M71" i="9"/>
  <c r="I71" i="9"/>
  <c r="P77" i="14"/>
  <c r="N78" i="14"/>
  <c r="L78" i="14"/>
  <c r="M78" i="14"/>
  <c r="K78" i="14"/>
  <c r="C80" i="14"/>
  <c r="D79" i="14"/>
  <c r="K71" i="9"/>
  <c r="H99" i="8"/>
  <c r="O69" i="14"/>
  <c r="C100" i="8"/>
  <c r="D100" i="8" s="1"/>
  <c r="F100" i="8"/>
  <c r="J71" i="9" l="1"/>
  <c r="L71" i="9"/>
  <c r="N71" i="9"/>
  <c r="G100" i="8"/>
  <c r="H100" i="8" s="1"/>
  <c r="O71" i="9"/>
  <c r="C72" i="9"/>
  <c r="D72" i="9" s="1"/>
  <c r="G73" i="9" s="1"/>
  <c r="P78" i="14"/>
  <c r="N79" i="14"/>
  <c r="M79" i="14"/>
  <c r="L79" i="14"/>
  <c r="K79" i="14"/>
  <c r="D80" i="14"/>
  <c r="C81" i="14"/>
  <c r="E70" i="14"/>
  <c r="I70" i="14"/>
  <c r="J70" i="14"/>
  <c r="G71" i="14"/>
  <c r="E101" i="8"/>
  <c r="I100" i="8"/>
  <c r="P71" i="9" l="1"/>
  <c r="M72" i="9"/>
  <c r="E72" i="9"/>
  <c r="F72" i="9" s="1"/>
  <c r="H72" i="9" s="1"/>
  <c r="P79" i="14"/>
  <c r="D81" i="14"/>
  <c r="C82" i="14"/>
  <c r="L80" i="14"/>
  <c r="M80" i="14"/>
  <c r="N80" i="14"/>
  <c r="K80" i="14"/>
  <c r="J72" i="9"/>
  <c r="I72" i="9"/>
  <c r="L72" i="9"/>
  <c r="F70" i="14"/>
  <c r="H70" i="14" s="1"/>
  <c r="C101" i="8"/>
  <c r="D101" i="8" s="1"/>
  <c r="G101" i="8" l="1"/>
  <c r="K72" i="9"/>
  <c r="N72" i="9"/>
  <c r="O72" i="9"/>
  <c r="P80" i="14"/>
  <c r="C83" i="14"/>
  <c r="D82" i="14"/>
  <c r="N81" i="14"/>
  <c r="L81" i="14"/>
  <c r="K81" i="14"/>
  <c r="M81" i="14"/>
  <c r="C73" i="9"/>
  <c r="D73" i="9" s="1"/>
  <c r="F101" i="8"/>
  <c r="O70" i="14"/>
  <c r="E102" i="8"/>
  <c r="I101" i="8"/>
  <c r="P72" i="9" l="1"/>
  <c r="M82" i="14"/>
  <c r="N82" i="14"/>
  <c r="L82" i="14"/>
  <c r="K82" i="14"/>
  <c r="P81" i="14"/>
  <c r="C84" i="14"/>
  <c r="D83" i="14"/>
  <c r="G74" i="9"/>
  <c r="E73" i="9"/>
  <c r="F73" i="9" s="1"/>
  <c r="E71" i="14"/>
  <c r="I71" i="14"/>
  <c r="J71" i="14"/>
  <c r="H101" i="8"/>
  <c r="G72" i="14"/>
  <c r="C102" i="8"/>
  <c r="D102" i="8" s="1"/>
  <c r="K73" i="9" l="1"/>
  <c r="I73" i="9"/>
  <c r="G102" i="8"/>
  <c r="N73" i="9"/>
  <c r="P82" i="14"/>
  <c r="M83" i="14"/>
  <c r="N83" i="14"/>
  <c r="K83" i="14"/>
  <c r="L83" i="14"/>
  <c r="C85" i="14"/>
  <c r="D84" i="14"/>
  <c r="L73" i="9"/>
  <c r="J73" i="9"/>
  <c r="M73" i="9"/>
  <c r="H73" i="9"/>
  <c r="O73" i="9"/>
  <c r="F71" i="14"/>
  <c r="H71" i="14" s="1"/>
  <c r="F102" i="8"/>
  <c r="E103" i="8"/>
  <c r="I102" i="8"/>
  <c r="P83" i="14" l="1"/>
  <c r="K84" i="14"/>
  <c r="M84" i="14"/>
  <c r="L84" i="14"/>
  <c r="N84" i="14"/>
  <c r="C86" i="14"/>
  <c r="D85" i="14"/>
  <c r="C74" i="9"/>
  <c r="D74" i="9" s="1"/>
  <c r="P73" i="9"/>
  <c r="O71" i="14"/>
  <c r="H102" i="8"/>
  <c r="C103" i="8"/>
  <c r="D103" i="8" s="1"/>
  <c r="G103" i="8" l="1"/>
  <c r="M85" i="14"/>
  <c r="N85" i="14"/>
  <c r="K85" i="14"/>
  <c r="L85" i="14"/>
  <c r="D86" i="14"/>
  <c r="C87" i="14"/>
  <c r="P84" i="14"/>
  <c r="M74" i="9"/>
  <c r="E74" i="9"/>
  <c r="F74" i="9" s="1"/>
  <c r="G75" i="9"/>
  <c r="K74" i="9"/>
  <c r="E72" i="14"/>
  <c r="I72" i="14"/>
  <c r="J72" i="14"/>
  <c r="G73" i="14"/>
  <c r="F103" i="8"/>
  <c r="E104" i="8"/>
  <c r="I103" i="8"/>
  <c r="J74" i="9" l="1"/>
  <c r="L74" i="9"/>
  <c r="I74" i="9"/>
  <c r="P85" i="14"/>
  <c r="C88" i="14"/>
  <c r="D87" i="14"/>
  <c r="K86" i="14"/>
  <c r="L86" i="14"/>
  <c r="N86" i="14"/>
  <c r="M86" i="14"/>
  <c r="N74" i="9"/>
  <c r="H74" i="9"/>
  <c r="O74" i="9"/>
  <c r="F72" i="14"/>
  <c r="H72" i="14" s="1"/>
  <c r="H103" i="8"/>
  <c r="C104" i="8"/>
  <c r="D104" i="8" s="1"/>
  <c r="P74" i="9" l="1"/>
  <c r="C75" i="9"/>
  <c r="D75" i="9" s="1"/>
  <c r="G104" i="8"/>
  <c r="P86" i="14"/>
  <c r="K87" i="14"/>
  <c r="M87" i="14"/>
  <c r="N87" i="14"/>
  <c r="L87" i="14"/>
  <c r="D88" i="14"/>
  <c r="C89" i="14"/>
  <c r="O72" i="14"/>
  <c r="F104" i="8"/>
  <c r="E105" i="8"/>
  <c r="I104" i="8"/>
  <c r="C90" i="14" l="1"/>
  <c r="D89" i="14"/>
  <c r="M88" i="14"/>
  <c r="K88" i="14"/>
  <c r="L88" i="14"/>
  <c r="N88" i="14"/>
  <c r="P87" i="14"/>
  <c r="I75" i="9"/>
  <c r="J75" i="9"/>
  <c r="M75" i="9"/>
  <c r="E75" i="9"/>
  <c r="F75" i="9" s="1"/>
  <c r="K75" i="9"/>
  <c r="G76" i="9"/>
  <c r="L75" i="9"/>
  <c r="E73" i="14"/>
  <c r="I73" i="14"/>
  <c r="J73" i="14"/>
  <c r="H104" i="8"/>
  <c r="G74" i="14"/>
  <c r="C105" i="8"/>
  <c r="D105" i="8" s="1"/>
  <c r="F105" i="8" l="1"/>
  <c r="G105" i="8"/>
  <c r="N75" i="9"/>
  <c r="P75" i="9" s="1"/>
  <c r="P88" i="14"/>
  <c r="L89" i="14"/>
  <c r="M89" i="14"/>
  <c r="K89" i="14"/>
  <c r="N89" i="14"/>
  <c r="D90" i="14"/>
  <c r="C91" i="14"/>
  <c r="H75" i="9"/>
  <c r="C76" i="9" s="1"/>
  <c r="O75" i="9"/>
  <c r="F73" i="14"/>
  <c r="H73" i="14" s="1"/>
  <c r="E106" i="8"/>
  <c r="I105" i="8"/>
  <c r="H105" i="8" l="1"/>
  <c r="P89" i="14"/>
  <c r="C92" i="14"/>
  <c r="D91" i="14"/>
  <c r="M90" i="14"/>
  <c r="N90" i="14"/>
  <c r="L90" i="14"/>
  <c r="K90" i="14"/>
  <c r="D76" i="9"/>
  <c r="O73" i="14"/>
  <c r="C106" i="8"/>
  <c r="D106" i="8" s="1"/>
  <c r="G106" i="8" l="1"/>
  <c r="P90" i="14"/>
  <c r="N91" i="14"/>
  <c r="K91" i="14"/>
  <c r="L91" i="14"/>
  <c r="M91" i="14"/>
  <c r="D92" i="14"/>
  <c r="C93" i="14"/>
  <c r="I76" i="9"/>
  <c r="J76" i="9"/>
  <c r="M76" i="9"/>
  <c r="L76" i="9"/>
  <c r="E76" i="9"/>
  <c r="F76" i="9" s="1"/>
  <c r="G77" i="9"/>
  <c r="K76" i="9"/>
  <c r="E74" i="14"/>
  <c r="I74" i="14"/>
  <c r="J74" i="14"/>
  <c r="G75" i="14"/>
  <c r="F106" i="8"/>
  <c r="E107" i="8"/>
  <c r="I106" i="8"/>
  <c r="P91" i="14" l="1"/>
  <c r="C94" i="14"/>
  <c r="D93" i="14"/>
  <c r="M92" i="14"/>
  <c r="N92" i="14"/>
  <c r="K92" i="14"/>
  <c r="L92" i="14"/>
  <c r="H106" i="8"/>
  <c r="N76" i="9"/>
  <c r="P76" i="9" s="1"/>
  <c r="H76" i="9"/>
  <c r="C77" i="9" s="1"/>
  <c r="O76" i="9"/>
  <c r="F74" i="14"/>
  <c r="H74" i="14" s="1"/>
  <c r="C107" i="8"/>
  <c r="D107" i="8" s="1"/>
  <c r="G107" i="8" l="1"/>
  <c r="L93" i="14"/>
  <c r="M93" i="14"/>
  <c r="N93" i="14"/>
  <c r="K93" i="14"/>
  <c r="P92" i="14"/>
  <c r="C95" i="14"/>
  <c r="D94" i="14"/>
  <c r="F107" i="8"/>
  <c r="D77" i="9"/>
  <c r="O74" i="14"/>
  <c r="E108" i="8"/>
  <c r="I107" i="8"/>
  <c r="P93" i="14" l="1"/>
  <c r="N94" i="14"/>
  <c r="K94" i="14"/>
  <c r="L94" i="14"/>
  <c r="M94" i="14"/>
  <c r="C96" i="14"/>
  <c r="D95" i="14"/>
  <c r="H107" i="8"/>
  <c r="I77" i="9"/>
  <c r="J77" i="9"/>
  <c r="G78" i="9"/>
  <c r="E77" i="9"/>
  <c r="F77" i="9" s="1"/>
  <c r="M77" i="9"/>
  <c r="L77" i="9"/>
  <c r="E75" i="14"/>
  <c r="I75" i="14"/>
  <c r="J75" i="14"/>
  <c r="G76" i="14"/>
  <c r="C108" i="8"/>
  <c r="D108" i="8" s="1"/>
  <c r="K77" i="9" l="1"/>
  <c r="F108" i="8"/>
  <c r="G108" i="8"/>
  <c r="P94" i="14"/>
  <c r="L95" i="14"/>
  <c r="M95" i="14"/>
  <c r="K95" i="14"/>
  <c r="N95" i="14"/>
  <c r="C97" i="14"/>
  <c r="D96" i="14"/>
  <c r="H77" i="9"/>
  <c r="C78" i="9" s="1"/>
  <c r="O77" i="9"/>
  <c r="N77" i="9"/>
  <c r="P77" i="9" s="1"/>
  <c r="F75" i="14"/>
  <c r="H75" i="14" s="1"/>
  <c r="E109" i="8"/>
  <c r="I108" i="8"/>
  <c r="H108" i="8" l="1"/>
  <c r="P95" i="14"/>
  <c r="N96" i="14"/>
  <c r="L96" i="14"/>
  <c r="K96" i="14"/>
  <c r="M96" i="14"/>
  <c r="C98" i="14"/>
  <c r="D97" i="14"/>
  <c r="D78" i="9"/>
  <c r="O75" i="14"/>
  <c r="C109" i="8"/>
  <c r="D109" i="8" s="1"/>
  <c r="G109" i="8" l="1"/>
  <c r="P96" i="14"/>
  <c r="L97" i="14"/>
  <c r="K97" i="14"/>
  <c r="N97" i="14"/>
  <c r="M97" i="14"/>
  <c r="D98" i="14"/>
  <c r="C99" i="14"/>
  <c r="E78" i="9"/>
  <c r="F78" i="9" s="1"/>
  <c r="G79" i="9"/>
  <c r="M78" i="9"/>
  <c r="E76" i="14"/>
  <c r="I76" i="14"/>
  <c r="J76" i="14"/>
  <c r="F109" i="8"/>
  <c r="G77" i="14"/>
  <c r="E110" i="8"/>
  <c r="I109" i="8"/>
  <c r="I78" i="9" l="1"/>
  <c r="L78" i="9"/>
  <c r="J78" i="9"/>
  <c r="K78" i="9"/>
  <c r="P97" i="14"/>
  <c r="C100" i="14"/>
  <c r="D99" i="14"/>
  <c r="M98" i="14"/>
  <c r="L98" i="14"/>
  <c r="N98" i="14"/>
  <c r="K98" i="14"/>
  <c r="H109" i="8"/>
  <c r="N78" i="9"/>
  <c r="H78" i="9"/>
  <c r="O78" i="9"/>
  <c r="F76" i="14"/>
  <c r="H76" i="14" s="1"/>
  <c r="C110" i="8"/>
  <c r="D110" i="8" s="1"/>
  <c r="P78" i="9" l="1"/>
  <c r="C79" i="9"/>
  <c r="D79" i="9" s="1"/>
  <c r="G110" i="8"/>
  <c r="P98" i="14"/>
  <c r="N99" i="14"/>
  <c r="K99" i="14"/>
  <c r="L99" i="14"/>
  <c r="M99" i="14"/>
  <c r="D100" i="14"/>
  <c r="C101" i="14"/>
  <c r="F110" i="8"/>
  <c r="O76" i="14"/>
  <c r="E111" i="8"/>
  <c r="I110" i="8"/>
  <c r="P99" i="14" l="1"/>
  <c r="C102" i="14"/>
  <c r="D101" i="14"/>
  <c r="M100" i="14"/>
  <c r="K100" i="14"/>
  <c r="N100" i="14"/>
  <c r="L100" i="14"/>
  <c r="H110" i="8"/>
  <c r="I79" i="9"/>
  <c r="J79" i="9"/>
  <c r="E79" i="9"/>
  <c r="F79" i="9" s="1"/>
  <c r="L79" i="9"/>
  <c r="M79" i="9"/>
  <c r="G80" i="9"/>
  <c r="E77" i="14"/>
  <c r="I77" i="14"/>
  <c r="J77" i="14"/>
  <c r="G78" i="14"/>
  <c r="C111" i="8"/>
  <c r="D111" i="8" s="1"/>
  <c r="F111" i="8" l="1"/>
  <c r="G111" i="8"/>
  <c r="K79" i="9"/>
  <c r="P100" i="14"/>
  <c r="M101" i="14"/>
  <c r="K101" i="14"/>
  <c r="N101" i="14"/>
  <c r="L101" i="14"/>
  <c r="C103" i="14"/>
  <c r="D102" i="14"/>
  <c r="N79" i="9"/>
  <c r="H79" i="9"/>
  <c r="C80" i="9" s="1"/>
  <c r="D80" i="9" s="1"/>
  <c r="O79" i="9"/>
  <c r="F77" i="14"/>
  <c r="H77" i="14" s="1"/>
  <c r="E112" i="8"/>
  <c r="I111" i="8"/>
  <c r="H111" i="8" l="1"/>
  <c r="P79" i="9"/>
  <c r="M102" i="14"/>
  <c r="K102" i="14"/>
  <c r="N102" i="14"/>
  <c r="L102" i="14"/>
  <c r="P101" i="14"/>
  <c r="D103" i="14"/>
  <c r="C104" i="14"/>
  <c r="M80" i="9"/>
  <c r="E80" i="9"/>
  <c r="F80" i="9" s="1"/>
  <c r="O80" i="9" s="1"/>
  <c r="G81" i="9"/>
  <c r="O77" i="14"/>
  <c r="C112" i="8"/>
  <c r="D112" i="8" s="1"/>
  <c r="N80" i="9" l="1"/>
  <c r="G112" i="8"/>
  <c r="L80" i="9"/>
  <c r="J80" i="9"/>
  <c r="I80" i="9"/>
  <c r="C105" i="14"/>
  <c r="D104" i="14"/>
  <c r="L103" i="14"/>
  <c r="M103" i="14"/>
  <c r="K103" i="14"/>
  <c r="N103" i="14"/>
  <c r="P102" i="14"/>
  <c r="H80" i="9"/>
  <c r="K80" i="9"/>
  <c r="E78" i="14"/>
  <c r="I78" i="14"/>
  <c r="J78" i="14"/>
  <c r="F112" i="8"/>
  <c r="G79" i="14"/>
  <c r="E113" i="8"/>
  <c r="I112" i="8"/>
  <c r="P80" i="9" l="1"/>
  <c r="C81" i="9"/>
  <c r="D81" i="9" s="1"/>
  <c r="G82" i="9" s="1"/>
  <c r="P103" i="14"/>
  <c r="N104" i="14"/>
  <c r="L104" i="14"/>
  <c r="M104" i="14"/>
  <c r="K104" i="14"/>
  <c r="C106" i="14"/>
  <c r="D105" i="14"/>
  <c r="H112" i="8"/>
  <c r="F78" i="14"/>
  <c r="H78" i="14" s="1"/>
  <c r="C113" i="8"/>
  <c r="D113" i="8" s="1"/>
  <c r="G113" i="8" l="1"/>
  <c r="E81" i="9"/>
  <c r="F81" i="9" s="1"/>
  <c r="H81" i="9" s="1"/>
  <c r="M81" i="9"/>
  <c r="P104" i="14"/>
  <c r="N105" i="14"/>
  <c r="K105" i="14"/>
  <c r="M105" i="14"/>
  <c r="L105" i="14"/>
  <c r="D106" i="14"/>
  <c r="C107" i="14"/>
  <c r="F113" i="8"/>
  <c r="K81" i="9"/>
  <c r="O78" i="14"/>
  <c r="E114" i="8"/>
  <c r="I113" i="8"/>
  <c r="N81" i="9" l="1"/>
  <c r="J81" i="9"/>
  <c r="I81" i="9"/>
  <c r="L81" i="9"/>
  <c r="O81" i="9"/>
  <c r="P105" i="14"/>
  <c r="C108" i="14"/>
  <c r="D107" i="14"/>
  <c r="K106" i="14"/>
  <c r="N106" i="14"/>
  <c r="L106" i="14"/>
  <c r="M106" i="14"/>
  <c r="H113" i="8"/>
  <c r="E79" i="14"/>
  <c r="I79" i="14"/>
  <c r="J79" i="14"/>
  <c r="G80" i="14"/>
  <c r="C114" i="8"/>
  <c r="D114" i="8" s="1"/>
  <c r="P81" i="9" l="1"/>
  <c r="F114" i="8"/>
  <c r="C82" i="9"/>
  <c r="D82" i="9" s="1"/>
  <c r="G114" i="8"/>
  <c r="P106" i="14"/>
  <c r="M107" i="14"/>
  <c r="N107" i="14"/>
  <c r="L107" i="14"/>
  <c r="K107" i="14"/>
  <c r="C109" i="14"/>
  <c r="D108" i="14"/>
  <c r="F79" i="14"/>
  <c r="H79" i="14" s="1"/>
  <c r="E115" i="8"/>
  <c r="I114" i="8"/>
  <c r="H114" i="8" l="1"/>
  <c r="G83" i="9"/>
  <c r="E82" i="9"/>
  <c r="F82" i="9" s="1"/>
  <c r="H82" i="9" s="1"/>
  <c r="N82" i="9"/>
  <c r="P107" i="14"/>
  <c r="K108" i="14"/>
  <c r="L108" i="14"/>
  <c r="N108" i="14"/>
  <c r="M108" i="14"/>
  <c r="D109" i="14"/>
  <c r="C110" i="14"/>
  <c r="L82" i="9"/>
  <c r="J82" i="9"/>
  <c r="I82" i="9"/>
  <c r="M82" i="9"/>
  <c r="O79" i="14"/>
  <c r="C115" i="8"/>
  <c r="D115" i="8" s="1"/>
  <c r="K82" i="9" l="1"/>
  <c r="P82" i="9" s="1"/>
  <c r="O82" i="9"/>
  <c r="G115" i="8"/>
  <c r="P108" i="14"/>
  <c r="D110" i="14"/>
  <c r="C111" i="14"/>
  <c r="L109" i="14"/>
  <c r="M109" i="14"/>
  <c r="N109" i="14"/>
  <c r="K109" i="14"/>
  <c r="C83" i="9"/>
  <c r="D83" i="9" s="1"/>
  <c r="E80" i="14"/>
  <c r="I80" i="14"/>
  <c r="J80" i="14"/>
  <c r="F115" i="8"/>
  <c r="G81" i="14"/>
  <c r="E116" i="8"/>
  <c r="I115" i="8"/>
  <c r="P109" i="14" l="1"/>
  <c r="C112" i="14"/>
  <c r="D111" i="14"/>
  <c r="L110" i="14"/>
  <c r="M110" i="14"/>
  <c r="N110" i="14"/>
  <c r="K110" i="14"/>
  <c r="H115" i="8"/>
  <c r="G84" i="9"/>
  <c r="E83" i="9"/>
  <c r="F83" i="9" s="1"/>
  <c r="M83" i="9"/>
  <c r="F80" i="14"/>
  <c r="H80" i="14" s="1"/>
  <c r="C116" i="8"/>
  <c r="D116" i="8" s="1"/>
  <c r="K83" i="9" l="1"/>
  <c r="L83" i="9"/>
  <c r="J83" i="9"/>
  <c r="I83" i="9"/>
  <c r="G116" i="8"/>
  <c r="P110" i="14"/>
  <c r="K111" i="14"/>
  <c r="L111" i="14"/>
  <c r="M111" i="14"/>
  <c r="N111" i="14"/>
  <c r="D112" i="14"/>
  <c r="C113" i="14"/>
  <c r="F116" i="8"/>
  <c r="N83" i="9"/>
  <c r="H83" i="9"/>
  <c r="O83" i="9"/>
  <c r="O80" i="14"/>
  <c r="E117" i="8"/>
  <c r="I116" i="8"/>
  <c r="P83" i="9" l="1"/>
  <c r="C84" i="9"/>
  <c r="D84" i="9" s="1"/>
  <c r="C114" i="14"/>
  <c r="D113" i="14"/>
  <c r="N112" i="14"/>
  <c r="L112" i="14"/>
  <c r="M112" i="14"/>
  <c r="K112" i="14"/>
  <c r="P111" i="14"/>
  <c r="H116" i="8"/>
  <c r="E81" i="14"/>
  <c r="I81" i="14"/>
  <c r="J81" i="14"/>
  <c r="G82" i="14"/>
  <c r="C117" i="8"/>
  <c r="D117" i="8" s="1"/>
  <c r="F117" i="8" l="1"/>
  <c r="G117" i="8"/>
  <c r="P112" i="14"/>
  <c r="M113" i="14"/>
  <c r="N113" i="14"/>
  <c r="K113" i="14"/>
  <c r="L113" i="14"/>
  <c r="C115" i="14"/>
  <c r="D114" i="14"/>
  <c r="E84" i="9"/>
  <c r="F84" i="9" s="1"/>
  <c r="G85" i="9"/>
  <c r="M84" i="9"/>
  <c r="K84" i="9"/>
  <c r="F81" i="14"/>
  <c r="H81" i="14" s="1"/>
  <c r="E118" i="8"/>
  <c r="I117" i="8"/>
  <c r="H117" i="8" l="1"/>
  <c r="I84" i="9"/>
  <c r="L84" i="9"/>
  <c r="J84" i="9"/>
  <c r="P113" i="14"/>
  <c r="L114" i="14"/>
  <c r="N114" i="14"/>
  <c r="K114" i="14"/>
  <c r="M114" i="14"/>
  <c r="C116" i="14"/>
  <c r="D115" i="14"/>
  <c r="N84" i="9"/>
  <c r="H84" i="9"/>
  <c r="O84" i="9"/>
  <c r="O81" i="14"/>
  <c r="C118" i="8"/>
  <c r="D118" i="8" s="1"/>
  <c r="P84" i="9" l="1"/>
  <c r="C85" i="9"/>
  <c r="D85" i="9" s="1"/>
  <c r="G118" i="8"/>
  <c r="P114" i="14"/>
  <c r="N115" i="14"/>
  <c r="K115" i="14"/>
  <c r="L115" i="14"/>
  <c r="M115" i="14"/>
  <c r="C117" i="14"/>
  <c r="D116" i="14"/>
  <c r="E82" i="14"/>
  <c r="I82" i="14"/>
  <c r="J82" i="14"/>
  <c r="F118" i="8"/>
  <c r="G83" i="14"/>
  <c r="E119" i="8"/>
  <c r="I118" i="8"/>
  <c r="P115" i="14" l="1"/>
  <c r="N116" i="14"/>
  <c r="L116" i="14"/>
  <c r="K116" i="14"/>
  <c r="M116" i="14"/>
  <c r="D117" i="14"/>
  <c r="C118" i="14"/>
  <c r="H118" i="8"/>
  <c r="I85" i="9"/>
  <c r="J85" i="9"/>
  <c r="M85" i="9"/>
  <c r="E85" i="9"/>
  <c r="F85" i="9" s="1"/>
  <c r="G86" i="9"/>
  <c r="L85" i="9"/>
  <c r="F82" i="14"/>
  <c r="H82" i="14" s="1"/>
  <c r="C119" i="8"/>
  <c r="D119" i="8" s="1"/>
  <c r="K85" i="9" l="1"/>
  <c r="F119" i="8"/>
  <c r="G119" i="8"/>
  <c r="P116" i="14"/>
  <c r="C119" i="14"/>
  <c r="D118" i="14"/>
  <c r="K117" i="14"/>
  <c r="M117" i="14"/>
  <c r="L117" i="14"/>
  <c r="N117" i="14"/>
  <c r="N85" i="9"/>
  <c r="H85" i="9"/>
  <c r="C86" i="9" s="1"/>
  <c r="D86" i="9" s="1"/>
  <c r="O85" i="9"/>
  <c r="O82" i="14"/>
  <c r="E120" i="8"/>
  <c r="I119" i="8"/>
  <c r="P85" i="9" l="1"/>
  <c r="H119" i="8"/>
  <c r="P117" i="14"/>
  <c r="K118" i="14"/>
  <c r="L118" i="14"/>
  <c r="M118" i="14"/>
  <c r="N118" i="14"/>
  <c r="D119" i="14"/>
  <c r="C120" i="14"/>
  <c r="G87" i="9"/>
  <c r="E86" i="9"/>
  <c r="F86" i="9" s="1"/>
  <c r="O86" i="9" s="1"/>
  <c r="J86" i="9"/>
  <c r="M86" i="9"/>
  <c r="E83" i="14"/>
  <c r="I83" i="14"/>
  <c r="J83" i="14"/>
  <c r="G84" i="14"/>
  <c r="C120" i="8"/>
  <c r="D120" i="8" s="1"/>
  <c r="F120" i="8"/>
  <c r="L86" i="9" l="1"/>
  <c r="I86" i="9"/>
  <c r="G120" i="8"/>
  <c r="H120" i="8" s="1"/>
  <c r="D120" i="14"/>
  <c r="C121" i="14"/>
  <c r="K119" i="14"/>
  <c r="N119" i="14"/>
  <c r="L119" i="14"/>
  <c r="M119" i="14"/>
  <c r="P118" i="14"/>
  <c r="N86" i="9"/>
  <c r="H86" i="9"/>
  <c r="K86" i="9"/>
  <c r="F83" i="14"/>
  <c r="H83" i="14" s="1"/>
  <c r="E121" i="8"/>
  <c r="I120" i="8"/>
  <c r="C87" i="9" l="1"/>
  <c r="D87" i="9" s="1"/>
  <c r="M87" i="9" s="1"/>
  <c r="P119" i="14"/>
  <c r="C122" i="14"/>
  <c r="D121" i="14"/>
  <c r="K120" i="14"/>
  <c r="N120" i="14"/>
  <c r="M120" i="14"/>
  <c r="L120" i="14"/>
  <c r="P86" i="9"/>
  <c r="O83" i="14"/>
  <c r="C121" i="8"/>
  <c r="D121" i="8" s="1"/>
  <c r="E87" i="9" l="1"/>
  <c r="F87" i="9" s="1"/>
  <c r="O87" i="9" s="1"/>
  <c r="G88" i="9"/>
  <c r="F121" i="8"/>
  <c r="G121" i="8"/>
  <c r="L87" i="9"/>
  <c r="P120" i="14"/>
  <c r="M121" i="14"/>
  <c r="K121" i="14"/>
  <c r="L121" i="14"/>
  <c r="N121" i="14"/>
  <c r="D122" i="14"/>
  <c r="C123" i="14"/>
  <c r="J87" i="9"/>
  <c r="I87" i="9"/>
  <c r="K87" i="9"/>
  <c r="E84" i="14"/>
  <c r="I84" i="14"/>
  <c r="J84" i="14"/>
  <c r="G85" i="14"/>
  <c r="E122" i="8"/>
  <c r="I121" i="8"/>
  <c r="N87" i="9" l="1"/>
  <c r="P87" i="9" s="1"/>
  <c r="H87" i="9"/>
  <c r="H121" i="8"/>
  <c r="C124" i="14"/>
  <c r="D123" i="14"/>
  <c r="P121" i="14"/>
  <c r="N122" i="14"/>
  <c r="L122" i="14"/>
  <c r="K122" i="14"/>
  <c r="M122" i="14"/>
  <c r="C88" i="9"/>
  <c r="D88" i="9" s="1"/>
  <c r="F84" i="14"/>
  <c r="H84" i="14" s="1"/>
  <c r="C122" i="8"/>
  <c r="D122" i="8" s="1"/>
  <c r="G122" i="8" l="1"/>
  <c r="P122" i="14"/>
  <c r="K123" i="14"/>
  <c r="L123" i="14"/>
  <c r="M123" i="14"/>
  <c r="N123" i="14"/>
  <c r="D124" i="14"/>
  <c r="C125" i="14"/>
  <c r="G89" i="9"/>
  <c r="E88" i="9"/>
  <c r="F88" i="9" s="1"/>
  <c r="O84" i="14"/>
  <c r="F122" i="8"/>
  <c r="E123" i="8"/>
  <c r="I122" i="8"/>
  <c r="N88" i="9" l="1"/>
  <c r="H122" i="8"/>
  <c r="C126" i="14"/>
  <c r="D125" i="14"/>
  <c r="N124" i="14"/>
  <c r="K124" i="14"/>
  <c r="L124" i="14"/>
  <c r="M124" i="14"/>
  <c r="P123" i="14"/>
  <c r="K88" i="9"/>
  <c r="J88" i="9"/>
  <c r="L88" i="9"/>
  <c r="I88" i="9"/>
  <c r="M88" i="9"/>
  <c r="H88" i="9"/>
  <c r="O88" i="9"/>
  <c r="E85" i="14"/>
  <c r="I85" i="14"/>
  <c r="J85" i="14"/>
  <c r="G86" i="14"/>
  <c r="C123" i="8"/>
  <c r="D123" i="8" s="1"/>
  <c r="G123" i="8" l="1"/>
  <c r="F123" i="8"/>
  <c r="N125" i="14"/>
  <c r="K125" i="14"/>
  <c r="L125" i="14"/>
  <c r="M125" i="14"/>
  <c r="P124" i="14"/>
  <c r="D126" i="14"/>
  <c r="C127" i="14"/>
  <c r="P88" i="9"/>
  <c r="C89" i="9"/>
  <c r="D89" i="9" s="1"/>
  <c r="F85" i="14"/>
  <c r="H85" i="14" s="1"/>
  <c r="E124" i="8"/>
  <c r="I123" i="8"/>
  <c r="H123" i="8" l="1"/>
  <c r="C128" i="14"/>
  <c r="D127" i="14"/>
  <c r="L126" i="14"/>
  <c r="M126" i="14"/>
  <c r="N126" i="14"/>
  <c r="K126" i="14"/>
  <c r="P125" i="14"/>
  <c r="E89" i="9"/>
  <c r="F89" i="9" s="1"/>
  <c r="G90" i="9"/>
  <c r="M89" i="9"/>
  <c r="O85" i="14"/>
  <c r="C124" i="8"/>
  <c r="D124" i="8" s="1"/>
  <c r="G124" i="8" l="1"/>
  <c r="P126" i="14"/>
  <c r="K127" i="14"/>
  <c r="L127" i="14"/>
  <c r="N127" i="14"/>
  <c r="M127" i="14"/>
  <c r="C129" i="14"/>
  <c r="D128" i="14"/>
  <c r="J89" i="9"/>
  <c r="K89" i="9"/>
  <c r="I89" i="9"/>
  <c r="L89" i="9"/>
  <c r="N89" i="9"/>
  <c r="H89" i="9"/>
  <c r="O89" i="9"/>
  <c r="E86" i="14"/>
  <c r="I86" i="14"/>
  <c r="J86" i="14"/>
  <c r="F124" i="8"/>
  <c r="G87" i="14"/>
  <c r="E125" i="8"/>
  <c r="I124" i="8"/>
  <c r="P127" i="14" l="1"/>
  <c r="M128" i="14"/>
  <c r="K128" i="14"/>
  <c r="N128" i="14"/>
  <c r="L128" i="14"/>
  <c r="C130" i="14"/>
  <c r="D129" i="14"/>
  <c r="H124" i="8"/>
  <c r="C90" i="9"/>
  <c r="D90" i="9" s="1"/>
  <c r="P89" i="9"/>
  <c r="F86" i="14"/>
  <c r="H86" i="14" s="1"/>
  <c r="C125" i="8"/>
  <c r="D125" i="8" s="1"/>
  <c r="G125" i="8" l="1"/>
  <c r="F125" i="8"/>
  <c r="P128" i="14"/>
  <c r="L129" i="14"/>
  <c r="M129" i="14"/>
  <c r="K129" i="14"/>
  <c r="N129" i="14"/>
  <c r="D130" i="14"/>
  <c r="C131" i="14"/>
  <c r="E90" i="9"/>
  <c r="F90" i="9" s="1"/>
  <c r="G91" i="9"/>
  <c r="M90" i="9"/>
  <c r="O86" i="14"/>
  <c r="E126" i="8"/>
  <c r="I125" i="8"/>
  <c r="K90" i="9" l="1"/>
  <c r="L90" i="9"/>
  <c r="H125" i="8"/>
  <c r="N90" i="9"/>
  <c r="P129" i="14"/>
  <c r="C132" i="14"/>
  <c r="D131" i="14"/>
  <c r="M130" i="14"/>
  <c r="N130" i="14"/>
  <c r="L130" i="14"/>
  <c r="K130" i="14"/>
  <c r="J90" i="9"/>
  <c r="I90" i="9"/>
  <c r="H90" i="9"/>
  <c r="O90" i="9"/>
  <c r="E87" i="14"/>
  <c r="I87" i="14"/>
  <c r="J87" i="14"/>
  <c r="G88" i="14"/>
  <c r="C126" i="8"/>
  <c r="D126" i="8" s="1"/>
  <c r="P90" i="9" l="1"/>
  <c r="G126" i="8"/>
  <c r="P130" i="14"/>
  <c r="M131" i="14"/>
  <c r="N131" i="14"/>
  <c r="L131" i="14"/>
  <c r="K131" i="14"/>
  <c r="D132" i="14"/>
  <c r="C133" i="14"/>
  <c r="C91" i="9"/>
  <c r="D91" i="9" s="1"/>
  <c r="F87" i="14"/>
  <c r="H87" i="14" s="1"/>
  <c r="F126" i="8"/>
  <c r="E127" i="8"/>
  <c r="I126" i="8"/>
  <c r="P131" i="14" l="1"/>
  <c r="C134" i="14"/>
  <c r="D133" i="14"/>
  <c r="M132" i="14"/>
  <c r="N132" i="14"/>
  <c r="K132" i="14"/>
  <c r="L132" i="14"/>
  <c r="M91" i="9"/>
  <c r="E91" i="9"/>
  <c r="F91" i="9" s="1"/>
  <c r="G92" i="9"/>
  <c r="K91" i="9"/>
  <c r="O87" i="14"/>
  <c r="H126" i="8"/>
  <c r="C127" i="8"/>
  <c r="D127" i="8" s="1"/>
  <c r="L91" i="9" l="1"/>
  <c r="I91" i="9"/>
  <c r="J91" i="9"/>
  <c r="F127" i="8"/>
  <c r="G127" i="8"/>
  <c r="N91" i="9"/>
  <c r="L133" i="14"/>
  <c r="M133" i="14"/>
  <c r="N133" i="14"/>
  <c r="K133" i="14"/>
  <c r="P132" i="14"/>
  <c r="D134" i="14"/>
  <c r="C135" i="14"/>
  <c r="H91" i="9"/>
  <c r="O91" i="9"/>
  <c r="E88" i="14"/>
  <c r="I88" i="14"/>
  <c r="J88" i="14"/>
  <c r="G89" i="14"/>
  <c r="E128" i="8"/>
  <c r="I127" i="8"/>
  <c r="P91" i="9" l="1"/>
  <c r="C92" i="9"/>
  <c r="D92" i="9" s="1"/>
  <c r="H127" i="8"/>
  <c r="P133" i="14"/>
  <c r="D135" i="14"/>
  <c r="C136" i="14"/>
  <c r="N134" i="14"/>
  <c r="K134" i="14"/>
  <c r="L134" i="14"/>
  <c r="M134" i="14"/>
  <c r="F88" i="14"/>
  <c r="H88" i="14" s="1"/>
  <c r="C128" i="8"/>
  <c r="D128" i="8" s="1"/>
  <c r="G93" i="9" l="1"/>
  <c r="E92" i="9"/>
  <c r="F92" i="9" s="1"/>
  <c r="H92" i="9" s="1"/>
  <c r="M92" i="9"/>
  <c r="G128" i="8"/>
  <c r="P134" i="14"/>
  <c r="D136" i="14"/>
  <c r="C137" i="14"/>
  <c r="N135" i="14"/>
  <c r="L135" i="14"/>
  <c r="M135" i="14"/>
  <c r="K135" i="14"/>
  <c r="N92" i="9"/>
  <c r="F128" i="8"/>
  <c r="O88" i="14"/>
  <c r="E129" i="8"/>
  <c r="I128" i="8"/>
  <c r="K92" i="9" l="1"/>
  <c r="P92" i="9" s="1"/>
  <c r="L92" i="9"/>
  <c r="J92" i="9"/>
  <c r="I92" i="9"/>
  <c r="O92" i="9"/>
  <c r="P135" i="14"/>
  <c r="C138" i="14"/>
  <c r="D137" i="14"/>
  <c r="L136" i="14"/>
  <c r="N136" i="14"/>
  <c r="M136" i="14"/>
  <c r="K136" i="14"/>
  <c r="H128" i="8"/>
  <c r="E89" i="14"/>
  <c r="I89" i="14"/>
  <c r="J89" i="14"/>
  <c r="G90" i="14"/>
  <c r="C129" i="8"/>
  <c r="D129" i="8" s="1"/>
  <c r="C93" i="9" l="1"/>
  <c r="D93" i="9" s="1"/>
  <c r="E93" i="9" s="1"/>
  <c r="F93" i="9" s="1"/>
  <c r="H93" i="9" s="1"/>
  <c r="G129" i="8"/>
  <c r="F129" i="8"/>
  <c r="P136" i="14"/>
  <c r="M137" i="14"/>
  <c r="L137" i="14"/>
  <c r="N137" i="14"/>
  <c r="K137" i="14"/>
  <c r="C139" i="14"/>
  <c r="D138" i="14"/>
  <c r="F89" i="14"/>
  <c r="H89" i="14" s="1"/>
  <c r="E130" i="8"/>
  <c r="I129" i="8"/>
  <c r="N93" i="9" l="1"/>
  <c r="K93" i="9"/>
  <c r="I93" i="9"/>
  <c r="O93" i="9"/>
  <c r="J93" i="9"/>
  <c r="M93" i="9"/>
  <c r="L93" i="9"/>
  <c r="G94" i="9"/>
  <c r="H129" i="8"/>
  <c r="P137" i="14"/>
  <c r="K138" i="14"/>
  <c r="L138" i="14"/>
  <c r="M138" i="14"/>
  <c r="N138" i="14"/>
  <c r="C140" i="14"/>
  <c r="D139" i="14"/>
  <c r="O89" i="14"/>
  <c r="C130" i="8"/>
  <c r="D130" i="8" s="1"/>
  <c r="F130" i="8"/>
  <c r="C94" i="9" l="1"/>
  <c r="D94" i="9" s="1"/>
  <c r="E94" i="9" s="1"/>
  <c r="F94" i="9" s="1"/>
  <c r="P93" i="9"/>
  <c r="G130" i="8"/>
  <c r="H130" i="8" s="1"/>
  <c r="N139" i="14"/>
  <c r="L139" i="14"/>
  <c r="K139" i="14"/>
  <c r="M139" i="14"/>
  <c r="D140" i="14"/>
  <c r="C141" i="14"/>
  <c r="P138" i="14"/>
  <c r="E90" i="14"/>
  <c r="I90" i="14"/>
  <c r="J90" i="14"/>
  <c r="G91" i="14"/>
  <c r="E131" i="8"/>
  <c r="I130" i="8"/>
  <c r="G95" i="9" l="1"/>
  <c r="M94" i="9"/>
  <c r="N94" i="9"/>
  <c r="J94" i="9"/>
  <c r="L94" i="9"/>
  <c r="P139" i="14"/>
  <c r="K94" i="9"/>
  <c r="C142" i="14"/>
  <c r="D141" i="14"/>
  <c r="N140" i="14"/>
  <c r="M140" i="14"/>
  <c r="K140" i="14"/>
  <c r="L140" i="14"/>
  <c r="I94" i="9"/>
  <c r="H94" i="9"/>
  <c r="O94" i="9"/>
  <c r="F90" i="14"/>
  <c r="H90" i="14" s="1"/>
  <c r="C131" i="8"/>
  <c r="D131" i="8" s="1"/>
  <c r="F131" i="8" l="1"/>
  <c r="P94" i="9"/>
  <c r="G131" i="8"/>
  <c r="P140" i="14"/>
  <c r="N141" i="14"/>
  <c r="L141" i="14"/>
  <c r="K141" i="14"/>
  <c r="M141" i="14"/>
  <c r="D142" i="14"/>
  <c r="C143" i="14"/>
  <c r="C95" i="9"/>
  <c r="D95" i="9" s="1"/>
  <c r="O90" i="14"/>
  <c r="E132" i="8"/>
  <c r="I131" i="8"/>
  <c r="H131" i="8" l="1"/>
  <c r="P141" i="14"/>
  <c r="C144" i="14"/>
  <c r="D143" i="14"/>
  <c r="K142" i="14"/>
  <c r="N142" i="14"/>
  <c r="L142" i="14"/>
  <c r="M142" i="14"/>
  <c r="G96" i="9"/>
  <c r="M95" i="9"/>
  <c r="E95" i="9"/>
  <c r="F95" i="9" s="1"/>
  <c r="E91" i="14"/>
  <c r="I91" i="14"/>
  <c r="J91" i="14"/>
  <c r="G92" i="14"/>
  <c r="C132" i="8"/>
  <c r="D132" i="8" s="1"/>
  <c r="G132" i="8" l="1"/>
  <c r="P142" i="14"/>
  <c r="M143" i="14"/>
  <c r="L143" i="14"/>
  <c r="K143" i="14"/>
  <c r="N143" i="14"/>
  <c r="C145" i="14"/>
  <c r="D144" i="14"/>
  <c r="K95" i="9"/>
  <c r="J95" i="9"/>
  <c r="L95" i="9"/>
  <c r="I95" i="9"/>
  <c r="N95" i="9"/>
  <c r="H95" i="9"/>
  <c r="O95" i="9"/>
  <c r="F132" i="8"/>
  <c r="F91" i="14"/>
  <c r="H91" i="14" s="1"/>
  <c r="E133" i="8"/>
  <c r="I132" i="8"/>
  <c r="H132" i="8" l="1"/>
  <c r="P143" i="14"/>
  <c r="K144" i="14"/>
  <c r="N144" i="14"/>
  <c r="L144" i="14"/>
  <c r="M144" i="14"/>
  <c r="C146" i="14"/>
  <c r="D145" i="14"/>
  <c r="C96" i="9"/>
  <c r="D96" i="9" s="1"/>
  <c r="P95" i="9"/>
  <c r="O91" i="14"/>
  <c r="C133" i="8"/>
  <c r="D133" i="8" s="1"/>
  <c r="F133" i="8"/>
  <c r="G133" i="8" l="1"/>
  <c r="H133" i="8" s="1"/>
  <c r="N145" i="14"/>
  <c r="K145" i="14"/>
  <c r="L145" i="14"/>
  <c r="M145" i="14"/>
  <c r="C147" i="14"/>
  <c r="D146" i="14"/>
  <c r="P144" i="14"/>
  <c r="M96" i="9"/>
  <c r="G97" i="9"/>
  <c r="E96" i="9"/>
  <c r="F96" i="9" s="1"/>
  <c r="E92" i="14"/>
  <c r="I92" i="14"/>
  <c r="J92" i="14"/>
  <c r="G93" i="14"/>
  <c r="E134" i="8"/>
  <c r="I133" i="8"/>
  <c r="K96" i="9" l="1"/>
  <c r="K146" i="14"/>
  <c r="M146" i="14"/>
  <c r="N146" i="14"/>
  <c r="L146" i="14"/>
  <c r="P145" i="14"/>
  <c r="D147" i="14"/>
  <c r="C148" i="14"/>
  <c r="J96" i="9"/>
  <c r="I96" i="9"/>
  <c r="L96" i="9"/>
  <c r="N96" i="9"/>
  <c r="H96" i="9"/>
  <c r="O96" i="9"/>
  <c r="F92" i="14"/>
  <c r="H92" i="14" s="1"/>
  <c r="C134" i="8"/>
  <c r="D134" i="8" s="1"/>
  <c r="G134" i="8" l="1"/>
  <c r="P146" i="14"/>
  <c r="D148" i="14"/>
  <c r="C149" i="14"/>
  <c r="K147" i="14"/>
  <c r="L147" i="14"/>
  <c r="M147" i="14"/>
  <c r="N147" i="14"/>
  <c r="F134" i="8"/>
  <c r="C97" i="9"/>
  <c r="D97" i="9" s="1"/>
  <c r="P96" i="9"/>
  <c r="O92" i="14"/>
  <c r="E135" i="8"/>
  <c r="I134" i="8"/>
  <c r="P147" i="14" l="1"/>
  <c r="C150" i="14"/>
  <c r="D149" i="14"/>
  <c r="K148" i="14"/>
  <c r="L148" i="14"/>
  <c r="M148" i="14"/>
  <c r="N148" i="14"/>
  <c r="H134" i="8"/>
  <c r="M97" i="9"/>
  <c r="E97" i="9"/>
  <c r="F97" i="9" s="1"/>
  <c r="G98" i="9"/>
  <c r="K97" i="9"/>
  <c r="E93" i="14"/>
  <c r="I93" i="14"/>
  <c r="J93" i="14"/>
  <c r="G94" i="14"/>
  <c r="C135" i="8"/>
  <c r="D135" i="8" s="1"/>
  <c r="L97" i="9" l="1"/>
  <c r="J97" i="9"/>
  <c r="I97" i="9"/>
  <c r="F135" i="8"/>
  <c r="G135" i="8"/>
  <c r="P148" i="14"/>
  <c r="L149" i="14"/>
  <c r="M149" i="14"/>
  <c r="K149" i="14"/>
  <c r="N149" i="14"/>
  <c r="C151" i="14"/>
  <c r="D150" i="14"/>
  <c r="N97" i="9"/>
  <c r="P97" i="9" s="1"/>
  <c r="H97" i="9"/>
  <c r="O97" i="9"/>
  <c r="F93" i="14"/>
  <c r="H93" i="14" s="1"/>
  <c r="E136" i="8"/>
  <c r="I135" i="8"/>
  <c r="C98" i="9" l="1"/>
  <c r="D98" i="9" s="1"/>
  <c r="H135" i="8"/>
  <c r="P149" i="14"/>
  <c r="K150" i="14"/>
  <c r="M150" i="14"/>
  <c r="L150" i="14"/>
  <c r="N150" i="14"/>
  <c r="D151" i="14"/>
  <c r="C152" i="14"/>
  <c r="O93" i="14"/>
  <c r="C136" i="8"/>
  <c r="D136" i="8" s="1"/>
  <c r="G136" i="8" l="1"/>
  <c r="C153" i="14"/>
  <c r="D152" i="14"/>
  <c r="L151" i="14"/>
  <c r="M151" i="14"/>
  <c r="N151" i="14"/>
  <c r="K151" i="14"/>
  <c r="P150" i="14"/>
  <c r="F136" i="8"/>
  <c r="I98" i="9"/>
  <c r="J98" i="9"/>
  <c r="M98" i="9"/>
  <c r="G99" i="9"/>
  <c r="E98" i="9"/>
  <c r="F98" i="9" s="1"/>
  <c r="L98" i="9"/>
  <c r="K98" i="9"/>
  <c r="E94" i="14"/>
  <c r="I94" i="14"/>
  <c r="J94" i="14"/>
  <c r="G95" i="14"/>
  <c r="E137" i="8"/>
  <c r="I136" i="8"/>
  <c r="H136" i="8" l="1"/>
  <c r="P151" i="14"/>
  <c r="L152" i="14"/>
  <c r="K152" i="14"/>
  <c r="N152" i="14"/>
  <c r="M152" i="14"/>
  <c r="D153" i="14"/>
  <c r="C154" i="14"/>
  <c r="N98" i="9"/>
  <c r="P98" i="9" s="1"/>
  <c r="H98" i="9"/>
  <c r="C99" i="9" s="1"/>
  <c r="O98" i="9"/>
  <c r="F94" i="14"/>
  <c r="H94" i="14" s="1"/>
  <c r="C137" i="8"/>
  <c r="D137" i="8" s="1"/>
  <c r="F137" i="8" l="1"/>
  <c r="G137" i="8"/>
  <c r="C155" i="14"/>
  <c r="D154" i="14"/>
  <c r="P152" i="14"/>
  <c r="N153" i="14"/>
  <c r="K153" i="14"/>
  <c r="L153" i="14"/>
  <c r="M153" i="14"/>
  <c r="D99" i="9"/>
  <c r="O94" i="14"/>
  <c r="E138" i="8"/>
  <c r="I137" i="8"/>
  <c r="H137" i="8" l="1"/>
  <c r="M154" i="14"/>
  <c r="N154" i="14"/>
  <c r="L154" i="14"/>
  <c r="K154" i="14"/>
  <c r="P153" i="14"/>
  <c r="D155" i="14"/>
  <c r="C156" i="14"/>
  <c r="I99" i="9"/>
  <c r="J99" i="9"/>
  <c r="L99" i="9"/>
  <c r="E99" i="9"/>
  <c r="F99" i="9" s="1"/>
  <c r="G100" i="9"/>
  <c r="M99" i="9"/>
  <c r="E95" i="14"/>
  <c r="I95" i="14"/>
  <c r="J95" i="14"/>
  <c r="G96" i="14"/>
  <c r="C138" i="8"/>
  <c r="D138" i="8" s="1"/>
  <c r="K99" i="9" l="1"/>
  <c r="G138" i="8"/>
  <c r="P154" i="14"/>
  <c r="D156" i="14"/>
  <c r="C157" i="14"/>
  <c r="M155" i="14"/>
  <c r="N155" i="14"/>
  <c r="K155" i="14"/>
  <c r="L155" i="14"/>
  <c r="N99" i="9"/>
  <c r="H99" i="9"/>
  <c r="C100" i="9" s="1"/>
  <c r="D100" i="9" s="1"/>
  <c r="O99" i="9"/>
  <c r="F95" i="14"/>
  <c r="H95" i="14" s="1"/>
  <c r="F138" i="8"/>
  <c r="E139" i="8"/>
  <c r="I138" i="8"/>
  <c r="P99" i="9" l="1"/>
  <c r="H138" i="8"/>
  <c r="P155" i="14"/>
  <c r="C158" i="14"/>
  <c r="D157" i="14"/>
  <c r="L156" i="14"/>
  <c r="M156" i="14"/>
  <c r="N156" i="14"/>
  <c r="K156" i="14"/>
  <c r="E100" i="9"/>
  <c r="F100" i="9" s="1"/>
  <c r="H100" i="9" s="1"/>
  <c r="M100" i="9"/>
  <c r="G101" i="9"/>
  <c r="O95" i="14"/>
  <c r="C139" i="8"/>
  <c r="D139" i="8" s="1"/>
  <c r="J100" i="9" l="1"/>
  <c r="L100" i="9"/>
  <c r="I100" i="9"/>
  <c r="C101" i="9" s="1"/>
  <c r="D101" i="9" s="1"/>
  <c r="G139" i="8"/>
  <c r="F139" i="8"/>
  <c r="P156" i="14"/>
  <c r="N157" i="14"/>
  <c r="L157" i="14"/>
  <c r="K157" i="14"/>
  <c r="M157" i="14"/>
  <c r="D158" i="14"/>
  <c r="C159" i="14"/>
  <c r="N100" i="9"/>
  <c r="K100" i="9"/>
  <c r="O100" i="9"/>
  <c r="E96" i="14"/>
  <c r="I96" i="14"/>
  <c r="J96" i="14"/>
  <c r="G97" i="14"/>
  <c r="E140" i="8"/>
  <c r="I139" i="8"/>
  <c r="H139" i="8" l="1"/>
  <c r="P157" i="14"/>
  <c r="D159" i="14"/>
  <c r="C160" i="14"/>
  <c r="K158" i="14"/>
  <c r="L158" i="14"/>
  <c r="M158" i="14"/>
  <c r="N158" i="14"/>
  <c r="P100" i="9"/>
  <c r="G102" i="9"/>
  <c r="M101" i="9"/>
  <c r="E101" i="9"/>
  <c r="F101" i="9" s="1"/>
  <c r="F96" i="14"/>
  <c r="H96" i="14" s="1"/>
  <c r="C140" i="8"/>
  <c r="D140" i="8" s="1"/>
  <c r="G140" i="8" l="1"/>
  <c r="P158" i="14"/>
  <c r="C161" i="14"/>
  <c r="D160" i="14"/>
  <c r="N159" i="14"/>
  <c r="L159" i="14"/>
  <c r="M159" i="14"/>
  <c r="K159" i="14"/>
  <c r="N101" i="9"/>
  <c r="L101" i="9"/>
  <c r="J101" i="9"/>
  <c r="F140" i="8"/>
  <c r="I101" i="9"/>
  <c r="H101" i="9"/>
  <c r="O101" i="9"/>
  <c r="K101" i="9"/>
  <c r="O96" i="14"/>
  <c r="E141" i="8"/>
  <c r="I140" i="8"/>
  <c r="P159" i="14" l="1"/>
  <c r="N160" i="14"/>
  <c r="L160" i="14"/>
  <c r="K160" i="14"/>
  <c r="M160" i="14"/>
  <c r="D161" i="14"/>
  <c r="C162" i="14"/>
  <c r="H140" i="8"/>
  <c r="P101" i="9"/>
  <c r="C102" i="9"/>
  <c r="E97" i="14"/>
  <c r="I97" i="14"/>
  <c r="J97" i="14"/>
  <c r="G98" i="14"/>
  <c r="C141" i="8"/>
  <c r="D141" i="8" s="1"/>
  <c r="F141" i="8"/>
  <c r="G141" i="8" l="1"/>
  <c r="H141" i="8" s="1"/>
  <c r="P160" i="14"/>
  <c r="C163" i="14"/>
  <c r="D162" i="14"/>
  <c r="M161" i="14"/>
  <c r="N161" i="14"/>
  <c r="K161" i="14"/>
  <c r="L161" i="14"/>
  <c r="D102" i="9"/>
  <c r="F97" i="14"/>
  <c r="H97" i="14" s="1"/>
  <c r="E142" i="8"/>
  <c r="I141" i="8"/>
  <c r="K162" i="14" l="1"/>
  <c r="N162" i="14"/>
  <c r="L162" i="14"/>
  <c r="M162" i="14"/>
  <c r="P161" i="14"/>
  <c r="D163" i="14"/>
  <c r="C164" i="14"/>
  <c r="G103" i="9"/>
  <c r="E102" i="9"/>
  <c r="F102" i="9" s="1"/>
  <c r="O97" i="14"/>
  <c r="C142" i="8"/>
  <c r="D142" i="8" s="1"/>
  <c r="N102" i="9" l="1"/>
  <c r="G142" i="8"/>
  <c r="C165" i="14"/>
  <c r="D164" i="14"/>
  <c r="N163" i="14"/>
  <c r="L163" i="14"/>
  <c r="M163" i="14"/>
  <c r="K163" i="14"/>
  <c r="P162" i="14"/>
  <c r="F142" i="8"/>
  <c r="K102" i="9"/>
  <c r="L102" i="9"/>
  <c r="J102" i="9"/>
  <c r="I102" i="9"/>
  <c r="H102" i="9"/>
  <c r="O102" i="9"/>
  <c r="M102" i="9"/>
  <c r="E98" i="14"/>
  <c r="I98" i="14"/>
  <c r="J98" i="14"/>
  <c r="G99" i="14"/>
  <c r="E143" i="8"/>
  <c r="I142" i="8"/>
  <c r="P163" i="14" l="1"/>
  <c r="N164" i="14"/>
  <c r="K164" i="14"/>
  <c r="M164" i="14"/>
  <c r="L164" i="14"/>
  <c r="C166" i="14"/>
  <c r="D165" i="14"/>
  <c r="H142" i="8"/>
  <c r="P102" i="9"/>
  <c r="C103" i="9"/>
  <c r="D103" i="9" s="1"/>
  <c r="F98" i="14"/>
  <c r="H98" i="14" s="1"/>
  <c r="C143" i="8"/>
  <c r="D143" i="8" s="1"/>
  <c r="F143" i="8" l="1"/>
  <c r="G143" i="8"/>
  <c r="P164" i="14"/>
  <c r="N165" i="14"/>
  <c r="K165" i="14"/>
  <c r="M165" i="14"/>
  <c r="L165" i="14"/>
  <c r="D166" i="14"/>
  <c r="C167" i="14"/>
  <c r="E103" i="9"/>
  <c r="F103" i="9" s="1"/>
  <c r="G104" i="9"/>
  <c r="M103" i="9"/>
  <c r="O98" i="14"/>
  <c r="E144" i="8"/>
  <c r="I143" i="8"/>
  <c r="H143" i="8" l="1"/>
  <c r="N103" i="9"/>
  <c r="P165" i="14"/>
  <c r="C168" i="14"/>
  <c r="D167" i="14"/>
  <c r="M166" i="14"/>
  <c r="N166" i="14"/>
  <c r="K166" i="14"/>
  <c r="L166" i="14"/>
  <c r="K103" i="9"/>
  <c r="L103" i="9"/>
  <c r="J103" i="9"/>
  <c r="I103" i="9"/>
  <c r="H103" i="9"/>
  <c r="O103" i="9"/>
  <c r="E99" i="14"/>
  <c r="I99" i="14"/>
  <c r="J99" i="14"/>
  <c r="G100" i="14"/>
  <c r="C144" i="8"/>
  <c r="D144" i="8" s="1"/>
  <c r="G144" i="8" l="1"/>
  <c r="P103" i="9"/>
  <c r="P166" i="14"/>
  <c r="N167" i="14"/>
  <c r="L167" i="14"/>
  <c r="M167" i="14"/>
  <c r="K167" i="14"/>
  <c r="D168" i="14"/>
  <c r="C169" i="14"/>
  <c r="C104" i="9"/>
  <c r="D104" i="9" s="1"/>
  <c r="F144" i="8"/>
  <c r="F99" i="14"/>
  <c r="H99" i="14" s="1"/>
  <c r="E145" i="8"/>
  <c r="I144" i="8"/>
  <c r="P167" i="14" l="1"/>
  <c r="C170" i="14"/>
  <c r="D169" i="14"/>
  <c r="L168" i="14"/>
  <c r="N168" i="14"/>
  <c r="M168" i="14"/>
  <c r="K168" i="14"/>
  <c r="H144" i="8"/>
  <c r="G105" i="9"/>
  <c r="M104" i="9"/>
  <c r="E104" i="9"/>
  <c r="F104" i="9" s="1"/>
  <c r="O99" i="14"/>
  <c r="C145" i="8"/>
  <c r="D145" i="8" s="1"/>
  <c r="F145" i="8" l="1"/>
  <c r="K104" i="9"/>
  <c r="G145" i="8"/>
  <c r="P168" i="14"/>
  <c r="M169" i="14"/>
  <c r="N169" i="14"/>
  <c r="K169" i="14"/>
  <c r="L169" i="14"/>
  <c r="C171" i="14"/>
  <c r="D170" i="14"/>
  <c r="J104" i="9"/>
  <c r="L104" i="9"/>
  <c r="I104" i="9"/>
  <c r="N104" i="9"/>
  <c r="H104" i="9"/>
  <c r="O104" i="9"/>
  <c r="E100" i="14"/>
  <c r="I100" i="14"/>
  <c r="J100" i="14"/>
  <c r="G101" i="14"/>
  <c r="E146" i="8"/>
  <c r="I145" i="8"/>
  <c r="H145" i="8" l="1"/>
  <c r="P169" i="14"/>
  <c r="N170" i="14"/>
  <c r="L170" i="14"/>
  <c r="K170" i="14"/>
  <c r="M170" i="14"/>
  <c r="C172" i="14"/>
  <c r="D171" i="14"/>
  <c r="P104" i="9"/>
  <c r="C105" i="9"/>
  <c r="D105" i="9" s="1"/>
  <c r="F100" i="14"/>
  <c r="H100" i="14" s="1"/>
  <c r="C146" i="8"/>
  <c r="D146" i="8" s="1"/>
  <c r="G146" i="8" l="1"/>
  <c r="P170" i="14"/>
  <c r="K171" i="14"/>
  <c r="L171" i="14"/>
  <c r="M171" i="14"/>
  <c r="N171" i="14"/>
  <c r="D172" i="14"/>
  <c r="C173" i="14"/>
  <c r="I105" i="9"/>
  <c r="G106" i="9"/>
  <c r="E105" i="9"/>
  <c r="F105" i="9" s="1"/>
  <c r="M105" i="9"/>
  <c r="K105" i="9"/>
  <c r="F146" i="8"/>
  <c r="O100" i="14"/>
  <c r="E147" i="8"/>
  <c r="I146" i="8"/>
  <c r="L105" i="9" l="1"/>
  <c r="J105" i="9"/>
  <c r="C174" i="14"/>
  <c r="D173" i="14"/>
  <c r="N172" i="14"/>
  <c r="K172" i="14"/>
  <c r="M172" i="14"/>
  <c r="L172" i="14"/>
  <c r="P171" i="14"/>
  <c r="N105" i="9"/>
  <c r="H105" i="9"/>
  <c r="O105" i="9"/>
  <c r="E101" i="14"/>
  <c r="I101" i="14"/>
  <c r="J101" i="14"/>
  <c r="H146" i="8"/>
  <c r="G102" i="14"/>
  <c r="C147" i="8"/>
  <c r="D147" i="8" s="1"/>
  <c r="P105" i="9" l="1"/>
  <c r="C106" i="9"/>
  <c r="D106" i="9" s="1"/>
  <c r="G147" i="8"/>
  <c r="P172" i="14"/>
  <c r="K173" i="14"/>
  <c r="L173" i="14"/>
  <c r="N173" i="14"/>
  <c r="M173" i="14"/>
  <c r="C175" i="14"/>
  <c r="D174" i="14"/>
  <c r="F147" i="8"/>
  <c r="F101" i="14"/>
  <c r="H101" i="14" s="1"/>
  <c r="E148" i="8"/>
  <c r="I147" i="8"/>
  <c r="N174" i="14" l="1"/>
  <c r="K174" i="14"/>
  <c r="L174" i="14"/>
  <c r="M174" i="14"/>
  <c r="C176" i="14"/>
  <c r="D175" i="14"/>
  <c r="P173" i="14"/>
  <c r="H147" i="8"/>
  <c r="E106" i="9"/>
  <c r="F106" i="9" s="1"/>
  <c r="G107" i="9"/>
  <c r="M106" i="9"/>
  <c r="O101" i="14"/>
  <c r="C148" i="8"/>
  <c r="D148" i="8" s="1"/>
  <c r="L106" i="9" l="1"/>
  <c r="J106" i="9"/>
  <c r="I106" i="9"/>
  <c r="K106" i="9"/>
  <c r="G148" i="8"/>
  <c r="N106" i="9"/>
  <c r="P174" i="14"/>
  <c r="L175" i="14"/>
  <c r="M175" i="14"/>
  <c r="K175" i="14"/>
  <c r="N175" i="14"/>
  <c r="C177" i="14"/>
  <c r="D176" i="14"/>
  <c r="F148" i="8"/>
  <c r="H106" i="9"/>
  <c r="O106" i="9"/>
  <c r="E102" i="14"/>
  <c r="I102" i="14"/>
  <c r="J102" i="14"/>
  <c r="G103" i="14"/>
  <c r="E149" i="8"/>
  <c r="I148" i="8"/>
  <c r="C107" i="9" l="1"/>
  <c r="P106" i="9"/>
  <c r="P175" i="14"/>
  <c r="K176" i="14"/>
  <c r="M176" i="14"/>
  <c r="N176" i="14"/>
  <c r="L176" i="14"/>
  <c r="D177" i="14"/>
  <c r="C178" i="14"/>
  <c r="H148" i="8"/>
  <c r="D107" i="9"/>
  <c r="F102" i="14"/>
  <c r="H102" i="14" s="1"/>
  <c r="C149" i="8"/>
  <c r="D149" i="8" s="1"/>
  <c r="F149" i="8" l="1"/>
  <c r="G149" i="8"/>
  <c r="P176" i="14"/>
  <c r="D178" i="14"/>
  <c r="C179" i="14"/>
  <c r="N177" i="14"/>
  <c r="K177" i="14"/>
  <c r="M177" i="14"/>
  <c r="L177" i="14"/>
  <c r="I107" i="9"/>
  <c r="G108" i="9"/>
  <c r="E107" i="9"/>
  <c r="F107" i="9" s="1"/>
  <c r="M107" i="9"/>
  <c r="K107" i="9"/>
  <c r="L107" i="9"/>
  <c r="O102" i="14"/>
  <c r="E150" i="8"/>
  <c r="I149" i="8"/>
  <c r="J107" i="9" l="1"/>
  <c r="H149" i="8"/>
  <c r="P177" i="14"/>
  <c r="C180" i="14"/>
  <c r="D179" i="14"/>
  <c r="N178" i="14"/>
  <c r="L178" i="14"/>
  <c r="K178" i="14"/>
  <c r="M178" i="14"/>
  <c r="H107" i="9"/>
  <c r="O107" i="9"/>
  <c r="N107" i="9"/>
  <c r="P107" i="9" s="1"/>
  <c r="E103" i="14"/>
  <c r="I103" i="14"/>
  <c r="J103" i="14"/>
  <c r="G104" i="14"/>
  <c r="C150" i="8"/>
  <c r="D150" i="8" s="1"/>
  <c r="C108" i="9" l="1"/>
  <c r="D108" i="9" s="1"/>
  <c r="I108" i="9" s="1"/>
  <c r="G150" i="8"/>
  <c r="L179" i="14"/>
  <c r="M179" i="14"/>
  <c r="N179" i="14"/>
  <c r="K179" i="14"/>
  <c r="P178" i="14"/>
  <c r="C181" i="14"/>
  <c r="D180" i="14"/>
  <c r="F150" i="8"/>
  <c r="F103" i="14"/>
  <c r="H103" i="14" s="1"/>
  <c r="E151" i="8"/>
  <c r="I150" i="8"/>
  <c r="E108" i="9" l="1"/>
  <c r="F108" i="9" s="1"/>
  <c r="O108" i="9" s="1"/>
  <c r="J108" i="9"/>
  <c r="L108" i="9"/>
  <c r="G109" i="9"/>
  <c r="M108" i="9"/>
  <c r="K108" i="9"/>
  <c r="P179" i="14"/>
  <c r="N180" i="14"/>
  <c r="K180" i="14"/>
  <c r="L180" i="14"/>
  <c r="M180" i="14"/>
  <c r="C182" i="14"/>
  <c r="D181" i="14"/>
  <c r="H150" i="8"/>
  <c r="N108" i="9"/>
  <c r="O103" i="14"/>
  <c r="C151" i="8"/>
  <c r="D151" i="8" s="1"/>
  <c r="F151" i="8"/>
  <c r="H108" i="9" l="1"/>
  <c r="C109" i="9" s="1"/>
  <c r="D109" i="9" s="1"/>
  <c r="E109" i="9" s="1"/>
  <c r="F109" i="9" s="1"/>
  <c r="P108" i="9"/>
  <c r="G151" i="8"/>
  <c r="H151" i="8" s="1"/>
  <c r="P180" i="14"/>
  <c r="N181" i="14"/>
  <c r="L181" i="14"/>
  <c r="M181" i="14"/>
  <c r="K181" i="14"/>
  <c r="D182" i="14"/>
  <c r="C183" i="14"/>
  <c r="E104" i="14"/>
  <c r="I104" i="14"/>
  <c r="J104" i="14"/>
  <c r="G105" i="14"/>
  <c r="E152" i="8"/>
  <c r="I151" i="8"/>
  <c r="G110" i="9" l="1"/>
  <c r="M109" i="9"/>
  <c r="L109" i="9"/>
  <c r="P181" i="14"/>
  <c r="C184" i="14"/>
  <c r="D183" i="14"/>
  <c r="N182" i="14"/>
  <c r="L182" i="14"/>
  <c r="K182" i="14"/>
  <c r="M182" i="14"/>
  <c r="N109" i="9"/>
  <c r="J109" i="9"/>
  <c r="I109" i="9"/>
  <c r="K109" i="9"/>
  <c r="H109" i="9"/>
  <c r="O109" i="9"/>
  <c r="F104" i="14"/>
  <c r="H104" i="14" s="1"/>
  <c r="C152" i="8"/>
  <c r="D152" i="8" s="1"/>
  <c r="G152" i="8" l="1"/>
  <c r="N183" i="14"/>
  <c r="M183" i="14"/>
  <c r="K183" i="14"/>
  <c r="L183" i="14"/>
  <c r="P182" i="14"/>
  <c r="C185" i="14"/>
  <c r="D184" i="14"/>
  <c r="P109" i="9"/>
  <c r="C110" i="9"/>
  <c r="D110" i="9" s="1"/>
  <c r="O104" i="14"/>
  <c r="F152" i="8"/>
  <c r="E153" i="8"/>
  <c r="I152" i="8"/>
  <c r="P183" i="14" l="1"/>
  <c r="K184" i="14"/>
  <c r="N184" i="14"/>
  <c r="L184" i="14"/>
  <c r="M184" i="14"/>
  <c r="D185" i="14"/>
  <c r="C186" i="14"/>
  <c r="E110" i="9"/>
  <c r="F110" i="9" s="1"/>
  <c r="G111" i="9"/>
  <c r="M110" i="9"/>
  <c r="E105" i="14"/>
  <c r="I105" i="14"/>
  <c r="J105" i="14"/>
  <c r="H152" i="8"/>
  <c r="G106" i="14"/>
  <c r="C153" i="8"/>
  <c r="D153" i="8" s="1"/>
  <c r="F153" i="8"/>
  <c r="G153" i="8" l="1"/>
  <c r="H153" i="8" s="1"/>
  <c r="P184" i="14"/>
  <c r="D186" i="14"/>
  <c r="C187" i="14"/>
  <c r="K185" i="14"/>
  <c r="N185" i="14"/>
  <c r="M185" i="14"/>
  <c r="L185" i="14"/>
  <c r="N110" i="9"/>
  <c r="K110" i="9"/>
  <c r="J110" i="9"/>
  <c r="L110" i="9"/>
  <c r="I110" i="9"/>
  <c r="H110" i="9"/>
  <c r="O110" i="9"/>
  <c r="F105" i="14"/>
  <c r="H105" i="14" s="1"/>
  <c r="E154" i="8"/>
  <c r="I153" i="8"/>
  <c r="P185" i="14" l="1"/>
  <c r="C188" i="14"/>
  <c r="D187" i="14"/>
  <c r="N186" i="14"/>
  <c r="L186" i="14"/>
  <c r="K186" i="14"/>
  <c r="M186" i="14"/>
  <c r="P110" i="9"/>
  <c r="C111" i="9"/>
  <c r="D111" i="9" s="1"/>
  <c r="O105" i="14"/>
  <c r="C154" i="8"/>
  <c r="D154" i="8" s="1"/>
  <c r="G154" i="8" l="1"/>
  <c r="M187" i="14"/>
  <c r="K187" i="14"/>
  <c r="N187" i="14"/>
  <c r="L187" i="14"/>
  <c r="P186" i="14"/>
  <c r="D188" i="14"/>
  <c r="C189" i="14"/>
  <c r="G112" i="9"/>
  <c r="E111" i="9"/>
  <c r="F111" i="9" s="1"/>
  <c r="M111" i="9"/>
  <c r="E106" i="14"/>
  <c r="I106" i="14"/>
  <c r="J106" i="14"/>
  <c r="F154" i="8"/>
  <c r="G107" i="14"/>
  <c r="E155" i="8"/>
  <c r="I154" i="8"/>
  <c r="H154" i="8" l="1"/>
  <c r="D189" i="14"/>
  <c r="C190" i="14"/>
  <c r="L188" i="14"/>
  <c r="M188" i="14"/>
  <c r="K188" i="14"/>
  <c r="N188" i="14"/>
  <c r="P187" i="14"/>
  <c r="K111" i="9"/>
  <c r="L111" i="9"/>
  <c r="J111" i="9"/>
  <c r="I111" i="9"/>
  <c r="N111" i="9"/>
  <c r="H111" i="9"/>
  <c r="O111" i="9"/>
  <c r="F106" i="14"/>
  <c r="H106" i="14" s="1"/>
  <c r="C155" i="8"/>
  <c r="D155" i="8" s="1"/>
  <c r="G155" i="8" l="1"/>
  <c r="F155" i="8"/>
  <c r="P188" i="14"/>
  <c r="C191" i="14"/>
  <c r="D190" i="14"/>
  <c r="M189" i="14"/>
  <c r="L189" i="14"/>
  <c r="N189" i="14"/>
  <c r="K189" i="14"/>
  <c r="P111" i="9"/>
  <c r="C112" i="9"/>
  <c r="D112" i="9" s="1"/>
  <c r="O106" i="14"/>
  <c r="E156" i="8"/>
  <c r="I155" i="8"/>
  <c r="H155" i="8" l="1"/>
  <c r="P189" i="14"/>
  <c r="K190" i="14"/>
  <c r="L190" i="14"/>
  <c r="M190" i="14"/>
  <c r="N190" i="14"/>
  <c r="C192" i="14"/>
  <c r="D191" i="14"/>
  <c r="G113" i="9"/>
  <c r="E112" i="9"/>
  <c r="F112" i="9" s="1"/>
  <c r="M112" i="9"/>
  <c r="E107" i="14"/>
  <c r="I107" i="14"/>
  <c r="J107" i="14"/>
  <c r="G108" i="14"/>
  <c r="C156" i="8"/>
  <c r="D156" i="8" s="1"/>
  <c r="K112" i="9" l="1"/>
  <c r="G156" i="8"/>
  <c r="N112" i="9"/>
  <c r="M191" i="14"/>
  <c r="N191" i="14"/>
  <c r="K191" i="14"/>
  <c r="L191" i="14"/>
  <c r="C193" i="14"/>
  <c r="D192" i="14"/>
  <c r="P190" i="14"/>
  <c r="L112" i="9"/>
  <c r="J112" i="9"/>
  <c r="I112" i="9"/>
  <c r="H112" i="9"/>
  <c r="O112" i="9"/>
  <c r="F156" i="8"/>
  <c r="F107" i="14"/>
  <c r="H107" i="14" s="1"/>
  <c r="E157" i="8"/>
  <c r="I156" i="8"/>
  <c r="P112" i="9" l="1"/>
  <c r="P191" i="14"/>
  <c r="L192" i="14"/>
  <c r="M192" i="14"/>
  <c r="K192" i="14"/>
  <c r="N192" i="14"/>
  <c r="C194" i="14"/>
  <c r="D193" i="14"/>
  <c r="C113" i="9"/>
  <c r="D113" i="9" s="1"/>
  <c r="H156" i="8"/>
  <c r="O107" i="14"/>
  <c r="C157" i="8"/>
  <c r="D157" i="8" s="1"/>
  <c r="G157" i="8" l="1"/>
  <c r="P192" i="14"/>
  <c r="L193" i="14"/>
  <c r="M193" i="14"/>
  <c r="N193" i="14"/>
  <c r="K193" i="14"/>
  <c r="C195" i="14"/>
  <c r="D194" i="14"/>
  <c r="G114" i="9"/>
  <c r="M113" i="9"/>
  <c r="E113" i="9"/>
  <c r="F113" i="9" s="1"/>
  <c r="L113" i="9"/>
  <c r="E108" i="14"/>
  <c r="I108" i="14"/>
  <c r="J108" i="14"/>
  <c r="G109" i="14"/>
  <c r="F157" i="8"/>
  <c r="E158" i="8"/>
  <c r="I157" i="8"/>
  <c r="K113" i="9" l="1"/>
  <c r="J113" i="9"/>
  <c r="I113" i="9"/>
  <c r="P193" i="14"/>
  <c r="N194" i="14"/>
  <c r="M194" i="14"/>
  <c r="K194" i="14"/>
  <c r="L194" i="14"/>
  <c r="C196" i="14"/>
  <c r="D195" i="14"/>
  <c r="N113" i="9"/>
  <c r="H113" i="9"/>
  <c r="O113" i="9"/>
  <c r="H157" i="8"/>
  <c r="F108" i="14"/>
  <c r="H108" i="14" s="1"/>
  <c r="C158" i="8"/>
  <c r="D158" i="8" s="1"/>
  <c r="P113" i="9" l="1"/>
  <c r="C114" i="9"/>
  <c r="D114" i="9" s="1"/>
  <c r="G158" i="8"/>
  <c r="P194" i="14"/>
  <c r="M195" i="14"/>
  <c r="K195" i="14"/>
  <c r="L195" i="14"/>
  <c r="N195" i="14"/>
  <c r="D196" i="14"/>
  <c r="C197" i="14"/>
  <c r="O108" i="14"/>
  <c r="F158" i="8"/>
  <c r="E159" i="8"/>
  <c r="I158" i="8"/>
  <c r="P195" i="14" l="1"/>
  <c r="D197" i="14"/>
  <c r="C198" i="14"/>
  <c r="K196" i="14"/>
  <c r="L196" i="14"/>
  <c r="M196" i="14"/>
  <c r="N196" i="14"/>
  <c r="G115" i="9"/>
  <c r="E114" i="9"/>
  <c r="F114" i="9" s="1"/>
  <c r="M114" i="9"/>
  <c r="E109" i="14"/>
  <c r="I109" i="14"/>
  <c r="J109" i="14"/>
  <c r="G110" i="14"/>
  <c r="H158" i="8"/>
  <c r="C159" i="8"/>
  <c r="D159" i="8" s="1"/>
  <c r="K114" i="9" l="1"/>
  <c r="G159" i="8"/>
  <c r="P196" i="14"/>
  <c r="D198" i="14"/>
  <c r="C199" i="14"/>
  <c r="L197" i="14"/>
  <c r="N197" i="14"/>
  <c r="K197" i="14"/>
  <c r="M197" i="14"/>
  <c r="I114" i="9"/>
  <c r="L114" i="9"/>
  <c r="J114" i="9"/>
  <c r="N114" i="9"/>
  <c r="H114" i="9"/>
  <c r="O114" i="9"/>
  <c r="F109" i="14"/>
  <c r="H109" i="14" s="1"/>
  <c r="F159" i="8"/>
  <c r="E160" i="8"/>
  <c r="I159" i="8"/>
  <c r="P114" i="9" l="1"/>
  <c r="D199" i="14"/>
  <c r="C200" i="14"/>
  <c r="P197" i="14"/>
  <c r="K198" i="14"/>
  <c r="M198" i="14"/>
  <c r="N198" i="14"/>
  <c r="L198" i="14"/>
  <c r="C115" i="9"/>
  <c r="D115" i="9" s="1"/>
  <c r="O109" i="14"/>
  <c r="H159" i="8"/>
  <c r="C160" i="8"/>
  <c r="D160" i="8" s="1"/>
  <c r="G160" i="8" l="1"/>
  <c r="P198" i="14"/>
  <c r="C201" i="14"/>
  <c r="D200" i="14"/>
  <c r="K199" i="14"/>
  <c r="N199" i="14"/>
  <c r="L199" i="14"/>
  <c r="M199" i="14"/>
  <c r="I115" i="9"/>
  <c r="M115" i="9"/>
  <c r="E115" i="9"/>
  <c r="F115" i="9" s="1"/>
  <c r="G116" i="9"/>
  <c r="L115" i="9"/>
  <c r="K115" i="9"/>
  <c r="F160" i="8"/>
  <c r="E110" i="14"/>
  <c r="I110" i="14"/>
  <c r="J110" i="14"/>
  <c r="G111" i="14"/>
  <c r="E161" i="8"/>
  <c r="G161" i="8" s="1"/>
  <c r="I160" i="8"/>
  <c r="J115" i="9" l="1"/>
  <c r="N115" i="9"/>
  <c r="P115" i="9" s="1"/>
  <c r="P199" i="14"/>
  <c r="N200" i="14"/>
  <c r="M200" i="14"/>
  <c r="L200" i="14"/>
  <c r="K200" i="14"/>
  <c r="C202" i="14"/>
  <c r="D201" i="14"/>
  <c r="H115" i="9"/>
  <c r="C116" i="9" s="1"/>
  <c r="O115" i="9"/>
  <c r="H160" i="8"/>
  <c r="F110" i="14"/>
  <c r="H110" i="14" s="1"/>
  <c r="C161" i="8"/>
  <c r="D161" i="8" s="1"/>
  <c r="P200" i="14" l="1"/>
  <c r="L201" i="14"/>
  <c r="K201" i="14"/>
  <c r="M201" i="14"/>
  <c r="N201" i="14"/>
  <c r="C203" i="14"/>
  <c r="D202" i="14"/>
  <c r="F161" i="8"/>
  <c r="D116" i="9"/>
  <c r="O110" i="14"/>
  <c r="E162" i="8"/>
  <c r="I161" i="8"/>
  <c r="P201" i="14" l="1"/>
  <c r="L202" i="14"/>
  <c r="M202" i="14"/>
  <c r="N202" i="14"/>
  <c r="K202" i="14"/>
  <c r="D203" i="14"/>
  <c r="C204" i="14"/>
  <c r="H161" i="8"/>
  <c r="I116" i="9"/>
  <c r="J116" i="9"/>
  <c r="L116" i="9"/>
  <c r="E116" i="9"/>
  <c r="F116" i="9" s="1"/>
  <c r="G117" i="9"/>
  <c r="M116" i="9"/>
  <c r="K116" i="9"/>
  <c r="E111" i="14"/>
  <c r="I111" i="14"/>
  <c r="J111" i="14"/>
  <c r="G112" i="14"/>
  <c r="C162" i="8"/>
  <c r="D162" i="8" s="1"/>
  <c r="G162" i="8" l="1"/>
  <c r="N116" i="9"/>
  <c r="P116" i="9" s="1"/>
  <c r="P202" i="14"/>
  <c r="D204" i="14"/>
  <c r="C205" i="14"/>
  <c r="K203" i="14"/>
  <c r="L203" i="14"/>
  <c r="N203" i="14"/>
  <c r="M203" i="14"/>
  <c r="H116" i="9"/>
  <c r="C117" i="9" s="1"/>
  <c r="O116" i="9"/>
  <c r="F162" i="8"/>
  <c r="F111" i="14"/>
  <c r="H111" i="14" s="1"/>
  <c r="E163" i="8"/>
  <c r="I162" i="8"/>
  <c r="P203" i="14" l="1"/>
  <c r="D205" i="14"/>
  <c r="C206" i="14"/>
  <c r="L204" i="14"/>
  <c r="N204" i="14"/>
  <c r="M204" i="14"/>
  <c r="K204" i="14"/>
  <c r="D117" i="9"/>
  <c r="H162" i="8"/>
  <c r="O111" i="14"/>
  <c r="C163" i="8"/>
  <c r="D163" i="8" s="1"/>
  <c r="G163" i="8" l="1"/>
  <c r="P204" i="14"/>
  <c r="D206" i="14"/>
  <c r="C207" i="14"/>
  <c r="N205" i="14"/>
  <c r="L205" i="14"/>
  <c r="K205" i="14"/>
  <c r="M205" i="14"/>
  <c r="I117" i="9"/>
  <c r="J117" i="9"/>
  <c r="G118" i="9"/>
  <c r="E117" i="9"/>
  <c r="F117" i="9" s="1"/>
  <c r="K117" i="9"/>
  <c r="M117" i="9"/>
  <c r="L117" i="9"/>
  <c r="E112" i="14"/>
  <c r="I112" i="14"/>
  <c r="J112" i="14"/>
  <c r="G113" i="14"/>
  <c r="F163" i="8"/>
  <c r="E164" i="8"/>
  <c r="I163" i="8"/>
  <c r="N117" i="9" l="1"/>
  <c r="P117" i="9" s="1"/>
  <c r="D207" i="14"/>
  <c r="C208" i="14"/>
  <c r="P205" i="14"/>
  <c r="N206" i="14"/>
  <c r="K206" i="14"/>
  <c r="L206" i="14"/>
  <c r="M206" i="14"/>
  <c r="H117" i="9"/>
  <c r="C118" i="9" s="1"/>
  <c r="O117" i="9"/>
  <c r="F112" i="14"/>
  <c r="H112" i="14" s="1"/>
  <c r="H163" i="8"/>
  <c r="C164" i="8"/>
  <c r="D164" i="8" s="1"/>
  <c r="G164" i="8" l="1"/>
  <c r="D208" i="14"/>
  <c r="C209" i="14"/>
  <c r="P206" i="14"/>
  <c r="M207" i="14"/>
  <c r="K207" i="14"/>
  <c r="N207" i="14"/>
  <c r="L207" i="14"/>
  <c r="D118" i="9"/>
  <c r="O112" i="14"/>
  <c r="F164" i="8"/>
  <c r="E165" i="8"/>
  <c r="I164" i="8"/>
  <c r="C210" i="14" l="1"/>
  <c r="D209" i="14"/>
  <c r="P207" i="14"/>
  <c r="K208" i="14"/>
  <c r="N208" i="14"/>
  <c r="L208" i="14"/>
  <c r="M208" i="14"/>
  <c r="I118" i="9"/>
  <c r="J118" i="9"/>
  <c r="M118" i="9"/>
  <c r="L118" i="9"/>
  <c r="G119" i="9"/>
  <c r="E118" i="9"/>
  <c r="F118" i="9" s="1"/>
  <c r="K118" i="9"/>
  <c r="E113" i="14"/>
  <c r="I113" i="14"/>
  <c r="J113" i="14"/>
  <c r="G114" i="14"/>
  <c r="H164" i="8"/>
  <c r="C165" i="8"/>
  <c r="D165" i="8" s="1"/>
  <c r="G165" i="8" l="1"/>
  <c r="P208" i="14"/>
  <c r="M209" i="14"/>
  <c r="N209" i="14"/>
  <c r="K209" i="14"/>
  <c r="L209" i="14"/>
  <c r="C211" i="14"/>
  <c r="D210" i="14"/>
  <c r="N118" i="9"/>
  <c r="P118" i="9" s="1"/>
  <c r="H118" i="9"/>
  <c r="C119" i="9" s="1"/>
  <c r="O118" i="9"/>
  <c r="F113" i="14"/>
  <c r="H113" i="14" s="1"/>
  <c r="F165" i="8"/>
  <c r="E166" i="8"/>
  <c r="I165" i="8"/>
  <c r="P209" i="14" l="1"/>
  <c r="K210" i="14"/>
  <c r="M210" i="14"/>
  <c r="N210" i="14"/>
  <c r="L210" i="14"/>
  <c r="D211" i="14"/>
  <c r="C212" i="14"/>
  <c r="D119" i="9"/>
  <c r="H165" i="8"/>
  <c r="O113" i="14"/>
  <c r="C166" i="8"/>
  <c r="D166" i="8" s="1"/>
  <c r="G166" i="8" l="1"/>
  <c r="P210" i="14"/>
  <c r="D212" i="14"/>
  <c r="C213" i="14"/>
  <c r="N211" i="14"/>
  <c r="K211" i="14"/>
  <c r="L211" i="14"/>
  <c r="M211" i="14"/>
  <c r="I119" i="9"/>
  <c r="J119" i="9"/>
  <c r="E119" i="9"/>
  <c r="F119" i="9" s="1"/>
  <c r="G120" i="9"/>
  <c r="M119" i="9"/>
  <c r="L119" i="9"/>
  <c r="N119" i="9"/>
  <c r="K119" i="9"/>
  <c r="E114" i="14"/>
  <c r="I114" i="14"/>
  <c r="J114" i="14"/>
  <c r="F166" i="8"/>
  <c r="G115" i="14"/>
  <c r="E167" i="8"/>
  <c r="I166" i="8"/>
  <c r="P211" i="14" l="1"/>
  <c r="C214" i="14"/>
  <c r="D213" i="14"/>
  <c r="K212" i="14"/>
  <c r="M212" i="14"/>
  <c r="L212" i="14"/>
  <c r="N212" i="14"/>
  <c r="P119" i="9"/>
  <c r="H119" i="9"/>
  <c r="C120" i="9" s="1"/>
  <c r="O119" i="9"/>
  <c r="H166" i="8"/>
  <c r="F114" i="14"/>
  <c r="H114" i="14" s="1"/>
  <c r="C167" i="8"/>
  <c r="D167" i="8" s="1"/>
  <c r="G167" i="8" l="1"/>
  <c r="P212" i="14"/>
  <c r="N213" i="14"/>
  <c r="L213" i="14"/>
  <c r="M213" i="14"/>
  <c r="K213" i="14"/>
  <c r="C215" i="14"/>
  <c r="D214" i="14"/>
  <c r="D120" i="9"/>
  <c r="O114" i="14"/>
  <c r="F167" i="8"/>
  <c r="E168" i="8"/>
  <c r="I167" i="8"/>
  <c r="P213" i="14" l="1"/>
  <c r="L214" i="14"/>
  <c r="M214" i="14"/>
  <c r="N214" i="14"/>
  <c r="K214" i="14"/>
  <c r="C216" i="14"/>
  <c r="D215" i="14"/>
  <c r="I120" i="9"/>
  <c r="J120" i="9"/>
  <c r="G121" i="9"/>
  <c r="M120" i="9"/>
  <c r="E120" i="9"/>
  <c r="F120" i="9" s="1"/>
  <c r="K120" i="9"/>
  <c r="L120" i="9"/>
  <c r="E115" i="14"/>
  <c r="I115" i="14"/>
  <c r="J115" i="14"/>
  <c r="G116" i="14"/>
  <c r="H167" i="8"/>
  <c r="C168" i="8"/>
  <c r="D168" i="8" s="1"/>
  <c r="G168" i="8" l="1"/>
  <c r="P214" i="14"/>
  <c r="N215" i="14"/>
  <c r="M215" i="14"/>
  <c r="K215" i="14"/>
  <c r="L215" i="14"/>
  <c r="D216" i="14"/>
  <c r="C217" i="14"/>
  <c r="H120" i="9"/>
  <c r="C121" i="9" s="1"/>
  <c r="O120" i="9"/>
  <c r="N120" i="9"/>
  <c r="P120" i="9" s="1"/>
  <c r="F115" i="14"/>
  <c r="H115" i="14" s="1"/>
  <c r="F168" i="8"/>
  <c r="E169" i="8"/>
  <c r="I168" i="8"/>
  <c r="H168" i="8" l="1"/>
  <c r="P215" i="14"/>
  <c r="D217" i="14"/>
  <c r="C218" i="14"/>
  <c r="M216" i="14"/>
  <c r="K216" i="14"/>
  <c r="N216" i="14"/>
  <c r="L216" i="14"/>
  <c r="D121" i="9"/>
  <c r="O115" i="14"/>
  <c r="C169" i="8"/>
  <c r="D169" i="8" s="1"/>
  <c r="G169" i="8" l="1"/>
  <c r="F169" i="8"/>
  <c r="P216" i="14"/>
  <c r="C219" i="14"/>
  <c r="D218" i="14"/>
  <c r="L217" i="14"/>
  <c r="N217" i="14"/>
  <c r="M217" i="14"/>
  <c r="K217" i="14"/>
  <c r="I121" i="9"/>
  <c r="J121" i="9"/>
  <c r="E121" i="9"/>
  <c r="F121" i="9" s="1"/>
  <c r="G122" i="9"/>
  <c r="M121" i="9"/>
  <c r="L121" i="9"/>
  <c r="K121" i="9"/>
  <c r="E116" i="14"/>
  <c r="I116" i="14"/>
  <c r="J116" i="14"/>
  <c r="G117" i="14"/>
  <c r="E170" i="8"/>
  <c r="I169" i="8"/>
  <c r="H169" i="8" l="1"/>
  <c r="N121" i="9"/>
  <c r="P121" i="9" s="1"/>
  <c r="P217" i="14"/>
  <c r="M218" i="14"/>
  <c r="K218" i="14"/>
  <c r="N218" i="14"/>
  <c r="L218" i="14"/>
  <c r="D219" i="14"/>
  <c r="C220" i="14"/>
  <c r="H121" i="9"/>
  <c r="C122" i="9" s="1"/>
  <c r="O121" i="9"/>
  <c r="F116" i="14"/>
  <c r="H116" i="14" s="1"/>
  <c r="C170" i="8"/>
  <c r="D170" i="8" s="1"/>
  <c r="G170" i="8" l="1"/>
  <c r="D220" i="14"/>
  <c r="C221" i="14"/>
  <c r="P218" i="14"/>
  <c r="K219" i="14"/>
  <c r="M219" i="14"/>
  <c r="L219" i="14"/>
  <c r="N219" i="14"/>
  <c r="D122" i="9"/>
  <c r="O116" i="14"/>
  <c r="F170" i="8"/>
  <c r="E171" i="8"/>
  <c r="I170" i="8"/>
  <c r="H170" i="8" l="1"/>
  <c r="P219" i="14"/>
  <c r="D221" i="14"/>
  <c r="C222" i="14"/>
  <c r="K220" i="14"/>
  <c r="M220" i="14"/>
  <c r="L220" i="14"/>
  <c r="N220" i="14"/>
  <c r="I122" i="9"/>
  <c r="J122" i="9"/>
  <c r="G123" i="9"/>
  <c r="L122" i="9"/>
  <c r="M122" i="9"/>
  <c r="E122" i="9"/>
  <c r="F122" i="9" s="1"/>
  <c r="E117" i="14"/>
  <c r="I117" i="14"/>
  <c r="J117" i="14"/>
  <c r="G118" i="14"/>
  <c r="C171" i="8"/>
  <c r="D171" i="8" s="1"/>
  <c r="G171" i="8" l="1"/>
  <c r="K122" i="9"/>
  <c r="F171" i="8"/>
  <c r="P220" i="14"/>
  <c r="C223" i="14"/>
  <c r="D222" i="14"/>
  <c r="K221" i="14"/>
  <c r="L221" i="14"/>
  <c r="M221" i="14"/>
  <c r="N221" i="14"/>
  <c r="N122" i="9"/>
  <c r="H122" i="9"/>
  <c r="C123" i="9" s="1"/>
  <c r="O122" i="9"/>
  <c r="F117" i="14"/>
  <c r="H117" i="14" s="1"/>
  <c r="E172" i="8"/>
  <c r="I171" i="8"/>
  <c r="P122" i="9" l="1"/>
  <c r="H171" i="8"/>
  <c r="P221" i="14"/>
  <c r="L222" i="14"/>
  <c r="M222" i="14"/>
  <c r="K222" i="14"/>
  <c r="N222" i="14"/>
  <c r="D223" i="14"/>
  <c r="C224" i="14"/>
  <c r="D123" i="9"/>
  <c r="O117" i="14"/>
  <c r="C172" i="8"/>
  <c r="D172" i="8" s="1"/>
  <c r="G172" i="8" l="1"/>
  <c r="P222" i="14"/>
  <c r="C225" i="14"/>
  <c r="D224" i="14"/>
  <c r="L223" i="14"/>
  <c r="M223" i="14"/>
  <c r="K223" i="14"/>
  <c r="N223" i="14"/>
  <c r="G124" i="9"/>
  <c r="E123" i="9"/>
  <c r="F123" i="9" s="1"/>
  <c r="M123" i="9"/>
  <c r="E118" i="14"/>
  <c r="I118" i="14"/>
  <c r="J118" i="14"/>
  <c r="G119" i="14"/>
  <c r="F172" i="8"/>
  <c r="E173" i="8"/>
  <c r="I172" i="8"/>
  <c r="I123" i="9" l="1"/>
  <c r="L123" i="9"/>
  <c r="J123" i="9"/>
  <c r="K123" i="9"/>
  <c r="H172" i="8"/>
  <c r="K224" i="14"/>
  <c r="N224" i="14"/>
  <c r="M224" i="14"/>
  <c r="L224" i="14"/>
  <c r="P223" i="14"/>
  <c r="C226" i="14"/>
  <c r="D225" i="14"/>
  <c r="N123" i="9"/>
  <c r="H123" i="9"/>
  <c r="O123" i="9"/>
  <c r="F118" i="14"/>
  <c r="H118" i="14" s="1"/>
  <c r="C173" i="8"/>
  <c r="D173" i="8" s="1"/>
  <c r="G173" i="8" l="1"/>
  <c r="C124" i="9"/>
  <c r="P123" i="9"/>
  <c r="K225" i="14"/>
  <c r="L225" i="14"/>
  <c r="M225" i="14"/>
  <c r="N225" i="14"/>
  <c r="D226" i="14"/>
  <c r="C227" i="14"/>
  <c r="P224" i="14"/>
  <c r="F173" i="8"/>
  <c r="D124" i="9"/>
  <c r="O118" i="14"/>
  <c r="E174" i="8"/>
  <c r="I173" i="8"/>
  <c r="C228" i="14" l="1"/>
  <c r="D227" i="14"/>
  <c r="L226" i="14"/>
  <c r="N226" i="14"/>
  <c r="K226" i="14"/>
  <c r="M226" i="14"/>
  <c r="P225" i="14"/>
  <c r="H173" i="8"/>
  <c r="K124" i="9"/>
  <c r="E124" i="9"/>
  <c r="F124" i="9" s="1"/>
  <c r="G125" i="9"/>
  <c r="M124" i="9"/>
  <c r="E119" i="14"/>
  <c r="I119" i="14"/>
  <c r="J119" i="14"/>
  <c r="G120" i="14"/>
  <c r="C174" i="8"/>
  <c r="D174" i="8" s="1"/>
  <c r="L124" i="9" l="1"/>
  <c r="J124" i="9"/>
  <c r="I124" i="9"/>
  <c r="G174" i="8"/>
  <c r="L227" i="14"/>
  <c r="M227" i="14"/>
  <c r="N227" i="14"/>
  <c r="K227" i="14"/>
  <c r="P226" i="14"/>
  <c r="C229" i="14"/>
  <c r="D228" i="14"/>
  <c r="N124" i="9"/>
  <c r="H124" i="9"/>
  <c r="O124" i="9"/>
  <c r="F119" i="14"/>
  <c r="H119" i="14" s="1"/>
  <c r="F174" i="8"/>
  <c r="E175" i="8"/>
  <c r="G175" i="8" s="1"/>
  <c r="I174" i="8"/>
  <c r="P124" i="9" l="1"/>
  <c r="C125" i="9"/>
  <c r="D125" i="9" s="1"/>
  <c r="H174" i="8"/>
  <c r="P227" i="14"/>
  <c r="N228" i="14"/>
  <c r="K228" i="14"/>
  <c r="M228" i="14"/>
  <c r="L228" i="14"/>
  <c r="D229" i="14"/>
  <c r="C230" i="14"/>
  <c r="O119" i="14"/>
  <c r="C175" i="8"/>
  <c r="D175" i="8" s="1"/>
  <c r="F175" i="8" l="1"/>
  <c r="H175" i="8" s="1"/>
  <c r="P228" i="14"/>
  <c r="D230" i="14"/>
  <c r="C231" i="14"/>
  <c r="M229" i="14"/>
  <c r="L229" i="14"/>
  <c r="N229" i="14"/>
  <c r="K229" i="14"/>
  <c r="I125" i="9"/>
  <c r="J125" i="9"/>
  <c r="L125" i="9"/>
  <c r="E125" i="9"/>
  <c r="F125" i="9" s="1"/>
  <c r="M125" i="9"/>
  <c r="G126" i="9"/>
  <c r="E120" i="14"/>
  <c r="I120" i="14"/>
  <c r="J120" i="14"/>
  <c r="G121" i="14"/>
  <c r="E176" i="8"/>
  <c r="I175" i="8"/>
  <c r="K125" i="9" l="1"/>
  <c r="P229" i="14"/>
  <c r="C232" i="14"/>
  <c r="D231" i="14"/>
  <c r="M230" i="14"/>
  <c r="N230" i="14"/>
  <c r="K230" i="14"/>
  <c r="L230" i="14"/>
  <c r="N125" i="9"/>
  <c r="H125" i="9"/>
  <c r="C126" i="9" s="1"/>
  <c r="O125" i="9"/>
  <c r="F120" i="14"/>
  <c r="H120" i="14" s="1"/>
  <c r="C176" i="8"/>
  <c r="D176" i="8" s="1"/>
  <c r="P125" i="9" l="1"/>
  <c r="G176" i="8"/>
  <c r="N231" i="14"/>
  <c r="M231" i="14"/>
  <c r="K231" i="14"/>
  <c r="L231" i="14"/>
  <c r="P230" i="14"/>
  <c r="C233" i="14"/>
  <c r="D232" i="14"/>
  <c r="D126" i="9"/>
  <c r="O120" i="14"/>
  <c r="F176" i="8"/>
  <c r="E177" i="8"/>
  <c r="G177" i="8" s="1"/>
  <c r="I176" i="8"/>
  <c r="P231" i="14" l="1"/>
  <c r="K232" i="14"/>
  <c r="N232" i="14"/>
  <c r="M232" i="14"/>
  <c r="L232" i="14"/>
  <c r="C234" i="14"/>
  <c r="D233" i="14"/>
  <c r="H176" i="8"/>
  <c r="E126" i="9"/>
  <c r="F126" i="9" s="1"/>
  <c r="G127" i="9"/>
  <c r="M126" i="9"/>
  <c r="L126" i="9"/>
  <c r="E121" i="14"/>
  <c r="I121" i="14"/>
  <c r="J121" i="14"/>
  <c r="G122" i="14"/>
  <c r="C177" i="8"/>
  <c r="D177" i="8" s="1"/>
  <c r="F177" i="8" l="1"/>
  <c r="H177" i="8" s="1"/>
  <c r="J126" i="9"/>
  <c r="I126" i="9"/>
  <c r="K126" i="9"/>
  <c r="P232" i="14"/>
  <c r="M233" i="14"/>
  <c r="K233" i="14"/>
  <c r="L233" i="14"/>
  <c r="N233" i="14"/>
  <c r="C235" i="14"/>
  <c r="D234" i="14"/>
  <c r="N126" i="9"/>
  <c r="H126" i="9"/>
  <c r="O126" i="9"/>
  <c r="F121" i="14"/>
  <c r="H121" i="14" s="1"/>
  <c r="E178" i="8"/>
  <c r="I177" i="8"/>
  <c r="P126" i="9" l="1"/>
  <c r="C127" i="9"/>
  <c r="D127" i="9" s="1"/>
  <c r="P233" i="14"/>
  <c r="K234" i="14"/>
  <c r="N234" i="14"/>
  <c r="L234" i="14"/>
  <c r="M234" i="14"/>
  <c r="C236" i="14"/>
  <c r="D235" i="14"/>
  <c r="O121" i="14"/>
  <c r="C178" i="8"/>
  <c r="D178" i="8" s="1"/>
  <c r="G178" i="8" l="1"/>
  <c r="P234" i="14"/>
  <c r="L235" i="14"/>
  <c r="M235" i="14"/>
  <c r="K235" i="14"/>
  <c r="N235" i="14"/>
  <c r="C237" i="14"/>
  <c r="D236" i="14"/>
  <c r="F178" i="8"/>
  <c r="G128" i="9"/>
  <c r="E127" i="9"/>
  <c r="F127" i="9" s="1"/>
  <c r="M127" i="9"/>
  <c r="E122" i="14"/>
  <c r="I122" i="14"/>
  <c r="J122" i="14"/>
  <c r="G123" i="14"/>
  <c r="E179" i="8"/>
  <c r="G179" i="8" s="1"/>
  <c r="I178" i="8"/>
  <c r="K127" i="9" l="1"/>
  <c r="L127" i="9"/>
  <c r="J127" i="9"/>
  <c r="I127" i="9"/>
  <c r="P235" i="14"/>
  <c r="M236" i="14"/>
  <c r="K236" i="14"/>
  <c r="N236" i="14"/>
  <c r="L236" i="14"/>
  <c r="C238" i="14"/>
  <c r="D237" i="14"/>
  <c r="H178" i="8"/>
  <c r="N127" i="9"/>
  <c r="H127" i="9"/>
  <c r="O127" i="9"/>
  <c r="F122" i="14"/>
  <c r="H122" i="14" s="1"/>
  <c r="C179" i="8"/>
  <c r="D179" i="8" s="1"/>
  <c r="P127" i="9" l="1"/>
  <c r="C128" i="9"/>
  <c r="D128" i="9" s="1"/>
  <c r="P236" i="14"/>
  <c r="N237" i="14"/>
  <c r="L237" i="14"/>
  <c r="K237" i="14"/>
  <c r="M237" i="14"/>
  <c r="D238" i="14"/>
  <c r="C239" i="14"/>
  <c r="F179" i="8"/>
  <c r="O122" i="14"/>
  <c r="E180" i="8"/>
  <c r="I179" i="8"/>
  <c r="P237" i="14" l="1"/>
  <c r="D239" i="14"/>
  <c r="C240" i="14"/>
  <c r="M238" i="14"/>
  <c r="N238" i="14"/>
  <c r="K238" i="14"/>
  <c r="L238" i="14"/>
  <c r="H179" i="8"/>
  <c r="E128" i="9"/>
  <c r="F128" i="9" s="1"/>
  <c r="K128" i="9"/>
  <c r="M128" i="9"/>
  <c r="G129" i="9"/>
  <c r="E123" i="14"/>
  <c r="I123" i="14"/>
  <c r="J123" i="14"/>
  <c r="G124" i="14"/>
  <c r="C180" i="8"/>
  <c r="D180" i="8" s="1"/>
  <c r="G180" i="8" l="1"/>
  <c r="F180" i="8"/>
  <c r="J128" i="9"/>
  <c r="L128" i="9"/>
  <c r="I128" i="9"/>
  <c r="P238" i="14"/>
  <c r="C241" i="14"/>
  <c r="D240" i="14"/>
  <c r="L239" i="14"/>
  <c r="K239" i="14"/>
  <c r="M239" i="14"/>
  <c r="N239" i="14"/>
  <c r="N128" i="9"/>
  <c r="H128" i="9"/>
  <c r="O128" i="9"/>
  <c r="F123" i="14"/>
  <c r="H123" i="14" s="1"/>
  <c r="E181" i="8"/>
  <c r="G181" i="8" s="1"/>
  <c r="I180" i="8"/>
  <c r="H180" i="8" l="1"/>
  <c r="P128" i="9"/>
  <c r="C129" i="9"/>
  <c r="D129" i="9" s="1"/>
  <c r="P239" i="14"/>
  <c r="L240" i="14"/>
  <c r="K240" i="14"/>
  <c r="N240" i="14"/>
  <c r="M240" i="14"/>
  <c r="C242" i="14"/>
  <c r="D241" i="14"/>
  <c r="O123" i="14"/>
  <c r="C181" i="8"/>
  <c r="D181" i="8" s="1"/>
  <c r="F181" i="8" l="1"/>
  <c r="K241" i="14"/>
  <c r="L241" i="14"/>
  <c r="N241" i="14"/>
  <c r="M241" i="14"/>
  <c r="P240" i="14"/>
  <c r="D242" i="14"/>
  <c r="C243" i="14"/>
  <c r="I129" i="9"/>
  <c r="E129" i="9"/>
  <c r="F129" i="9" s="1"/>
  <c r="L129" i="9"/>
  <c r="G130" i="9"/>
  <c r="M129" i="9"/>
  <c r="K129" i="9"/>
  <c r="E124" i="14"/>
  <c r="I124" i="14"/>
  <c r="J124" i="14"/>
  <c r="G125" i="14"/>
  <c r="E182" i="8"/>
  <c r="I181" i="8"/>
  <c r="J129" i="9" l="1"/>
  <c r="H181" i="8"/>
  <c r="C244" i="14"/>
  <c r="D243" i="14"/>
  <c r="M242" i="14"/>
  <c r="L242" i="14"/>
  <c r="N242" i="14"/>
  <c r="K242" i="14"/>
  <c r="P241" i="14"/>
  <c r="N129" i="9"/>
  <c r="P129" i="9" s="1"/>
  <c r="H129" i="9"/>
  <c r="O129" i="9"/>
  <c r="F124" i="14"/>
  <c r="H124" i="14" s="1"/>
  <c r="C182" i="8"/>
  <c r="D182" i="8" s="1"/>
  <c r="G182" i="8" l="1"/>
  <c r="C130" i="9"/>
  <c r="D130" i="9" s="1"/>
  <c r="P242" i="14"/>
  <c r="N243" i="14"/>
  <c r="K243" i="14"/>
  <c r="L243" i="14"/>
  <c r="M243" i="14"/>
  <c r="D244" i="14"/>
  <c r="C245" i="14"/>
  <c r="F182" i="8"/>
  <c r="O124" i="14"/>
  <c r="E183" i="8"/>
  <c r="I182" i="8"/>
  <c r="D245" i="14" l="1"/>
  <c r="C246" i="14"/>
  <c r="P243" i="14"/>
  <c r="N244" i="14"/>
  <c r="M244" i="14"/>
  <c r="K244" i="14"/>
  <c r="L244" i="14"/>
  <c r="H182" i="8"/>
  <c r="G131" i="9"/>
  <c r="E130" i="9"/>
  <c r="F130" i="9" s="1"/>
  <c r="M130" i="9"/>
  <c r="E125" i="14"/>
  <c r="I125" i="14"/>
  <c r="J125" i="14"/>
  <c r="G126" i="14"/>
  <c r="C183" i="8"/>
  <c r="D183" i="8" s="1"/>
  <c r="K130" i="9" l="1"/>
  <c r="L130" i="9"/>
  <c r="G183" i="8"/>
  <c r="F183" i="8"/>
  <c r="J130" i="9"/>
  <c r="I130" i="9"/>
  <c r="P244" i="14"/>
  <c r="C247" i="14"/>
  <c r="D246" i="14"/>
  <c r="K245" i="14"/>
  <c r="L245" i="14"/>
  <c r="N245" i="14"/>
  <c r="M245" i="14"/>
  <c r="N130" i="9"/>
  <c r="H130" i="9"/>
  <c r="O130" i="9"/>
  <c r="F125" i="14"/>
  <c r="H125" i="14" s="1"/>
  <c r="E184" i="8"/>
  <c r="I183" i="8"/>
  <c r="P130" i="9" l="1"/>
  <c r="H183" i="8"/>
  <c r="C131" i="9"/>
  <c r="D131" i="9" s="1"/>
  <c r="P245" i="14"/>
  <c r="M246" i="14"/>
  <c r="K246" i="14"/>
  <c r="N246" i="14"/>
  <c r="L246" i="14"/>
  <c r="C248" i="14"/>
  <c r="D247" i="14"/>
  <c r="O125" i="14"/>
  <c r="C184" i="8"/>
  <c r="D184" i="8" s="1"/>
  <c r="G184" i="8" l="1"/>
  <c r="P246" i="14"/>
  <c r="L247" i="14"/>
  <c r="K247" i="14"/>
  <c r="N247" i="14"/>
  <c r="M247" i="14"/>
  <c r="C249" i="14"/>
  <c r="D248" i="14"/>
  <c r="E131" i="9"/>
  <c r="F131" i="9" s="1"/>
  <c r="M131" i="9"/>
  <c r="G132" i="9"/>
  <c r="E126" i="14"/>
  <c r="I126" i="14"/>
  <c r="J126" i="14"/>
  <c r="G127" i="14"/>
  <c r="F184" i="8"/>
  <c r="E185" i="8"/>
  <c r="I184" i="8"/>
  <c r="L131" i="9" l="1"/>
  <c r="K131" i="9"/>
  <c r="J131" i="9"/>
  <c r="I131" i="9"/>
  <c r="P247" i="14"/>
  <c r="K248" i="14"/>
  <c r="N248" i="14"/>
  <c r="M248" i="14"/>
  <c r="L248" i="14"/>
  <c r="C250" i="14"/>
  <c r="D249" i="14"/>
  <c r="H184" i="8"/>
  <c r="N131" i="9"/>
  <c r="H131" i="9"/>
  <c r="O131" i="9"/>
  <c r="F126" i="14"/>
  <c r="H126" i="14" s="1"/>
  <c r="C185" i="8"/>
  <c r="D185" i="8" s="1"/>
  <c r="P131" i="9" l="1"/>
  <c r="G185" i="8"/>
  <c r="F185" i="8"/>
  <c r="C132" i="9"/>
  <c r="D132" i="9" s="1"/>
  <c r="P248" i="14"/>
  <c r="N249" i="14"/>
  <c r="K249" i="14"/>
  <c r="L249" i="14"/>
  <c r="M249" i="14"/>
  <c r="D250" i="14"/>
  <c r="C251" i="14"/>
  <c r="O126" i="14"/>
  <c r="E186" i="8"/>
  <c r="I185" i="8"/>
  <c r="H185" i="8" l="1"/>
  <c r="C252" i="14"/>
  <c r="D251" i="14"/>
  <c r="P249" i="14"/>
  <c r="N250" i="14"/>
  <c r="M250" i="14"/>
  <c r="K250" i="14"/>
  <c r="L250" i="14"/>
  <c r="M132" i="9"/>
  <c r="E132" i="9"/>
  <c r="F132" i="9" s="1"/>
  <c r="G133" i="9"/>
  <c r="E127" i="14"/>
  <c r="I127" i="14"/>
  <c r="J127" i="14"/>
  <c r="G128" i="14"/>
  <c r="C186" i="8"/>
  <c r="D186" i="8" s="1"/>
  <c r="I132" i="9" l="1"/>
  <c r="L132" i="9"/>
  <c r="J132" i="9"/>
  <c r="G186" i="8"/>
  <c r="K132" i="9"/>
  <c r="P250" i="14"/>
  <c r="L251" i="14"/>
  <c r="N251" i="14"/>
  <c r="M251" i="14"/>
  <c r="K251" i="14"/>
  <c r="D252" i="14"/>
  <c r="C253" i="14"/>
  <c r="N132" i="9"/>
  <c r="H132" i="9"/>
  <c r="O132" i="9"/>
  <c r="F186" i="8"/>
  <c r="F127" i="14"/>
  <c r="H127" i="14" s="1"/>
  <c r="E187" i="8"/>
  <c r="I186" i="8"/>
  <c r="C133" i="9" l="1"/>
  <c r="D133" i="9" s="1"/>
  <c r="P132" i="9"/>
  <c r="H186" i="8"/>
  <c r="P251" i="14"/>
  <c r="C254" i="14"/>
  <c r="D253" i="14"/>
  <c r="L252" i="14"/>
  <c r="M252" i="14"/>
  <c r="K252" i="14"/>
  <c r="N252" i="14"/>
  <c r="O127" i="14"/>
  <c r="C187" i="8"/>
  <c r="D187" i="8" s="1"/>
  <c r="G187" i="8" l="1"/>
  <c r="F187" i="8"/>
  <c r="P252" i="14"/>
  <c r="K253" i="14"/>
  <c r="L253" i="14"/>
  <c r="N253" i="14"/>
  <c r="M253" i="14"/>
  <c r="D254" i="14"/>
  <c r="C255" i="14"/>
  <c r="E133" i="9"/>
  <c r="F133" i="9" s="1"/>
  <c r="M133" i="9"/>
  <c r="G134" i="9"/>
  <c r="E128" i="14"/>
  <c r="I128" i="14"/>
  <c r="J128" i="14"/>
  <c r="G129" i="14"/>
  <c r="E188" i="8"/>
  <c r="I187" i="8"/>
  <c r="K133" i="9" l="1"/>
  <c r="H187" i="8"/>
  <c r="I133" i="9"/>
  <c r="L133" i="9"/>
  <c r="J133" i="9"/>
  <c r="P253" i="14"/>
  <c r="C256" i="14"/>
  <c r="D255" i="14"/>
  <c r="M254" i="14"/>
  <c r="N254" i="14"/>
  <c r="L254" i="14"/>
  <c r="K254" i="14"/>
  <c r="N133" i="9"/>
  <c r="H133" i="9"/>
  <c r="O133" i="9"/>
  <c r="F128" i="14"/>
  <c r="H128" i="14" s="1"/>
  <c r="C188" i="8"/>
  <c r="D188" i="8" s="1"/>
  <c r="G188" i="8" l="1"/>
  <c r="P133" i="9"/>
  <c r="C134" i="9"/>
  <c r="D134" i="9" s="1"/>
  <c r="P254" i="14"/>
  <c r="K255" i="14"/>
  <c r="L255" i="14"/>
  <c r="N255" i="14"/>
  <c r="M255" i="14"/>
  <c r="C257" i="14"/>
  <c r="D256" i="14"/>
  <c r="O128" i="14"/>
  <c r="F188" i="8"/>
  <c r="E189" i="8"/>
  <c r="I188" i="8"/>
  <c r="H188" i="8" l="1"/>
  <c r="L256" i="14"/>
  <c r="K256" i="14"/>
  <c r="M256" i="14"/>
  <c r="N256" i="14"/>
  <c r="C258" i="14"/>
  <c r="D257" i="14"/>
  <c r="P255" i="14"/>
  <c r="M134" i="9"/>
  <c r="G135" i="9"/>
  <c r="E134" i="9"/>
  <c r="F134" i="9" s="1"/>
  <c r="E129" i="14"/>
  <c r="I129" i="14"/>
  <c r="J129" i="14"/>
  <c r="G130" i="14"/>
  <c r="C189" i="8"/>
  <c r="D189" i="8" s="1"/>
  <c r="F189" i="8" l="1"/>
  <c r="G189" i="8"/>
  <c r="L134" i="9"/>
  <c r="I134" i="9"/>
  <c r="J134" i="9"/>
  <c r="K134" i="9"/>
  <c r="L257" i="14"/>
  <c r="N257" i="14"/>
  <c r="M257" i="14"/>
  <c r="K257" i="14"/>
  <c r="P256" i="14"/>
  <c r="D258" i="14"/>
  <c r="C259" i="14"/>
  <c r="H134" i="9"/>
  <c r="O134" i="9"/>
  <c r="N134" i="9"/>
  <c r="F129" i="14"/>
  <c r="H129" i="14" s="1"/>
  <c r="E190" i="8"/>
  <c r="I189" i="8"/>
  <c r="H189" i="8" l="1"/>
  <c r="C135" i="9"/>
  <c r="D135" i="9" s="1"/>
  <c r="M135" i="9" s="1"/>
  <c r="P257" i="14"/>
  <c r="P134" i="9"/>
  <c r="C260" i="14"/>
  <c r="D259" i="14"/>
  <c r="L258" i="14"/>
  <c r="M258" i="14"/>
  <c r="N258" i="14"/>
  <c r="K258" i="14"/>
  <c r="O129" i="14"/>
  <c r="C190" i="8"/>
  <c r="D190" i="8" s="1"/>
  <c r="G190" i="8" l="1"/>
  <c r="G136" i="9"/>
  <c r="E135" i="9"/>
  <c r="F135" i="9" s="1"/>
  <c r="O135" i="9" s="1"/>
  <c r="P258" i="14"/>
  <c r="J135" i="9"/>
  <c r="L135" i="9"/>
  <c r="I135" i="9"/>
  <c r="N259" i="14"/>
  <c r="M259" i="14"/>
  <c r="K259" i="14"/>
  <c r="L259" i="14"/>
  <c r="D260" i="14"/>
  <c r="C261" i="14"/>
  <c r="E130" i="14"/>
  <c r="I130" i="14"/>
  <c r="J130" i="14"/>
  <c r="G131" i="14"/>
  <c r="F190" i="8"/>
  <c r="E191" i="8"/>
  <c r="I190" i="8"/>
  <c r="K135" i="9" l="1"/>
  <c r="H190" i="8"/>
  <c r="N135" i="9"/>
  <c r="H135" i="9"/>
  <c r="C136" i="9" s="1"/>
  <c r="D136" i="9" s="1"/>
  <c r="P259" i="14"/>
  <c r="C262" i="14"/>
  <c r="D261" i="14"/>
  <c r="N260" i="14"/>
  <c r="L260" i="14"/>
  <c r="M260" i="14"/>
  <c r="K260" i="14"/>
  <c r="F130" i="14"/>
  <c r="H130" i="14" s="1"/>
  <c r="C191" i="8"/>
  <c r="D191" i="8" s="1"/>
  <c r="P135" i="9" l="1"/>
  <c r="G191" i="8"/>
  <c r="E136" i="9"/>
  <c r="F136" i="9" s="1"/>
  <c r="H136" i="9" s="1"/>
  <c r="M136" i="9"/>
  <c r="G137" i="9"/>
  <c r="P260" i="14"/>
  <c r="N261" i="14"/>
  <c r="L261" i="14"/>
  <c r="M261" i="14"/>
  <c r="K261" i="14"/>
  <c r="C263" i="14"/>
  <c r="D262" i="14"/>
  <c r="F191" i="8"/>
  <c r="O130" i="14"/>
  <c r="E192" i="8"/>
  <c r="I191" i="8"/>
  <c r="K136" i="9" l="1"/>
  <c r="J136" i="9"/>
  <c r="L136" i="9"/>
  <c r="I136" i="9"/>
  <c r="N136" i="9"/>
  <c r="P136" i="9" s="1"/>
  <c r="O136" i="9"/>
  <c r="P261" i="14"/>
  <c r="K262" i="14"/>
  <c r="M262" i="14"/>
  <c r="N262" i="14"/>
  <c r="L262" i="14"/>
  <c r="D263" i="14"/>
  <c r="C264" i="14"/>
  <c r="H191" i="8"/>
  <c r="E131" i="14"/>
  <c r="I131" i="14"/>
  <c r="J131" i="14"/>
  <c r="G132" i="14"/>
  <c r="C192" i="8"/>
  <c r="D192" i="8" s="1"/>
  <c r="C137" i="9" l="1"/>
  <c r="G192" i="8"/>
  <c r="C265" i="14"/>
  <c r="D264" i="14"/>
  <c r="M263" i="14"/>
  <c r="N263" i="14"/>
  <c r="K263" i="14"/>
  <c r="L263" i="14"/>
  <c r="P262" i="14"/>
  <c r="D137" i="9"/>
  <c r="F192" i="8"/>
  <c r="F131" i="14"/>
  <c r="H131" i="14" s="1"/>
  <c r="E193" i="8"/>
  <c r="I192" i="8"/>
  <c r="H192" i="8" l="1"/>
  <c r="P263" i="14"/>
  <c r="M264" i="14"/>
  <c r="N264" i="14"/>
  <c r="K264" i="14"/>
  <c r="L264" i="14"/>
  <c r="C266" i="14"/>
  <c r="D265" i="14"/>
  <c r="G138" i="9"/>
  <c r="E137" i="9"/>
  <c r="F137" i="9" s="1"/>
  <c r="O131" i="14"/>
  <c r="C193" i="8"/>
  <c r="D193" i="8" s="1"/>
  <c r="G193" i="8" l="1"/>
  <c r="F193" i="8"/>
  <c r="N137" i="9"/>
  <c r="P264" i="14"/>
  <c r="L265" i="14"/>
  <c r="M265" i="14"/>
  <c r="N265" i="14"/>
  <c r="K265" i="14"/>
  <c r="C267" i="14"/>
  <c r="D266" i="14"/>
  <c r="K137" i="9"/>
  <c r="L137" i="9"/>
  <c r="J137" i="9"/>
  <c r="I137" i="9"/>
  <c r="H137" i="9"/>
  <c r="O137" i="9"/>
  <c r="M137" i="9"/>
  <c r="E132" i="14"/>
  <c r="I132" i="14"/>
  <c r="J132" i="14"/>
  <c r="G133" i="14"/>
  <c r="E194" i="8"/>
  <c r="I193" i="8"/>
  <c r="H193" i="8" l="1"/>
  <c r="P265" i="14"/>
  <c r="N266" i="14"/>
  <c r="K266" i="14"/>
  <c r="L266" i="14"/>
  <c r="M266" i="14"/>
  <c r="D267" i="14"/>
  <c r="C268" i="14"/>
  <c r="P137" i="9"/>
  <c r="C138" i="9"/>
  <c r="D138" i="9" s="1"/>
  <c r="F132" i="14"/>
  <c r="H132" i="14" s="1"/>
  <c r="C194" i="8"/>
  <c r="D194" i="8" s="1"/>
  <c r="G194" i="8" l="1"/>
  <c r="P266" i="14"/>
  <c r="C269" i="14"/>
  <c r="D268" i="14"/>
  <c r="L267" i="14"/>
  <c r="M267" i="14"/>
  <c r="K267" i="14"/>
  <c r="N267" i="14"/>
  <c r="G139" i="9"/>
  <c r="M138" i="9"/>
  <c r="E138" i="9"/>
  <c r="F138" i="9" s="1"/>
  <c r="F194" i="8"/>
  <c r="O132" i="14"/>
  <c r="E195" i="8"/>
  <c r="G195" i="8" s="1"/>
  <c r="I194" i="8"/>
  <c r="H194" i="8" l="1"/>
  <c r="N138" i="9"/>
  <c r="M268" i="14"/>
  <c r="N268" i="14"/>
  <c r="K268" i="14"/>
  <c r="L268" i="14"/>
  <c r="P267" i="14"/>
  <c r="C270" i="14"/>
  <c r="D269" i="14"/>
  <c r="K138" i="9"/>
  <c r="L138" i="9"/>
  <c r="J138" i="9"/>
  <c r="I138" i="9"/>
  <c r="H138" i="9"/>
  <c r="O138" i="9"/>
  <c r="E133" i="14"/>
  <c r="I133" i="14"/>
  <c r="J133" i="14"/>
  <c r="G134" i="14"/>
  <c r="C195" i="8"/>
  <c r="D195" i="8" s="1"/>
  <c r="F195" i="8" l="1"/>
  <c r="H195" i="8" s="1"/>
  <c r="P268" i="14"/>
  <c r="P138" i="9"/>
  <c r="N269" i="14"/>
  <c r="K269" i="14"/>
  <c r="L269" i="14"/>
  <c r="M269" i="14"/>
  <c r="D270" i="14"/>
  <c r="C271" i="14"/>
  <c r="C139" i="9"/>
  <c r="D139" i="9" s="1"/>
  <c r="F133" i="14"/>
  <c r="H133" i="14" s="1"/>
  <c r="E196" i="8"/>
  <c r="I195" i="8"/>
  <c r="P269" i="14" l="1"/>
  <c r="C272" i="14"/>
  <c r="D271" i="14"/>
  <c r="K270" i="14"/>
  <c r="M270" i="14"/>
  <c r="N270" i="14"/>
  <c r="L270" i="14"/>
  <c r="G140" i="9"/>
  <c r="M139" i="9"/>
  <c r="E139" i="9"/>
  <c r="F139" i="9" s="1"/>
  <c r="K139" i="9"/>
  <c r="O133" i="14"/>
  <c r="C196" i="8"/>
  <c r="D196" i="8" s="1"/>
  <c r="G196" i="8" l="1"/>
  <c r="P270" i="14"/>
  <c r="L271" i="14"/>
  <c r="N271" i="14"/>
  <c r="M271" i="14"/>
  <c r="K271" i="14"/>
  <c r="C273" i="14"/>
  <c r="D272" i="14"/>
  <c r="F196" i="8"/>
  <c r="L139" i="9"/>
  <c r="J139" i="9"/>
  <c r="I139" i="9"/>
  <c r="N139" i="9"/>
  <c r="H139" i="9"/>
  <c r="O139" i="9"/>
  <c r="E134" i="14"/>
  <c r="I134" i="14"/>
  <c r="J134" i="14"/>
  <c r="G135" i="14"/>
  <c r="E197" i="8"/>
  <c r="G197" i="8" s="1"/>
  <c r="I196" i="8"/>
  <c r="P271" i="14" l="1"/>
  <c r="M272" i="14"/>
  <c r="K272" i="14"/>
  <c r="L272" i="14"/>
  <c r="N272" i="14"/>
  <c r="D273" i="14"/>
  <c r="C274" i="14"/>
  <c r="H196" i="8"/>
  <c r="C140" i="9"/>
  <c r="D140" i="9" s="1"/>
  <c r="P139" i="9"/>
  <c r="F134" i="14"/>
  <c r="H134" i="14" s="1"/>
  <c r="C197" i="8"/>
  <c r="D197" i="8" s="1"/>
  <c r="C275" i="14" l="1"/>
  <c r="D274" i="14"/>
  <c r="P272" i="14"/>
  <c r="M273" i="14"/>
  <c r="K273" i="14"/>
  <c r="N273" i="14"/>
  <c r="L273" i="14"/>
  <c r="G141" i="9"/>
  <c r="E140" i="9"/>
  <c r="F140" i="9" s="1"/>
  <c r="H140" i="9" s="1"/>
  <c r="M140" i="9"/>
  <c r="O134" i="14"/>
  <c r="F197" i="8"/>
  <c r="E198" i="8"/>
  <c r="I197" i="8"/>
  <c r="K140" i="9" l="1"/>
  <c r="N274" i="14"/>
  <c r="M274" i="14"/>
  <c r="K274" i="14"/>
  <c r="L274" i="14"/>
  <c r="P273" i="14"/>
  <c r="C276" i="14"/>
  <c r="D275" i="14"/>
  <c r="J140" i="9"/>
  <c r="L140" i="9"/>
  <c r="I140" i="9"/>
  <c r="O140" i="9"/>
  <c r="N140" i="9"/>
  <c r="H197" i="8"/>
  <c r="E135" i="14"/>
  <c r="I135" i="14"/>
  <c r="J135" i="14"/>
  <c r="G136" i="14"/>
  <c r="C198" i="8"/>
  <c r="D198" i="8" s="1"/>
  <c r="F198" i="8"/>
  <c r="G198" i="8" l="1"/>
  <c r="H198" i="8" s="1"/>
  <c r="P274" i="14"/>
  <c r="C141" i="9"/>
  <c r="D141" i="9" s="1"/>
  <c r="M141" i="9" s="1"/>
  <c r="M275" i="14"/>
  <c r="L275" i="14"/>
  <c r="K275" i="14"/>
  <c r="N275" i="14"/>
  <c r="C277" i="14"/>
  <c r="D276" i="14"/>
  <c r="P140" i="9"/>
  <c r="F135" i="14"/>
  <c r="H135" i="14" s="1"/>
  <c r="E199" i="8"/>
  <c r="G199" i="8" s="1"/>
  <c r="I198" i="8"/>
  <c r="E141" i="9" l="1"/>
  <c r="F141" i="9" s="1"/>
  <c r="O141" i="9" s="1"/>
  <c r="G142" i="9"/>
  <c r="P275" i="14"/>
  <c r="N276" i="14"/>
  <c r="K276" i="14"/>
  <c r="M276" i="14"/>
  <c r="L276" i="14"/>
  <c r="C278" i="14"/>
  <c r="D277" i="14"/>
  <c r="O135" i="14"/>
  <c r="C199" i="8"/>
  <c r="D199" i="8" s="1"/>
  <c r="N141" i="9" l="1"/>
  <c r="J141" i="9"/>
  <c r="I141" i="9"/>
  <c r="L141" i="9"/>
  <c r="K141" i="9"/>
  <c r="H141" i="9"/>
  <c r="M277" i="14"/>
  <c r="L277" i="14"/>
  <c r="N277" i="14"/>
  <c r="K277" i="14"/>
  <c r="P276" i="14"/>
  <c r="C279" i="14"/>
  <c r="D278" i="14"/>
  <c r="F199" i="8"/>
  <c r="E136" i="14"/>
  <c r="I136" i="14"/>
  <c r="J136" i="14"/>
  <c r="G137" i="14"/>
  <c r="E200" i="8"/>
  <c r="I199" i="8"/>
  <c r="C142" i="9" l="1"/>
  <c r="D142" i="9" s="1"/>
  <c r="M142" i="9" s="1"/>
  <c r="P141" i="9"/>
  <c r="P277" i="14"/>
  <c r="K278" i="14"/>
  <c r="N278" i="14"/>
  <c r="L278" i="14"/>
  <c r="M278" i="14"/>
  <c r="C280" i="14"/>
  <c r="D279" i="14"/>
  <c r="H199" i="8"/>
  <c r="F136" i="14"/>
  <c r="H136" i="14" s="1"/>
  <c r="C200" i="8"/>
  <c r="D200" i="8" s="1"/>
  <c r="G200" i="8" l="1"/>
  <c r="E142" i="9"/>
  <c r="F142" i="9" s="1"/>
  <c r="H142" i="9" s="1"/>
  <c r="G143" i="9"/>
  <c r="L279" i="14"/>
  <c r="N279" i="14"/>
  <c r="K279" i="14"/>
  <c r="M279" i="14"/>
  <c r="D280" i="14"/>
  <c r="C281" i="14"/>
  <c r="P278" i="14"/>
  <c r="F200" i="8"/>
  <c r="O136" i="14"/>
  <c r="E201" i="8"/>
  <c r="I200" i="8"/>
  <c r="N142" i="9" l="1"/>
  <c r="L142" i="9"/>
  <c r="J142" i="9"/>
  <c r="I142" i="9"/>
  <c r="K142" i="9"/>
  <c r="O142" i="9"/>
  <c r="P279" i="14"/>
  <c r="D281" i="14"/>
  <c r="C282" i="14"/>
  <c r="N280" i="14"/>
  <c r="L280" i="14"/>
  <c r="M280" i="14"/>
  <c r="K280" i="14"/>
  <c r="H200" i="8"/>
  <c r="E137" i="14"/>
  <c r="I137" i="14"/>
  <c r="J137" i="14"/>
  <c r="G138" i="14"/>
  <c r="C201" i="8"/>
  <c r="D201" i="8" s="1"/>
  <c r="G201" i="8" l="1"/>
  <c r="C143" i="9"/>
  <c r="D143" i="9" s="1"/>
  <c r="M143" i="9" s="1"/>
  <c r="P142" i="9"/>
  <c r="P280" i="14"/>
  <c r="D282" i="14"/>
  <c r="C283" i="14"/>
  <c r="M281" i="14"/>
  <c r="K281" i="14"/>
  <c r="L281" i="14"/>
  <c r="N281" i="14"/>
  <c r="F201" i="8"/>
  <c r="F137" i="14"/>
  <c r="H137" i="14" s="1"/>
  <c r="E202" i="8"/>
  <c r="I201" i="8"/>
  <c r="E143" i="9" l="1"/>
  <c r="F143" i="9" s="1"/>
  <c r="H143" i="9" s="1"/>
  <c r="G144" i="9"/>
  <c r="K143" i="9"/>
  <c r="C284" i="14"/>
  <c r="D283" i="14"/>
  <c r="M282" i="14"/>
  <c r="L282" i="14"/>
  <c r="N282" i="14"/>
  <c r="K282" i="14"/>
  <c r="P281" i="14"/>
  <c r="H201" i="8"/>
  <c r="O137" i="14"/>
  <c r="C202" i="8"/>
  <c r="D202" i="8" s="1"/>
  <c r="L143" i="9" l="1"/>
  <c r="J143" i="9"/>
  <c r="I143" i="9"/>
  <c r="N143" i="9"/>
  <c r="G202" i="8"/>
  <c r="O143" i="9"/>
  <c r="P282" i="14"/>
  <c r="N283" i="14"/>
  <c r="L283" i="14"/>
  <c r="M283" i="14"/>
  <c r="K283" i="14"/>
  <c r="C285" i="14"/>
  <c r="D284" i="14"/>
  <c r="F202" i="8"/>
  <c r="E138" i="14"/>
  <c r="I138" i="14"/>
  <c r="J138" i="14"/>
  <c r="G139" i="14"/>
  <c r="E203" i="8"/>
  <c r="I202" i="8"/>
  <c r="P143" i="9" l="1"/>
  <c r="C144" i="9"/>
  <c r="D144" i="9" s="1"/>
  <c r="M144" i="9" s="1"/>
  <c r="P283" i="14"/>
  <c r="K284" i="14"/>
  <c r="N284" i="14"/>
  <c r="M284" i="14"/>
  <c r="L284" i="14"/>
  <c r="D285" i="14"/>
  <c r="C286" i="14"/>
  <c r="H202" i="8"/>
  <c r="F138" i="14"/>
  <c r="H138" i="14" s="1"/>
  <c r="C203" i="8"/>
  <c r="D203" i="8" s="1"/>
  <c r="F203" i="8" l="1"/>
  <c r="J144" i="9"/>
  <c r="G145" i="9"/>
  <c r="I144" i="9"/>
  <c r="E144" i="9"/>
  <c r="F144" i="9" s="1"/>
  <c r="O144" i="9" s="1"/>
  <c r="L144" i="9"/>
  <c r="G203" i="8"/>
  <c r="C287" i="14"/>
  <c r="D286" i="14"/>
  <c r="M285" i="14"/>
  <c r="L285" i="14"/>
  <c r="N285" i="14"/>
  <c r="K285" i="14"/>
  <c r="P284" i="14"/>
  <c r="O138" i="14"/>
  <c r="E204" i="8"/>
  <c r="I203" i="8"/>
  <c r="K144" i="9" l="1"/>
  <c r="N144" i="9"/>
  <c r="H203" i="8"/>
  <c r="H144" i="9"/>
  <c r="C145" i="9" s="1"/>
  <c r="D145" i="9" s="1"/>
  <c r="E145" i="9" s="1"/>
  <c r="F145" i="9" s="1"/>
  <c r="P285" i="14"/>
  <c r="K286" i="14"/>
  <c r="M286" i="14"/>
  <c r="N286" i="14"/>
  <c r="L286" i="14"/>
  <c r="C288" i="14"/>
  <c r="D287" i="14"/>
  <c r="E139" i="14"/>
  <c r="I139" i="14"/>
  <c r="J139" i="14"/>
  <c r="G140" i="14"/>
  <c r="C204" i="8"/>
  <c r="D204" i="8" s="1"/>
  <c r="P144" i="9" l="1"/>
  <c r="M145" i="9"/>
  <c r="G146" i="9"/>
  <c r="G204" i="8"/>
  <c r="K145" i="9"/>
  <c r="M287" i="14"/>
  <c r="N287" i="14"/>
  <c r="L287" i="14"/>
  <c r="K287" i="14"/>
  <c r="C289" i="14"/>
  <c r="D288" i="14"/>
  <c r="P286" i="14"/>
  <c r="N145" i="9"/>
  <c r="I145" i="9"/>
  <c r="L145" i="9"/>
  <c r="J145" i="9"/>
  <c r="H145" i="9"/>
  <c r="O145" i="9"/>
  <c r="F139" i="14"/>
  <c r="H139" i="14" s="1"/>
  <c r="F204" i="8"/>
  <c r="E205" i="8"/>
  <c r="I204" i="8"/>
  <c r="P287" i="14" l="1"/>
  <c r="P145" i="9"/>
  <c r="N288" i="14"/>
  <c r="K288" i="14"/>
  <c r="L288" i="14"/>
  <c r="M288" i="14"/>
  <c r="C290" i="14"/>
  <c r="D289" i="14"/>
  <c r="C146" i="9"/>
  <c r="D146" i="9" s="1"/>
  <c r="H204" i="8"/>
  <c r="O139" i="14"/>
  <c r="C205" i="8"/>
  <c r="D205" i="8" s="1"/>
  <c r="G205" i="8" l="1"/>
  <c r="F205" i="8"/>
  <c r="P288" i="14"/>
  <c r="M289" i="14"/>
  <c r="N289" i="14"/>
  <c r="L289" i="14"/>
  <c r="K289" i="14"/>
  <c r="C291" i="14"/>
  <c r="D290" i="14"/>
  <c r="M146" i="9"/>
  <c r="G147" i="9"/>
  <c r="E146" i="9"/>
  <c r="F146" i="9" s="1"/>
  <c r="K146" i="9"/>
  <c r="E140" i="14"/>
  <c r="I140" i="14"/>
  <c r="J140" i="14"/>
  <c r="G141" i="14"/>
  <c r="I205" i="8"/>
  <c r="E206" i="8"/>
  <c r="H205" i="8" l="1"/>
  <c r="L146" i="9"/>
  <c r="I146" i="9"/>
  <c r="J146" i="9"/>
  <c r="P289" i="14"/>
  <c r="M290" i="14"/>
  <c r="N290" i="14"/>
  <c r="L290" i="14"/>
  <c r="K290" i="14"/>
  <c r="D291" i="14"/>
  <c r="C292" i="14"/>
  <c r="N146" i="9"/>
  <c r="H146" i="9"/>
  <c r="O146" i="9"/>
  <c r="F140" i="14"/>
  <c r="H140" i="14" s="1"/>
  <c r="C206" i="8"/>
  <c r="D206" i="8" s="1"/>
  <c r="E207" i="8" s="1"/>
  <c r="G206" i="8" l="1"/>
  <c r="P146" i="9"/>
  <c r="C147" i="9"/>
  <c r="D147" i="9" s="1"/>
  <c r="P290" i="14"/>
  <c r="D292" i="14"/>
  <c r="C293" i="14"/>
  <c r="N291" i="14"/>
  <c r="L291" i="14"/>
  <c r="M291" i="14"/>
  <c r="K291" i="14"/>
  <c r="F206" i="8"/>
  <c r="O140" i="14"/>
  <c r="C207" i="8"/>
  <c r="D207" i="8" s="1"/>
  <c r="I207" i="8" s="1"/>
  <c r="I206" i="8"/>
  <c r="G207" i="8" l="1"/>
  <c r="P291" i="14"/>
  <c r="D293" i="14"/>
  <c r="C294" i="14"/>
  <c r="M292" i="14"/>
  <c r="K292" i="14"/>
  <c r="N292" i="14"/>
  <c r="L292" i="14"/>
  <c r="H206" i="8"/>
  <c r="I147" i="9"/>
  <c r="J147" i="9"/>
  <c r="E147" i="9"/>
  <c r="F147" i="9" s="1"/>
  <c r="L147" i="9"/>
  <c r="K147" i="9"/>
  <c r="G148" i="9"/>
  <c r="M147" i="9"/>
  <c r="E141" i="14"/>
  <c r="I141" i="14"/>
  <c r="J141" i="14"/>
  <c r="G142" i="14"/>
  <c r="F207" i="8"/>
  <c r="E208" i="8"/>
  <c r="P292" i="14" l="1"/>
  <c r="H207" i="8"/>
  <c r="D294" i="14"/>
  <c r="C295" i="14"/>
  <c r="M293" i="14"/>
  <c r="K293" i="14"/>
  <c r="L293" i="14"/>
  <c r="N293" i="14"/>
  <c r="N147" i="9"/>
  <c r="P147" i="9" s="1"/>
  <c r="H147" i="9"/>
  <c r="C148" i="9" s="1"/>
  <c r="O147" i="9"/>
  <c r="F141" i="14"/>
  <c r="H141" i="14" s="1"/>
  <c r="C208" i="8"/>
  <c r="D208" i="8" s="1"/>
  <c r="G208" i="8" l="1"/>
  <c r="P293" i="14"/>
  <c r="C296" i="14"/>
  <c r="D295" i="14"/>
  <c r="K294" i="14"/>
  <c r="M294" i="14"/>
  <c r="N294" i="14"/>
  <c r="L294" i="14"/>
  <c r="F208" i="8"/>
  <c r="D148" i="9"/>
  <c r="O141" i="14"/>
  <c r="I208" i="8"/>
  <c r="E209" i="8"/>
  <c r="P294" i="14" l="1"/>
  <c r="N295" i="14"/>
  <c r="L295" i="14"/>
  <c r="M295" i="14"/>
  <c r="K295" i="14"/>
  <c r="C297" i="14"/>
  <c r="D296" i="14"/>
  <c r="H208" i="8"/>
  <c r="I148" i="9"/>
  <c r="J148" i="9"/>
  <c r="G149" i="9"/>
  <c r="M148" i="9"/>
  <c r="L148" i="9"/>
  <c r="E148" i="9"/>
  <c r="F148" i="9" s="1"/>
  <c r="E142" i="14"/>
  <c r="I142" i="14"/>
  <c r="J142" i="14"/>
  <c r="G143" i="14"/>
  <c r="C209" i="8"/>
  <c r="D209" i="8" s="1"/>
  <c r="E210" i="8" s="1"/>
  <c r="K148" i="9" l="1"/>
  <c r="G209" i="8"/>
  <c r="P295" i="14"/>
  <c r="M296" i="14"/>
  <c r="K296" i="14"/>
  <c r="N296" i="14"/>
  <c r="L296" i="14"/>
  <c r="D297" i="14"/>
  <c r="C298" i="14"/>
  <c r="N148" i="9"/>
  <c r="H148" i="9"/>
  <c r="C149" i="9" s="1"/>
  <c r="O148" i="9"/>
  <c r="F142" i="14"/>
  <c r="H142" i="14" s="1"/>
  <c r="F209" i="8"/>
  <c r="F210" i="8"/>
  <c r="C210" i="8"/>
  <c r="D210" i="8" s="1"/>
  <c r="E211" i="8" s="1"/>
  <c r="I209" i="8"/>
  <c r="P148" i="9" l="1"/>
  <c r="G210" i="8"/>
  <c r="H210" i="8" s="1"/>
  <c r="H209" i="8"/>
  <c r="D298" i="14"/>
  <c r="C299" i="14"/>
  <c r="P296" i="14"/>
  <c r="K297" i="14"/>
  <c r="L297" i="14"/>
  <c r="M297" i="14"/>
  <c r="N297" i="14"/>
  <c r="D149" i="9"/>
  <c r="O142" i="14"/>
  <c r="C211" i="8"/>
  <c r="D211" i="8" s="1"/>
  <c r="E212" i="8" s="1"/>
  <c r="I210" i="8"/>
  <c r="G211" i="8" l="1"/>
  <c r="P297" i="14"/>
  <c r="C300" i="14"/>
  <c r="D299" i="14"/>
  <c r="M298" i="14"/>
  <c r="K298" i="14"/>
  <c r="L298" i="14"/>
  <c r="N298" i="14"/>
  <c r="E149" i="9"/>
  <c r="F149" i="9" s="1"/>
  <c r="M149" i="9"/>
  <c r="G150" i="9"/>
  <c r="F211" i="8"/>
  <c r="E143" i="14"/>
  <c r="I143" i="14"/>
  <c r="J143" i="14"/>
  <c r="G144" i="14"/>
  <c r="C212" i="8"/>
  <c r="D212" i="8" s="1"/>
  <c r="I212" i="8" s="1"/>
  <c r="I211" i="8"/>
  <c r="L149" i="9" l="1"/>
  <c r="I149" i="9"/>
  <c r="J149" i="9"/>
  <c r="G212" i="8"/>
  <c r="H211" i="8"/>
  <c r="K149" i="9"/>
  <c r="P298" i="14"/>
  <c r="L299" i="14"/>
  <c r="K299" i="14"/>
  <c r="M299" i="14"/>
  <c r="N299" i="14"/>
  <c r="D300" i="14"/>
  <c r="C301" i="14"/>
  <c r="F212" i="8"/>
  <c r="N149" i="9"/>
  <c r="H149" i="9"/>
  <c r="C150" i="9" s="1"/>
  <c r="D150" i="9" s="1"/>
  <c r="O149" i="9"/>
  <c r="F143" i="14"/>
  <c r="H143" i="14" s="1"/>
  <c r="E213" i="8"/>
  <c r="P149" i="9" l="1"/>
  <c r="P299" i="14"/>
  <c r="D301" i="14"/>
  <c r="C302" i="14"/>
  <c r="N300" i="14"/>
  <c r="K300" i="14"/>
  <c r="L300" i="14"/>
  <c r="M300" i="14"/>
  <c r="H212" i="8"/>
  <c r="M150" i="9"/>
  <c r="G151" i="9"/>
  <c r="E150" i="9"/>
  <c r="F150" i="9" s="1"/>
  <c r="O150" i="9" s="1"/>
  <c r="O143" i="14"/>
  <c r="C213" i="8"/>
  <c r="D213" i="8" s="1"/>
  <c r="E214" i="8" s="1"/>
  <c r="G213" i="8" l="1"/>
  <c r="J150" i="9"/>
  <c r="L150" i="9"/>
  <c r="I150" i="9"/>
  <c r="P300" i="14"/>
  <c r="C303" i="14"/>
  <c r="D302" i="14"/>
  <c r="M301" i="14"/>
  <c r="K301" i="14"/>
  <c r="N301" i="14"/>
  <c r="L301" i="14"/>
  <c r="N150" i="9"/>
  <c r="H150" i="9"/>
  <c r="K150" i="9"/>
  <c r="E144" i="14"/>
  <c r="I144" i="14"/>
  <c r="J144" i="14"/>
  <c r="G145" i="14"/>
  <c r="F213" i="8"/>
  <c r="C214" i="8"/>
  <c r="D214" i="8" s="1"/>
  <c r="I214" i="8" s="1"/>
  <c r="I213" i="8"/>
  <c r="G214" i="8" l="1"/>
  <c r="H213" i="8"/>
  <c r="C151" i="9"/>
  <c r="D151" i="9" s="1"/>
  <c r="G152" i="9" s="1"/>
  <c r="P301" i="14"/>
  <c r="L302" i="14"/>
  <c r="K302" i="14"/>
  <c r="M302" i="14"/>
  <c r="N302" i="14"/>
  <c r="C304" i="14"/>
  <c r="D303" i="14"/>
  <c r="F214" i="8"/>
  <c r="P150" i="9"/>
  <c r="F144" i="14"/>
  <c r="H144" i="14" s="1"/>
  <c r="E215" i="8"/>
  <c r="E151" i="9" l="1"/>
  <c r="F151" i="9" s="1"/>
  <c r="H151" i="9" s="1"/>
  <c r="M151" i="9"/>
  <c r="L303" i="14"/>
  <c r="M303" i="14"/>
  <c r="N303" i="14"/>
  <c r="K303" i="14"/>
  <c r="P302" i="14"/>
  <c r="C305" i="14"/>
  <c r="D304" i="14"/>
  <c r="H214" i="8"/>
  <c r="L151" i="9"/>
  <c r="J151" i="9"/>
  <c r="I151" i="9"/>
  <c r="O144" i="14"/>
  <c r="C215" i="8"/>
  <c r="D215" i="8" s="1"/>
  <c r="N151" i="9" l="1"/>
  <c r="K151" i="9"/>
  <c r="G215" i="8"/>
  <c r="O151" i="9"/>
  <c r="P303" i="14"/>
  <c r="N304" i="14"/>
  <c r="K304" i="14"/>
  <c r="L304" i="14"/>
  <c r="M304" i="14"/>
  <c r="C306" i="14"/>
  <c r="D305" i="14"/>
  <c r="C152" i="9"/>
  <c r="E145" i="14"/>
  <c r="I145" i="14"/>
  <c r="J145" i="14"/>
  <c r="G146" i="14"/>
  <c r="F215" i="8"/>
  <c r="E216" i="8"/>
  <c r="I215" i="8"/>
  <c r="P151" i="9" l="1"/>
  <c r="K305" i="14"/>
  <c r="L305" i="14"/>
  <c r="M305" i="14"/>
  <c r="N305" i="14"/>
  <c r="P304" i="14"/>
  <c r="C307" i="14"/>
  <c r="D306" i="14"/>
  <c r="H215" i="8"/>
  <c r="D152" i="9"/>
  <c r="F145" i="14"/>
  <c r="H145" i="14" s="1"/>
  <c r="C216" i="8"/>
  <c r="D216" i="8" s="1"/>
  <c r="G216" i="8" l="1"/>
  <c r="F216" i="8"/>
  <c r="P305" i="14"/>
  <c r="K306" i="14"/>
  <c r="M306" i="14"/>
  <c r="L306" i="14"/>
  <c r="N306" i="14"/>
  <c r="D307" i="14"/>
  <c r="C308" i="14"/>
  <c r="M152" i="9"/>
  <c r="E152" i="9"/>
  <c r="F152" i="9" s="1"/>
  <c r="G153" i="9"/>
  <c r="O145" i="14"/>
  <c r="E217" i="8"/>
  <c r="I216" i="8"/>
  <c r="H216" i="8" l="1"/>
  <c r="P306" i="14"/>
  <c r="N152" i="9"/>
  <c r="C309" i="14"/>
  <c r="D308" i="14"/>
  <c r="M307" i="14"/>
  <c r="K307" i="14"/>
  <c r="L307" i="14"/>
  <c r="N307" i="14"/>
  <c r="K152" i="9"/>
  <c r="L152" i="9"/>
  <c r="J152" i="9"/>
  <c r="I152" i="9"/>
  <c r="H152" i="9"/>
  <c r="O152" i="9"/>
  <c r="E146" i="14"/>
  <c r="I146" i="14"/>
  <c r="J146" i="14"/>
  <c r="G147" i="14"/>
  <c r="C217" i="8"/>
  <c r="D217" i="8" s="1"/>
  <c r="G217" i="8" l="1"/>
  <c r="P307" i="14"/>
  <c r="M308" i="14"/>
  <c r="K308" i="14"/>
  <c r="N308" i="14"/>
  <c r="L308" i="14"/>
  <c r="C310" i="14"/>
  <c r="D309" i="14"/>
  <c r="P152" i="9"/>
  <c r="C153" i="9"/>
  <c r="D153" i="9" s="1"/>
  <c r="F217" i="8"/>
  <c r="F146" i="14"/>
  <c r="H146" i="14" s="1"/>
  <c r="E218" i="8"/>
  <c r="I217" i="8"/>
  <c r="H217" i="8" l="1"/>
  <c r="P308" i="14"/>
  <c r="L309" i="14"/>
  <c r="M309" i="14"/>
  <c r="N309" i="14"/>
  <c r="K309" i="14"/>
  <c r="C311" i="14"/>
  <c r="D310" i="14"/>
  <c r="M153" i="9"/>
  <c r="G154" i="9"/>
  <c r="E153" i="9"/>
  <c r="F153" i="9" s="1"/>
  <c r="O146" i="14"/>
  <c r="C218" i="8"/>
  <c r="D218" i="8" s="1"/>
  <c r="F218" i="8" l="1"/>
  <c r="G218" i="8"/>
  <c r="P309" i="14"/>
  <c r="L310" i="14"/>
  <c r="K310" i="14"/>
  <c r="N310" i="14"/>
  <c r="M310" i="14"/>
  <c r="D311" i="14"/>
  <c r="C312" i="14"/>
  <c r="N153" i="9"/>
  <c r="K153" i="9"/>
  <c r="L153" i="9"/>
  <c r="J153" i="9"/>
  <c r="I153" i="9"/>
  <c r="H153" i="9"/>
  <c r="O153" i="9"/>
  <c r="E147" i="14"/>
  <c r="I147" i="14"/>
  <c r="J147" i="14"/>
  <c r="G148" i="14"/>
  <c r="I218" i="8"/>
  <c r="E219" i="8"/>
  <c r="H218" i="8" l="1"/>
  <c r="D312" i="14"/>
  <c r="C313" i="14"/>
  <c r="P310" i="14"/>
  <c r="K311" i="14"/>
  <c r="L311" i="14"/>
  <c r="M311" i="14"/>
  <c r="N311" i="14"/>
  <c r="P153" i="9"/>
  <c r="C154" i="9"/>
  <c r="D154" i="9" s="1"/>
  <c r="F147" i="14"/>
  <c r="H147" i="14" s="1"/>
  <c r="C219" i="8"/>
  <c r="D219" i="8" s="1"/>
  <c r="F219" i="8" l="1"/>
  <c r="G219" i="8"/>
  <c r="P311" i="14"/>
  <c r="C314" i="14"/>
  <c r="D313" i="14"/>
  <c r="K312" i="14"/>
  <c r="M312" i="14"/>
  <c r="L312" i="14"/>
  <c r="N312" i="14"/>
  <c r="G155" i="9"/>
  <c r="M154" i="9"/>
  <c r="E154" i="9"/>
  <c r="F154" i="9" s="1"/>
  <c r="L154" i="9"/>
  <c r="O147" i="14"/>
  <c r="E220" i="8"/>
  <c r="I219" i="8"/>
  <c r="K154" i="9" l="1"/>
  <c r="H219" i="8"/>
  <c r="P312" i="14"/>
  <c r="M313" i="14"/>
  <c r="N313" i="14"/>
  <c r="L313" i="14"/>
  <c r="K313" i="14"/>
  <c r="C315" i="14"/>
  <c r="D314" i="14"/>
  <c r="N154" i="9"/>
  <c r="J154" i="9"/>
  <c r="I154" i="9"/>
  <c r="H154" i="9"/>
  <c r="O154" i="9"/>
  <c r="E148" i="14"/>
  <c r="I148" i="14"/>
  <c r="J148" i="14"/>
  <c r="G149" i="14"/>
  <c r="C220" i="8"/>
  <c r="D220" i="8" s="1"/>
  <c r="P154" i="9" l="1"/>
  <c r="F220" i="8"/>
  <c r="G220" i="8"/>
  <c r="P313" i="14"/>
  <c r="M314" i="14"/>
  <c r="N314" i="14"/>
  <c r="K314" i="14"/>
  <c r="L314" i="14"/>
  <c r="C316" i="14"/>
  <c r="D315" i="14"/>
  <c r="C155" i="9"/>
  <c r="D155" i="9" s="1"/>
  <c r="F148" i="14"/>
  <c r="H148" i="14" s="1"/>
  <c r="E221" i="8"/>
  <c r="I220" i="8"/>
  <c r="H220" i="8" l="1"/>
  <c r="P314" i="14"/>
  <c r="L315" i="14"/>
  <c r="K315" i="14"/>
  <c r="M315" i="14"/>
  <c r="N315" i="14"/>
  <c r="C317" i="14"/>
  <c r="D316" i="14"/>
  <c r="G156" i="9"/>
  <c r="M155" i="9"/>
  <c r="E155" i="9"/>
  <c r="F155" i="9" s="1"/>
  <c r="O148" i="14"/>
  <c r="C221" i="8"/>
  <c r="D221" i="8" s="1"/>
  <c r="K155" i="9" l="1"/>
  <c r="L155" i="9"/>
  <c r="J155" i="9"/>
  <c r="I155" i="9"/>
  <c r="G221" i="8"/>
  <c r="F221" i="8"/>
  <c r="P315" i="14"/>
  <c r="K316" i="14"/>
  <c r="N316" i="14"/>
  <c r="L316" i="14"/>
  <c r="M316" i="14"/>
  <c r="D317" i="14"/>
  <c r="C318" i="14"/>
  <c r="N155" i="9"/>
  <c r="H155" i="9"/>
  <c r="O155" i="9"/>
  <c r="E149" i="14"/>
  <c r="I149" i="14"/>
  <c r="J149" i="14"/>
  <c r="G150" i="14"/>
  <c r="E222" i="8"/>
  <c r="I221" i="8"/>
  <c r="P155" i="9" l="1"/>
  <c r="C156" i="9"/>
  <c r="D156" i="9" s="1"/>
  <c r="H221" i="8"/>
  <c r="P316" i="14"/>
  <c r="C319" i="14"/>
  <c r="D318" i="14"/>
  <c r="M317" i="14"/>
  <c r="N317" i="14"/>
  <c r="L317" i="14"/>
  <c r="K317" i="14"/>
  <c r="F149" i="14"/>
  <c r="H149" i="14" s="1"/>
  <c r="C222" i="8"/>
  <c r="D222" i="8" s="1"/>
  <c r="E223" i="8" s="1"/>
  <c r="F222" i="8"/>
  <c r="G222" i="8" l="1"/>
  <c r="H222" i="8" s="1"/>
  <c r="P317" i="14"/>
  <c r="K318" i="14"/>
  <c r="N318" i="14"/>
  <c r="L318" i="14"/>
  <c r="M318" i="14"/>
  <c r="D319" i="14"/>
  <c r="C320" i="14"/>
  <c r="G157" i="9"/>
  <c r="E156" i="9"/>
  <c r="F156" i="9" s="1"/>
  <c r="M156" i="9"/>
  <c r="O149" i="14"/>
  <c r="C223" i="8"/>
  <c r="D223" i="8" s="1"/>
  <c r="I223" i="8" s="1"/>
  <c r="I222" i="8"/>
  <c r="G223" i="8" l="1"/>
  <c r="I156" i="9"/>
  <c r="L156" i="9"/>
  <c r="J156" i="9"/>
  <c r="F223" i="8"/>
  <c r="K156" i="9"/>
  <c r="D320" i="14"/>
  <c r="C321" i="14"/>
  <c r="K319" i="14"/>
  <c r="M319" i="14"/>
  <c r="N319" i="14"/>
  <c r="L319" i="14"/>
  <c r="P318" i="14"/>
  <c r="N156" i="9"/>
  <c r="H156" i="9"/>
  <c r="O156" i="9"/>
  <c r="E150" i="14"/>
  <c r="I150" i="14"/>
  <c r="J150" i="14"/>
  <c r="G151" i="14"/>
  <c r="E224" i="8"/>
  <c r="H223" i="8" l="1"/>
  <c r="C157" i="9"/>
  <c r="D157" i="9" s="1"/>
  <c r="E157" i="9" s="1"/>
  <c r="F157" i="9" s="1"/>
  <c r="O157" i="9" s="1"/>
  <c r="P156" i="9"/>
  <c r="P319" i="14"/>
  <c r="D321" i="14"/>
  <c r="C322" i="14"/>
  <c r="K320" i="14"/>
  <c r="L320" i="14"/>
  <c r="M320" i="14"/>
  <c r="N320" i="14"/>
  <c r="F150" i="14"/>
  <c r="H150" i="14" s="1"/>
  <c r="C224" i="8"/>
  <c r="D224" i="8" s="1"/>
  <c r="F224" i="8"/>
  <c r="M157" i="9" l="1"/>
  <c r="G158" i="9"/>
  <c r="G224" i="8"/>
  <c r="H224" i="8" s="1"/>
  <c r="J157" i="9"/>
  <c r="L157" i="9"/>
  <c r="I157" i="9"/>
  <c r="P320" i="14"/>
  <c r="D322" i="14"/>
  <c r="C323" i="14"/>
  <c r="L321" i="14"/>
  <c r="M321" i="14"/>
  <c r="N321" i="14"/>
  <c r="K321" i="14"/>
  <c r="N157" i="9"/>
  <c r="H157" i="9"/>
  <c r="K157" i="9"/>
  <c r="O150" i="14"/>
  <c r="E225" i="8"/>
  <c r="G225" i="8" s="1"/>
  <c r="I224" i="8"/>
  <c r="C158" i="9" l="1"/>
  <c r="D158" i="9" s="1"/>
  <c r="G159" i="9" s="1"/>
  <c r="P321" i="14"/>
  <c r="D323" i="14"/>
  <c r="C324" i="14"/>
  <c r="K322" i="14"/>
  <c r="M322" i="14"/>
  <c r="N322" i="14"/>
  <c r="L322" i="14"/>
  <c r="P157" i="9"/>
  <c r="E151" i="14"/>
  <c r="I151" i="14"/>
  <c r="J151" i="14"/>
  <c r="G152" i="14"/>
  <c r="C225" i="8"/>
  <c r="D225" i="8" s="1"/>
  <c r="F225" i="8" l="1"/>
  <c r="H225" i="8" s="1"/>
  <c r="E158" i="9"/>
  <c r="F158" i="9" s="1"/>
  <c r="H158" i="9" s="1"/>
  <c r="M158" i="9"/>
  <c r="P322" i="14"/>
  <c r="D324" i="14"/>
  <c r="C325" i="14"/>
  <c r="L323" i="14"/>
  <c r="M323" i="14"/>
  <c r="N323" i="14"/>
  <c r="K323" i="14"/>
  <c r="L158" i="9"/>
  <c r="J158" i="9"/>
  <c r="I158" i="9"/>
  <c r="F151" i="14"/>
  <c r="H151" i="14" s="1"/>
  <c r="E226" i="8"/>
  <c r="I225" i="8"/>
  <c r="N158" i="9" l="1"/>
  <c r="K158" i="9"/>
  <c r="O158" i="9"/>
  <c r="P323" i="14"/>
  <c r="D325" i="14"/>
  <c r="C326" i="14"/>
  <c r="M324" i="14"/>
  <c r="K324" i="14"/>
  <c r="N324" i="14"/>
  <c r="L324" i="14"/>
  <c r="C159" i="9"/>
  <c r="O151" i="14"/>
  <c r="C226" i="8"/>
  <c r="D226" i="8" s="1"/>
  <c r="P158" i="9" l="1"/>
  <c r="G226" i="8"/>
  <c r="F226" i="8"/>
  <c r="P324" i="14"/>
  <c r="C327" i="14"/>
  <c r="D326" i="14"/>
  <c r="N325" i="14"/>
  <c r="K325" i="14"/>
  <c r="M325" i="14"/>
  <c r="L325" i="14"/>
  <c r="D159" i="9"/>
  <c r="E152" i="14"/>
  <c r="I152" i="14"/>
  <c r="J152" i="14"/>
  <c r="G153" i="14"/>
  <c r="E227" i="8"/>
  <c r="I226" i="8"/>
  <c r="H226" i="8" l="1"/>
  <c r="P325" i="14"/>
  <c r="L326" i="14"/>
  <c r="K326" i="14"/>
  <c r="M326" i="14"/>
  <c r="N326" i="14"/>
  <c r="D327" i="14"/>
  <c r="C328" i="14"/>
  <c r="G160" i="9"/>
  <c r="E159" i="9"/>
  <c r="F159" i="9" s="1"/>
  <c r="F152" i="14"/>
  <c r="H152" i="14" s="1"/>
  <c r="C227" i="8"/>
  <c r="D227" i="8" s="1"/>
  <c r="G227" i="8" l="1"/>
  <c r="F227" i="8"/>
  <c r="N159" i="9"/>
  <c r="C329" i="14"/>
  <c r="D328" i="14"/>
  <c r="P326" i="14"/>
  <c r="L327" i="14"/>
  <c r="N327" i="14"/>
  <c r="M327" i="14"/>
  <c r="K327" i="14"/>
  <c r="K159" i="9"/>
  <c r="L159" i="9"/>
  <c r="J159" i="9"/>
  <c r="I159" i="9"/>
  <c r="M159" i="9"/>
  <c r="H159" i="9"/>
  <c r="O159" i="9"/>
  <c r="O152" i="14"/>
  <c r="E228" i="8"/>
  <c r="I227" i="8"/>
  <c r="H227" i="8" l="1"/>
  <c r="P327" i="14"/>
  <c r="L328" i="14"/>
  <c r="M328" i="14"/>
  <c r="N328" i="14"/>
  <c r="K328" i="14"/>
  <c r="D329" i="14"/>
  <c r="C330" i="14"/>
  <c r="P159" i="9"/>
  <c r="C160" i="9"/>
  <c r="D160" i="9" s="1"/>
  <c r="E153" i="14"/>
  <c r="I153" i="14"/>
  <c r="J153" i="14"/>
  <c r="G154" i="14"/>
  <c r="C228" i="8"/>
  <c r="D228" i="8" s="1"/>
  <c r="F228" i="8"/>
  <c r="G228" i="8" l="1"/>
  <c r="H228" i="8" s="1"/>
  <c r="P328" i="14"/>
  <c r="C331" i="14"/>
  <c r="D330" i="14"/>
  <c r="N329" i="14"/>
  <c r="K329" i="14"/>
  <c r="L329" i="14"/>
  <c r="M329" i="14"/>
  <c r="G161" i="9"/>
  <c r="M160" i="9"/>
  <c r="E160" i="9"/>
  <c r="F160" i="9" s="1"/>
  <c r="F153" i="14"/>
  <c r="H153" i="14" s="1"/>
  <c r="E229" i="8"/>
  <c r="G229" i="8" s="1"/>
  <c r="I228" i="8"/>
  <c r="P329" i="14" l="1"/>
  <c r="N330" i="14"/>
  <c r="K330" i="14"/>
  <c r="M330" i="14"/>
  <c r="L330" i="14"/>
  <c r="C332" i="14"/>
  <c r="D331" i="14"/>
  <c r="N160" i="9"/>
  <c r="K160" i="9"/>
  <c r="L160" i="9"/>
  <c r="J160" i="9"/>
  <c r="I160" i="9"/>
  <c r="H160" i="9"/>
  <c r="O160" i="9"/>
  <c r="O153" i="14"/>
  <c r="C229" i="8"/>
  <c r="D229" i="8" s="1"/>
  <c r="F229" i="8" l="1"/>
  <c r="H229" i="8" s="1"/>
  <c r="L331" i="14"/>
  <c r="M331" i="14"/>
  <c r="K331" i="14"/>
  <c r="N331" i="14"/>
  <c r="P330" i="14"/>
  <c r="C333" i="14"/>
  <c r="D332" i="14"/>
  <c r="P160" i="9"/>
  <c r="C161" i="9"/>
  <c r="D161" i="9" s="1"/>
  <c r="E154" i="14"/>
  <c r="I154" i="14"/>
  <c r="J154" i="14"/>
  <c r="G155" i="14"/>
  <c r="E230" i="8"/>
  <c r="I229" i="8"/>
  <c r="P331" i="14" l="1"/>
  <c r="N332" i="14"/>
  <c r="M332" i="14"/>
  <c r="K332" i="14"/>
  <c r="L332" i="14"/>
  <c r="C334" i="14"/>
  <c r="D333" i="14"/>
  <c r="M161" i="9"/>
  <c r="G162" i="9"/>
  <c r="E161" i="9"/>
  <c r="F161" i="9" s="1"/>
  <c r="L161" i="9"/>
  <c r="F154" i="14"/>
  <c r="H154" i="14" s="1"/>
  <c r="C230" i="8"/>
  <c r="D230" i="8" s="1"/>
  <c r="F230" i="8"/>
  <c r="K161" i="9" l="1"/>
  <c r="G230" i="8"/>
  <c r="H230" i="8" s="1"/>
  <c r="P332" i="14"/>
  <c r="L333" i="14"/>
  <c r="N333" i="14"/>
  <c r="M333" i="14"/>
  <c r="K333" i="14"/>
  <c r="C335" i="14"/>
  <c r="D334" i="14"/>
  <c r="J161" i="9"/>
  <c r="I161" i="9"/>
  <c r="N161" i="9"/>
  <c r="H161" i="9"/>
  <c r="O161" i="9"/>
  <c r="O154" i="14"/>
  <c r="E231" i="8"/>
  <c r="I230" i="8"/>
  <c r="P161" i="9" l="1"/>
  <c r="P333" i="14"/>
  <c r="M334" i="14"/>
  <c r="N334" i="14"/>
  <c r="L334" i="14"/>
  <c r="K334" i="14"/>
  <c r="C336" i="14"/>
  <c r="D335" i="14"/>
  <c r="C162" i="9"/>
  <c r="D162" i="9" s="1"/>
  <c r="E155" i="14"/>
  <c r="I155" i="14"/>
  <c r="J155" i="14"/>
  <c r="G156" i="14"/>
  <c r="C231" i="8"/>
  <c r="D231" i="8" s="1"/>
  <c r="G231" i="8" l="1"/>
  <c r="F231" i="8"/>
  <c r="P334" i="14"/>
  <c r="L335" i="14"/>
  <c r="M335" i="14"/>
  <c r="K335" i="14"/>
  <c r="N335" i="14"/>
  <c r="C337" i="14"/>
  <c r="D336" i="14"/>
  <c r="M162" i="9"/>
  <c r="E162" i="9"/>
  <c r="F162" i="9" s="1"/>
  <c r="G163" i="9"/>
  <c r="K162" i="9"/>
  <c r="F155" i="14"/>
  <c r="H155" i="14" s="1"/>
  <c r="E232" i="8"/>
  <c r="I231" i="8"/>
  <c r="H231" i="8" l="1"/>
  <c r="L162" i="9"/>
  <c r="J162" i="9"/>
  <c r="I162" i="9"/>
  <c r="P335" i="14"/>
  <c r="L336" i="14"/>
  <c r="K336" i="14"/>
  <c r="M336" i="14"/>
  <c r="N336" i="14"/>
  <c r="C338" i="14"/>
  <c r="D337" i="14"/>
  <c r="N162" i="9"/>
  <c r="H162" i="9"/>
  <c r="O162" i="9"/>
  <c r="O155" i="14"/>
  <c r="C232" i="8"/>
  <c r="D232" i="8" s="1"/>
  <c r="F232" i="8"/>
  <c r="G232" i="8" l="1"/>
  <c r="H232" i="8" s="1"/>
  <c r="P162" i="9"/>
  <c r="C163" i="9"/>
  <c r="D163" i="9" s="1"/>
  <c r="P336" i="14"/>
  <c r="M337" i="14"/>
  <c r="N337" i="14"/>
  <c r="L337" i="14"/>
  <c r="K337" i="14"/>
  <c r="C339" i="14"/>
  <c r="D338" i="14"/>
  <c r="E156" i="14"/>
  <c r="I156" i="14"/>
  <c r="J156" i="14"/>
  <c r="G157" i="14"/>
  <c r="E233" i="8"/>
  <c r="I232" i="8"/>
  <c r="P337" i="14" l="1"/>
  <c r="M338" i="14"/>
  <c r="N338" i="14"/>
  <c r="K338" i="14"/>
  <c r="L338" i="14"/>
  <c r="C340" i="14"/>
  <c r="D339" i="14"/>
  <c r="I163" i="9"/>
  <c r="J163" i="9"/>
  <c r="G164" i="9"/>
  <c r="M163" i="9"/>
  <c r="L163" i="9"/>
  <c r="E163" i="9"/>
  <c r="F163" i="9" s="1"/>
  <c r="F156" i="14"/>
  <c r="H156" i="14" s="1"/>
  <c r="F233" i="8"/>
  <c r="C233" i="8"/>
  <c r="D233" i="8" s="1"/>
  <c r="G233" i="8" l="1"/>
  <c r="H233" i="8" s="1"/>
  <c r="K163" i="9"/>
  <c r="P338" i="14"/>
  <c r="N339" i="14"/>
  <c r="K339" i="14"/>
  <c r="M339" i="14"/>
  <c r="L339" i="14"/>
  <c r="C341" i="14"/>
  <c r="D340" i="14"/>
  <c r="N163" i="9"/>
  <c r="H163" i="9"/>
  <c r="C164" i="9" s="1"/>
  <c r="O163" i="9"/>
  <c r="O156" i="14"/>
  <c r="E234" i="8"/>
  <c r="G234" i="8" s="1"/>
  <c r="I233" i="8"/>
  <c r="P163" i="9" l="1"/>
  <c r="P339" i="14"/>
  <c r="K340" i="14"/>
  <c r="N340" i="14"/>
  <c r="L340" i="14"/>
  <c r="M340" i="14"/>
  <c r="C342" i="14"/>
  <c r="D341" i="14"/>
  <c r="D164" i="9"/>
  <c r="E157" i="14"/>
  <c r="I157" i="14"/>
  <c r="J157" i="14"/>
  <c r="G158" i="14"/>
  <c r="C234" i="8"/>
  <c r="D234" i="8" s="1"/>
  <c r="E235" i="8" s="1"/>
  <c r="F234" i="8" l="1"/>
  <c r="H234" i="8" s="1"/>
  <c r="P340" i="14"/>
  <c r="M341" i="14"/>
  <c r="N341" i="14"/>
  <c r="K341" i="14"/>
  <c r="L341" i="14"/>
  <c r="C343" i="14"/>
  <c r="D342" i="14"/>
  <c r="G165" i="9"/>
  <c r="E164" i="9"/>
  <c r="F164" i="9" s="1"/>
  <c r="M164" i="9"/>
  <c r="F157" i="14"/>
  <c r="H157" i="14" s="1"/>
  <c r="C235" i="8"/>
  <c r="D235" i="8" s="1"/>
  <c r="I235" i="8" s="1"/>
  <c r="F235" i="8"/>
  <c r="I234" i="8"/>
  <c r="L164" i="9" l="1"/>
  <c r="G235" i="8"/>
  <c r="H235" i="8" s="1"/>
  <c r="I164" i="9"/>
  <c r="J164" i="9"/>
  <c r="P341" i="14"/>
  <c r="K164" i="9"/>
  <c r="K342" i="14"/>
  <c r="N342" i="14"/>
  <c r="M342" i="14"/>
  <c r="L342" i="14"/>
  <c r="C344" i="14"/>
  <c r="D343" i="14"/>
  <c r="N164" i="9"/>
  <c r="H164" i="9"/>
  <c r="O164" i="9"/>
  <c r="O157" i="14"/>
  <c r="E236" i="8"/>
  <c r="C165" i="9" l="1"/>
  <c r="D165" i="9" s="1"/>
  <c r="P164" i="9"/>
  <c r="P342" i="14"/>
  <c r="K343" i="14"/>
  <c r="N343" i="14"/>
  <c r="L343" i="14"/>
  <c r="M343" i="14"/>
  <c r="D344" i="14"/>
  <c r="C345" i="14"/>
  <c r="E158" i="14"/>
  <c r="I158" i="14"/>
  <c r="J158" i="14"/>
  <c r="G159" i="14"/>
  <c r="C236" i="8"/>
  <c r="D236" i="8" s="1"/>
  <c r="F236" i="8"/>
  <c r="G236" i="8" l="1"/>
  <c r="H236" i="8" s="1"/>
  <c r="P343" i="14"/>
  <c r="C346" i="14"/>
  <c r="D345" i="14"/>
  <c r="M344" i="14"/>
  <c r="L344" i="14"/>
  <c r="N344" i="14"/>
  <c r="K344" i="14"/>
  <c r="E165" i="9"/>
  <c r="F165" i="9" s="1"/>
  <c r="M165" i="9"/>
  <c r="G166" i="9"/>
  <c r="F158" i="14"/>
  <c r="H158" i="14" s="1"/>
  <c r="E237" i="8"/>
  <c r="G237" i="8" s="1"/>
  <c r="I236" i="8"/>
  <c r="J165" i="9" l="1"/>
  <c r="I165" i="9"/>
  <c r="L165" i="9"/>
  <c r="K165" i="9"/>
  <c r="P344" i="14"/>
  <c r="N345" i="14"/>
  <c r="K345" i="14"/>
  <c r="L345" i="14"/>
  <c r="M345" i="14"/>
  <c r="C347" i="14"/>
  <c r="D346" i="14"/>
  <c r="N165" i="9"/>
  <c r="H165" i="9"/>
  <c r="O165" i="9"/>
  <c r="O158" i="14"/>
  <c r="C237" i="8"/>
  <c r="D237" i="8" s="1"/>
  <c r="F237" i="8" l="1"/>
  <c r="H237" i="8" s="1"/>
  <c r="C166" i="9"/>
  <c r="D166" i="9" s="1"/>
  <c r="P165" i="9"/>
  <c r="K346" i="14"/>
  <c r="L346" i="14"/>
  <c r="N346" i="14"/>
  <c r="M346" i="14"/>
  <c r="P345" i="14"/>
  <c r="C348" i="14"/>
  <c r="D347" i="14"/>
  <c r="E159" i="14"/>
  <c r="I159" i="14"/>
  <c r="J159" i="14"/>
  <c r="G160" i="14"/>
  <c r="E238" i="8"/>
  <c r="I237" i="8"/>
  <c r="P346" i="14" l="1"/>
  <c r="K347" i="14"/>
  <c r="N347" i="14"/>
  <c r="L347" i="14"/>
  <c r="M347" i="14"/>
  <c r="C349" i="14"/>
  <c r="D348" i="14"/>
  <c r="E166" i="9"/>
  <c r="F166" i="9" s="1"/>
  <c r="M166" i="9"/>
  <c r="G167" i="9"/>
  <c r="F159" i="14"/>
  <c r="H159" i="14" s="1"/>
  <c r="C238" i="8"/>
  <c r="D238" i="8" s="1"/>
  <c r="F238" i="8"/>
  <c r="G238" i="8" l="1"/>
  <c r="H238" i="8" s="1"/>
  <c r="N166" i="9"/>
  <c r="I166" i="9"/>
  <c r="L166" i="9"/>
  <c r="P347" i="14"/>
  <c r="J166" i="9"/>
  <c r="K166" i="9"/>
  <c r="L348" i="14"/>
  <c r="M348" i="14"/>
  <c r="N348" i="14"/>
  <c r="K348" i="14"/>
  <c r="C350" i="14"/>
  <c r="D349" i="14"/>
  <c r="H166" i="9"/>
  <c r="O166" i="9"/>
  <c r="O159" i="14"/>
  <c r="E239" i="8"/>
  <c r="G239" i="8" s="1"/>
  <c r="I238" i="8"/>
  <c r="P166" i="9" l="1"/>
  <c r="C167" i="9"/>
  <c r="D167" i="9" s="1"/>
  <c r="P348" i="14"/>
  <c r="N349" i="14"/>
  <c r="K349" i="14"/>
  <c r="M349" i="14"/>
  <c r="L349" i="14"/>
  <c r="C351" i="14"/>
  <c r="D350" i="14"/>
  <c r="E160" i="14"/>
  <c r="I160" i="14"/>
  <c r="J160" i="14"/>
  <c r="G161" i="14"/>
  <c r="C239" i="8"/>
  <c r="D239" i="8" s="1"/>
  <c r="F239" i="8" l="1"/>
  <c r="H239" i="8" s="1"/>
  <c r="M167" i="9"/>
  <c r="E167" i="9"/>
  <c r="F167" i="9" s="1"/>
  <c r="O167" i="9" s="1"/>
  <c r="G168" i="9"/>
  <c r="P349" i="14"/>
  <c r="N350" i="14"/>
  <c r="L350" i="14"/>
  <c r="M350" i="14"/>
  <c r="K350" i="14"/>
  <c r="D351" i="14"/>
  <c r="C352" i="14"/>
  <c r="F160" i="14"/>
  <c r="H160" i="14" s="1"/>
  <c r="E240" i="8"/>
  <c r="I239" i="8"/>
  <c r="I167" i="9" l="1"/>
  <c r="J167" i="9"/>
  <c r="K167" i="9"/>
  <c r="N167" i="9"/>
  <c r="L167" i="9"/>
  <c r="H167" i="9"/>
  <c r="P350" i="14"/>
  <c r="C353" i="14"/>
  <c r="D352" i="14"/>
  <c r="K351" i="14"/>
  <c r="L351" i="14"/>
  <c r="N351" i="14"/>
  <c r="M351" i="14"/>
  <c r="O160" i="14"/>
  <c r="C240" i="8"/>
  <c r="D240" i="8" s="1"/>
  <c r="F240" i="8"/>
  <c r="G240" i="8" l="1"/>
  <c r="H240" i="8" s="1"/>
  <c r="C168" i="9"/>
  <c r="D168" i="9" s="1"/>
  <c r="M168" i="9" s="1"/>
  <c r="P167" i="9"/>
  <c r="P351" i="14"/>
  <c r="L352" i="14"/>
  <c r="N352" i="14"/>
  <c r="M352" i="14"/>
  <c r="K352" i="14"/>
  <c r="C354" i="14"/>
  <c r="D353" i="14"/>
  <c r="E161" i="14"/>
  <c r="I161" i="14"/>
  <c r="J161" i="14"/>
  <c r="G162" i="14"/>
  <c r="E241" i="8"/>
  <c r="G241" i="8" s="1"/>
  <c r="I240" i="8"/>
  <c r="J168" i="9" l="1"/>
  <c r="L168" i="9"/>
  <c r="G169" i="9"/>
  <c r="I168" i="9"/>
  <c r="E168" i="9"/>
  <c r="F168" i="9" s="1"/>
  <c r="H168" i="9" s="1"/>
  <c r="P352" i="14"/>
  <c r="K353" i="14"/>
  <c r="N353" i="14"/>
  <c r="L353" i="14"/>
  <c r="M353" i="14"/>
  <c r="D354" i="14"/>
  <c r="C355" i="14"/>
  <c r="F161" i="14"/>
  <c r="H161" i="14" s="1"/>
  <c r="C241" i="8"/>
  <c r="D241" i="8" s="1"/>
  <c r="N168" i="9" l="1"/>
  <c r="F241" i="8"/>
  <c r="H241" i="8" s="1"/>
  <c r="K168" i="9"/>
  <c r="C169" i="9"/>
  <c r="D169" i="9" s="1"/>
  <c r="O168" i="9"/>
  <c r="D355" i="14"/>
  <c r="C356" i="14"/>
  <c r="L354" i="14"/>
  <c r="N354" i="14"/>
  <c r="M354" i="14"/>
  <c r="K354" i="14"/>
  <c r="P353" i="14"/>
  <c r="O161" i="14"/>
  <c r="E242" i="8"/>
  <c r="I241" i="8"/>
  <c r="P168" i="9" l="1"/>
  <c r="P354" i="14"/>
  <c r="C357" i="14"/>
  <c r="D356" i="14"/>
  <c r="K355" i="14"/>
  <c r="N355" i="14"/>
  <c r="L355" i="14"/>
  <c r="M355" i="14"/>
  <c r="M169" i="9"/>
  <c r="G170" i="9"/>
  <c r="E169" i="9"/>
  <c r="F169" i="9" s="1"/>
  <c r="E162" i="14"/>
  <c r="I162" i="14"/>
  <c r="J162" i="14"/>
  <c r="G163" i="14"/>
  <c r="C242" i="8"/>
  <c r="D242" i="8" s="1"/>
  <c r="F242" i="8"/>
  <c r="G242" i="8" l="1"/>
  <c r="H242" i="8" s="1"/>
  <c r="P355" i="14"/>
  <c r="N169" i="9"/>
  <c r="M356" i="14"/>
  <c r="K356" i="14"/>
  <c r="N356" i="14"/>
  <c r="L356" i="14"/>
  <c r="C358" i="14"/>
  <c r="D357" i="14"/>
  <c r="K169" i="9"/>
  <c r="L169" i="9"/>
  <c r="J169" i="9"/>
  <c r="I169" i="9"/>
  <c r="H169" i="9"/>
  <c r="O169" i="9"/>
  <c r="F162" i="14"/>
  <c r="H162" i="14" s="1"/>
  <c r="E243" i="8"/>
  <c r="G243" i="8" s="1"/>
  <c r="I242" i="8"/>
  <c r="N357" i="14" l="1"/>
  <c r="K357" i="14"/>
  <c r="L357" i="14"/>
  <c r="M357" i="14"/>
  <c r="P356" i="14"/>
  <c r="D358" i="14"/>
  <c r="C359" i="14"/>
  <c r="P169" i="9"/>
  <c r="C170" i="9"/>
  <c r="D170" i="9" s="1"/>
  <c r="O162" i="14"/>
  <c r="C243" i="8"/>
  <c r="D243" i="8" s="1"/>
  <c r="F243" i="8"/>
  <c r="C360" i="14" l="1"/>
  <c r="D359" i="14"/>
  <c r="N358" i="14"/>
  <c r="K358" i="14"/>
  <c r="L358" i="14"/>
  <c r="M358" i="14"/>
  <c r="P357" i="14"/>
  <c r="M170" i="9"/>
  <c r="E170" i="9"/>
  <c r="F170" i="9" s="1"/>
  <c r="G171" i="9"/>
  <c r="E163" i="14"/>
  <c r="I163" i="14"/>
  <c r="J163" i="14"/>
  <c r="G164" i="14"/>
  <c r="H243" i="8"/>
  <c r="E244" i="8"/>
  <c r="I243" i="8"/>
  <c r="P358" i="14" l="1"/>
  <c r="N170" i="9"/>
  <c r="L359" i="14"/>
  <c r="M359" i="14"/>
  <c r="N359" i="14"/>
  <c r="K359" i="14"/>
  <c r="C361" i="14"/>
  <c r="D360" i="14"/>
  <c r="K170" i="9"/>
  <c r="L170" i="9"/>
  <c r="J170" i="9"/>
  <c r="I170" i="9"/>
  <c r="H170" i="9"/>
  <c r="O170" i="9"/>
  <c r="F163" i="14"/>
  <c r="H163" i="14" s="1"/>
  <c r="C244" i="8"/>
  <c r="D244" i="8" s="1"/>
  <c r="F244" i="8"/>
  <c r="G244" i="8" l="1"/>
  <c r="H244" i="8" s="1"/>
  <c r="P359" i="14"/>
  <c r="L360" i="14"/>
  <c r="N360" i="14"/>
  <c r="M360" i="14"/>
  <c r="K360" i="14"/>
  <c r="C362" i="14"/>
  <c r="D361" i="14"/>
  <c r="P170" i="9"/>
  <c r="C171" i="9"/>
  <c r="D171" i="9" s="1"/>
  <c r="O163" i="14"/>
  <c r="E245" i="8"/>
  <c r="G245" i="8" s="1"/>
  <c r="I244" i="8"/>
  <c r="P360" i="14" l="1"/>
  <c r="N361" i="14"/>
  <c r="M361" i="14"/>
  <c r="K361" i="14"/>
  <c r="L361" i="14"/>
  <c r="D362" i="14"/>
  <c r="C363" i="14"/>
  <c r="G172" i="9"/>
  <c r="M171" i="9"/>
  <c r="E171" i="9"/>
  <c r="F171" i="9" s="1"/>
  <c r="E164" i="14"/>
  <c r="I164" i="14"/>
  <c r="J164" i="14"/>
  <c r="G165" i="14"/>
  <c r="C245" i="8"/>
  <c r="D245" i="8" s="1"/>
  <c r="F245" i="8" l="1"/>
  <c r="H245" i="8" s="1"/>
  <c r="P361" i="14"/>
  <c r="K171" i="9"/>
  <c r="C364" i="14"/>
  <c r="D363" i="14"/>
  <c r="N362" i="14"/>
  <c r="M362" i="14"/>
  <c r="K362" i="14"/>
  <c r="L362" i="14"/>
  <c r="L171" i="9"/>
  <c r="J171" i="9"/>
  <c r="I171" i="9"/>
  <c r="N171" i="9"/>
  <c r="H171" i="9"/>
  <c r="O171" i="9"/>
  <c r="F164" i="14"/>
  <c r="H164" i="14" s="1"/>
  <c r="E246" i="8"/>
  <c r="G246" i="8" s="1"/>
  <c r="I245" i="8"/>
  <c r="P362" i="14" l="1"/>
  <c r="M363" i="14"/>
  <c r="K363" i="14"/>
  <c r="N363" i="14"/>
  <c r="L363" i="14"/>
  <c r="C365" i="14"/>
  <c r="D364" i="14"/>
  <c r="P171" i="9"/>
  <c r="C172" i="9"/>
  <c r="D172" i="9" s="1"/>
  <c r="O164" i="14"/>
  <c r="C246" i="8"/>
  <c r="D246" i="8" s="1"/>
  <c r="F246" i="8"/>
  <c r="N364" i="14" l="1"/>
  <c r="K364" i="14"/>
  <c r="M364" i="14"/>
  <c r="L364" i="14"/>
  <c r="P363" i="14"/>
  <c r="C366" i="14"/>
  <c r="D365" i="14"/>
  <c r="M172" i="9"/>
  <c r="G173" i="9"/>
  <c r="E172" i="9"/>
  <c r="F172" i="9" s="1"/>
  <c r="E165" i="14"/>
  <c r="I165" i="14"/>
  <c r="J165" i="14"/>
  <c r="G166" i="14"/>
  <c r="H246" i="8"/>
  <c r="E247" i="8"/>
  <c r="G247" i="8" s="1"/>
  <c r="I246" i="8"/>
  <c r="I172" i="9" l="1"/>
  <c r="L172" i="9"/>
  <c r="J172" i="9"/>
  <c r="K172" i="9"/>
  <c r="N365" i="14"/>
  <c r="K365" i="14"/>
  <c r="M365" i="14"/>
  <c r="L365" i="14"/>
  <c r="C367" i="14"/>
  <c r="D366" i="14"/>
  <c r="P364" i="14"/>
  <c r="N172" i="9"/>
  <c r="H172" i="9"/>
  <c r="O172" i="9"/>
  <c r="F165" i="14"/>
  <c r="H165" i="14" s="1"/>
  <c r="C247" i="8"/>
  <c r="D247" i="8" s="1"/>
  <c r="F247" i="8"/>
  <c r="P172" i="9" l="1"/>
  <c r="C173" i="9"/>
  <c r="D173" i="9" s="1"/>
  <c r="P365" i="14"/>
  <c r="L366" i="14"/>
  <c r="K366" i="14"/>
  <c r="M366" i="14"/>
  <c r="N366" i="14"/>
  <c r="D367" i="14"/>
  <c r="C368" i="14"/>
  <c r="O165" i="14"/>
  <c r="H247" i="8"/>
  <c r="E248" i="8"/>
  <c r="G248" i="8" s="1"/>
  <c r="I247" i="8"/>
  <c r="P366" i="14" l="1"/>
  <c r="C369" i="14"/>
  <c r="D368" i="14"/>
  <c r="K367" i="14"/>
  <c r="L367" i="14"/>
  <c r="M367" i="14"/>
  <c r="N367" i="14"/>
  <c r="I173" i="9"/>
  <c r="E173" i="9"/>
  <c r="F173" i="9" s="1"/>
  <c r="K173" i="9"/>
  <c r="M173" i="9"/>
  <c r="G174" i="9"/>
  <c r="E166" i="14"/>
  <c r="I166" i="14"/>
  <c r="J166" i="14"/>
  <c r="G167" i="14"/>
  <c r="F248" i="8"/>
  <c r="C248" i="8"/>
  <c r="D248" i="8" s="1"/>
  <c r="L173" i="9" l="1"/>
  <c r="J173" i="9"/>
  <c r="P367" i="14"/>
  <c r="M368" i="14"/>
  <c r="L368" i="14"/>
  <c r="N368" i="14"/>
  <c r="K368" i="14"/>
  <c r="C370" i="14"/>
  <c r="D369" i="14"/>
  <c r="N173" i="9"/>
  <c r="H173" i="9"/>
  <c r="O173" i="9"/>
  <c r="F166" i="14"/>
  <c r="H166" i="14" s="1"/>
  <c r="E249" i="8"/>
  <c r="G249" i="8" s="1"/>
  <c r="I248" i="8"/>
  <c r="H248" i="8"/>
  <c r="P173" i="9" l="1"/>
  <c r="C174" i="9"/>
  <c r="D174" i="9" s="1"/>
  <c r="M174" i="9" s="1"/>
  <c r="P368" i="14"/>
  <c r="L369" i="14"/>
  <c r="K369" i="14"/>
  <c r="M369" i="14"/>
  <c r="N369" i="14"/>
  <c r="D370" i="14"/>
  <c r="C371" i="14"/>
  <c r="O166" i="14"/>
  <c r="F249" i="8"/>
  <c r="C249" i="8"/>
  <c r="D249" i="8" s="1"/>
  <c r="G175" i="9" l="1"/>
  <c r="E174" i="9"/>
  <c r="F174" i="9" s="1"/>
  <c r="O174" i="9" s="1"/>
  <c r="J174" i="9"/>
  <c r="L174" i="9"/>
  <c r="I174" i="9"/>
  <c r="C372" i="14"/>
  <c r="D371" i="14"/>
  <c r="P369" i="14"/>
  <c r="L370" i="14"/>
  <c r="M370" i="14"/>
  <c r="N370" i="14"/>
  <c r="K370" i="14"/>
  <c r="K174" i="9"/>
  <c r="I167" i="14"/>
  <c r="J167" i="14"/>
  <c r="E167" i="14"/>
  <c r="G168" i="14"/>
  <c r="E250" i="8"/>
  <c r="G250" i="8" s="1"/>
  <c r="I249" i="8"/>
  <c r="H249" i="8"/>
  <c r="N174" i="9" l="1"/>
  <c r="P174" i="9" s="1"/>
  <c r="H174" i="9"/>
  <c r="C175" i="9" s="1"/>
  <c r="D175" i="9" s="1"/>
  <c r="G176" i="9" s="1"/>
  <c r="P370" i="14"/>
  <c r="N371" i="14"/>
  <c r="L371" i="14"/>
  <c r="M371" i="14"/>
  <c r="K371" i="14"/>
  <c r="D372" i="14"/>
  <c r="C373" i="14"/>
  <c r="F167" i="14"/>
  <c r="H167" i="14" s="1"/>
  <c r="C250" i="8"/>
  <c r="D250" i="8" s="1"/>
  <c r="F250" i="8"/>
  <c r="E175" i="9" l="1"/>
  <c r="F175" i="9" s="1"/>
  <c r="O175" i="9" s="1"/>
  <c r="M175" i="9"/>
  <c r="P371" i="14"/>
  <c r="D373" i="14"/>
  <c r="C374" i="14"/>
  <c r="L372" i="14"/>
  <c r="M372" i="14"/>
  <c r="N372" i="14"/>
  <c r="K372" i="14"/>
  <c r="L175" i="9"/>
  <c r="J175" i="9"/>
  <c r="I175" i="9"/>
  <c r="K175" i="9"/>
  <c r="O167" i="14"/>
  <c r="H250" i="8"/>
  <c r="E251" i="8"/>
  <c r="G251" i="8" s="1"/>
  <c r="I250" i="8"/>
  <c r="N175" i="9" l="1"/>
  <c r="P175" i="9" s="1"/>
  <c r="H175" i="9"/>
  <c r="C176" i="9" s="1"/>
  <c r="P372" i="14"/>
  <c r="D374" i="14"/>
  <c r="C375" i="14"/>
  <c r="K373" i="14"/>
  <c r="L373" i="14"/>
  <c r="N373" i="14"/>
  <c r="M373" i="14"/>
  <c r="E168" i="14"/>
  <c r="I168" i="14"/>
  <c r="J168" i="14"/>
  <c r="G169" i="14"/>
  <c r="F251" i="8"/>
  <c r="C251" i="8"/>
  <c r="D251" i="8" s="1"/>
  <c r="P373" i="14" l="1"/>
  <c r="D375" i="14"/>
  <c r="C376" i="14"/>
  <c r="L374" i="14"/>
  <c r="K374" i="14"/>
  <c r="M374" i="14"/>
  <c r="N374" i="14"/>
  <c r="D176" i="9"/>
  <c r="F168" i="14"/>
  <c r="H168" i="14" s="1"/>
  <c r="H251" i="8"/>
  <c r="E252" i="8"/>
  <c r="G252" i="8" s="1"/>
  <c r="I251" i="8"/>
  <c r="P374" i="14" l="1"/>
  <c r="C377" i="14"/>
  <c r="D376" i="14"/>
  <c r="L375" i="14"/>
  <c r="M375" i="14"/>
  <c r="N375" i="14"/>
  <c r="K375" i="14"/>
  <c r="G177" i="9"/>
  <c r="E176" i="9"/>
  <c r="F176" i="9" s="1"/>
  <c r="O168" i="14"/>
  <c r="C252" i="8"/>
  <c r="D252" i="8" s="1"/>
  <c r="F252" i="8"/>
  <c r="N176" i="9" l="1"/>
  <c r="P375" i="14"/>
  <c r="K376" i="14"/>
  <c r="M376" i="14"/>
  <c r="L376" i="14"/>
  <c r="N376" i="14"/>
  <c r="D377" i="14"/>
  <c r="C378" i="14"/>
  <c r="K176" i="9"/>
  <c r="L176" i="9"/>
  <c r="J176" i="9"/>
  <c r="I176" i="9"/>
  <c r="H176" i="9"/>
  <c r="O176" i="9"/>
  <c r="M176" i="9"/>
  <c r="E169" i="14"/>
  <c r="I169" i="14"/>
  <c r="J169" i="14"/>
  <c r="G170" i="14"/>
  <c r="H252" i="8"/>
  <c r="E253" i="8"/>
  <c r="G253" i="8" s="1"/>
  <c r="I252" i="8"/>
  <c r="D378" i="14" l="1"/>
  <c r="C379" i="14"/>
  <c r="M377" i="14"/>
  <c r="K377" i="14"/>
  <c r="L377" i="14"/>
  <c r="N377" i="14"/>
  <c r="P376" i="14"/>
  <c r="P176" i="9"/>
  <c r="C177" i="9"/>
  <c r="D177" i="9" s="1"/>
  <c r="F169" i="14"/>
  <c r="H169" i="14" s="1"/>
  <c r="F253" i="8"/>
  <c r="C253" i="8"/>
  <c r="D253" i="8" s="1"/>
  <c r="P377" i="14" l="1"/>
  <c r="C380" i="14"/>
  <c r="D379" i="14"/>
  <c r="L378" i="14"/>
  <c r="M378" i="14"/>
  <c r="N378" i="14"/>
  <c r="K378" i="14"/>
  <c r="E177" i="9"/>
  <c r="F177" i="9" s="1"/>
  <c r="M177" i="9"/>
  <c r="G178" i="9"/>
  <c r="N177" i="9"/>
  <c r="O169" i="14"/>
  <c r="E254" i="8"/>
  <c r="G254" i="8" s="1"/>
  <c r="I253" i="8"/>
  <c r="H253" i="8"/>
  <c r="K177" i="9" l="1"/>
  <c r="P378" i="14"/>
  <c r="M379" i="14"/>
  <c r="K379" i="14"/>
  <c r="N379" i="14"/>
  <c r="L379" i="14"/>
  <c r="C381" i="14"/>
  <c r="D380" i="14"/>
  <c r="L177" i="9"/>
  <c r="J177" i="9"/>
  <c r="I177" i="9"/>
  <c r="H177" i="9"/>
  <c r="O177" i="9"/>
  <c r="E170" i="14"/>
  <c r="I170" i="14"/>
  <c r="J170" i="14"/>
  <c r="G171" i="14"/>
  <c r="C254" i="8"/>
  <c r="D254" i="8" s="1"/>
  <c r="F254" i="8"/>
  <c r="P177" i="9" l="1"/>
  <c r="P379" i="14"/>
  <c r="M380" i="14"/>
  <c r="N380" i="14"/>
  <c r="L380" i="14"/>
  <c r="K380" i="14"/>
  <c r="C382" i="14"/>
  <c r="D381" i="14"/>
  <c r="C178" i="9"/>
  <c r="D178" i="9" s="1"/>
  <c r="F170" i="14"/>
  <c r="H170" i="14" s="1"/>
  <c r="H254" i="8"/>
  <c r="E255" i="8"/>
  <c r="G255" i="8" s="1"/>
  <c r="I254" i="8"/>
  <c r="P380" i="14" l="1"/>
  <c r="N381" i="14"/>
  <c r="K381" i="14"/>
  <c r="L381" i="14"/>
  <c r="M381" i="14"/>
  <c r="D382" i="14"/>
  <c r="C383" i="14"/>
  <c r="M178" i="9"/>
  <c r="E178" i="9"/>
  <c r="F178" i="9" s="1"/>
  <c r="G179" i="9"/>
  <c r="O170" i="14"/>
  <c r="F255" i="8"/>
  <c r="C255" i="8"/>
  <c r="D255" i="8" s="1"/>
  <c r="K178" i="9" l="1"/>
  <c r="P381" i="14"/>
  <c r="D383" i="14"/>
  <c r="C384" i="14"/>
  <c r="N382" i="14"/>
  <c r="L382" i="14"/>
  <c r="M382" i="14"/>
  <c r="K382" i="14"/>
  <c r="L178" i="9"/>
  <c r="J178" i="9"/>
  <c r="I178" i="9"/>
  <c r="N178" i="9"/>
  <c r="H178" i="9"/>
  <c r="O178" i="9"/>
  <c r="E171" i="14"/>
  <c r="I171" i="14"/>
  <c r="J171" i="14"/>
  <c r="G172" i="14"/>
  <c r="H255" i="8"/>
  <c r="E256" i="8"/>
  <c r="G256" i="8" s="1"/>
  <c r="I255" i="8"/>
  <c r="P382" i="14" l="1"/>
  <c r="D384" i="14"/>
  <c r="C385" i="14"/>
  <c r="N383" i="14"/>
  <c r="K383" i="14"/>
  <c r="L383" i="14"/>
  <c r="M383" i="14"/>
  <c r="P178" i="9"/>
  <c r="C179" i="9"/>
  <c r="D179" i="9" s="1"/>
  <c r="F171" i="14"/>
  <c r="H171" i="14" s="1"/>
  <c r="F256" i="8"/>
  <c r="C256" i="8"/>
  <c r="D256" i="8" s="1"/>
  <c r="P383" i="14" l="1"/>
  <c r="C386" i="14"/>
  <c r="D385" i="14"/>
  <c r="M384" i="14"/>
  <c r="N384" i="14"/>
  <c r="L384" i="14"/>
  <c r="K384" i="14"/>
  <c r="E179" i="9"/>
  <c r="F179" i="9" s="1"/>
  <c r="G180" i="9"/>
  <c r="M179" i="9"/>
  <c r="O171" i="14"/>
  <c r="E257" i="8"/>
  <c r="G257" i="8" s="1"/>
  <c r="I256" i="8"/>
  <c r="H256" i="8"/>
  <c r="L179" i="9" l="1"/>
  <c r="I179" i="9"/>
  <c r="K179" i="9"/>
  <c r="J179" i="9"/>
  <c r="P384" i="14"/>
  <c r="L385" i="14"/>
  <c r="K385" i="14"/>
  <c r="M385" i="14"/>
  <c r="N385" i="14"/>
  <c r="C387" i="14"/>
  <c r="D386" i="14"/>
  <c r="N179" i="9"/>
  <c r="H179" i="9"/>
  <c r="O179" i="9"/>
  <c r="E172" i="14"/>
  <c r="I172" i="14"/>
  <c r="J172" i="14"/>
  <c r="G173" i="14"/>
  <c r="F257" i="8"/>
  <c r="C257" i="8"/>
  <c r="D257" i="8" s="1"/>
  <c r="P179" i="9" l="1"/>
  <c r="C180" i="9"/>
  <c r="D180" i="9" s="1"/>
  <c r="P385" i="14"/>
  <c r="L386" i="14"/>
  <c r="M386" i="14"/>
  <c r="N386" i="14"/>
  <c r="K386" i="14"/>
  <c r="C388" i="14"/>
  <c r="D387" i="14"/>
  <c r="F172" i="14"/>
  <c r="H172" i="14" s="1"/>
  <c r="H257" i="8"/>
  <c r="E258" i="8"/>
  <c r="G258" i="8" s="1"/>
  <c r="I257" i="8"/>
  <c r="P386" i="14" l="1"/>
  <c r="N387" i="14"/>
  <c r="K387" i="14"/>
  <c r="M387" i="14"/>
  <c r="L387" i="14"/>
  <c r="C389" i="14"/>
  <c r="D388" i="14"/>
  <c r="M180" i="9"/>
  <c r="G181" i="9"/>
  <c r="E180" i="9"/>
  <c r="F180" i="9" s="1"/>
  <c r="O172" i="14"/>
  <c r="C258" i="8"/>
  <c r="D258" i="8" s="1"/>
  <c r="F258" i="8"/>
  <c r="K180" i="9" l="1"/>
  <c r="I180" i="9"/>
  <c r="J180" i="9"/>
  <c r="L180" i="9"/>
  <c r="P387" i="14"/>
  <c r="N388" i="14"/>
  <c r="M388" i="14"/>
  <c r="K388" i="14"/>
  <c r="L388" i="14"/>
  <c r="C390" i="14"/>
  <c r="D389" i="14"/>
  <c r="N180" i="9"/>
  <c r="H180" i="9"/>
  <c r="O180" i="9"/>
  <c r="E173" i="14"/>
  <c r="I173" i="14"/>
  <c r="J173" i="14"/>
  <c r="G174" i="14"/>
  <c r="H258" i="8"/>
  <c r="E259" i="8"/>
  <c r="G259" i="8" s="1"/>
  <c r="I258" i="8"/>
  <c r="P180" i="9" l="1"/>
  <c r="C181" i="9"/>
  <c r="D181" i="9" s="1"/>
  <c r="P388" i="14"/>
  <c r="N389" i="14"/>
  <c r="K389" i="14"/>
  <c r="L389" i="14"/>
  <c r="M389" i="14"/>
  <c r="D390" i="14"/>
  <c r="C391" i="14"/>
  <c r="F173" i="14"/>
  <c r="H173" i="14" s="1"/>
  <c r="F259" i="8"/>
  <c r="C259" i="8"/>
  <c r="D259" i="8" s="1"/>
  <c r="P389" i="14" l="1"/>
  <c r="D391" i="14"/>
  <c r="C392" i="14"/>
  <c r="K390" i="14"/>
  <c r="L390" i="14"/>
  <c r="M390" i="14"/>
  <c r="N390" i="14"/>
  <c r="E181" i="9"/>
  <c r="F181" i="9" s="1"/>
  <c r="M181" i="9"/>
  <c r="G182" i="9"/>
  <c r="O173" i="14"/>
  <c r="E260" i="8"/>
  <c r="G260" i="8" s="1"/>
  <c r="I259" i="8"/>
  <c r="H259" i="8"/>
  <c r="I181" i="9" l="1"/>
  <c r="L181" i="9"/>
  <c r="J181" i="9"/>
  <c r="K181" i="9"/>
  <c r="P390" i="14"/>
  <c r="C393" i="14"/>
  <c r="D392" i="14"/>
  <c r="N391" i="14"/>
  <c r="L391" i="14"/>
  <c r="M391" i="14"/>
  <c r="K391" i="14"/>
  <c r="N181" i="9"/>
  <c r="H181" i="9"/>
  <c r="O181" i="9"/>
  <c r="E174" i="14"/>
  <c r="I174" i="14"/>
  <c r="J174" i="14"/>
  <c r="G175" i="14"/>
  <c r="C260" i="8"/>
  <c r="D260" i="8" s="1"/>
  <c r="F260" i="8"/>
  <c r="P181" i="9" l="1"/>
  <c r="C182" i="9"/>
  <c r="D182" i="9" s="1"/>
  <c r="P391" i="14"/>
  <c r="N392" i="14"/>
  <c r="M392" i="14"/>
  <c r="K392" i="14"/>
  <c r="L392" i="14"/>
  <c r="C394" i="14"/>
  <c r="D393" i="14"/>
  <c r="F174" i="14"/>
  <c r="H174" i="14" s="1"/>
  <c r="H260" i="8"/>
  <c r="E261" i="8"/>
  <c r="G261" i="8" s="1"/>
  <c r="I260" i="8"/>
  <c r="P392" i="14" l="1"/>
  <c r="M393" i="14"/>
  <c r="N393" i="14"/>
  <c r="K393" i="14"/>
  <c r="L393" i="14"/>
  <c r="D394" i="14"/>
  <c r="C395" i="14"/>
  <c r="G183" i="9"/>
  <c r="M182" i="9"/>
  <c r="E182" i="9"/>
  <c r="F182" i="9" s="1"/>
  <c r="O174" i="14"/>
  <c r="F261" i="8"/>
  <c r="C261" i="8"/>
  <c r="D261" i="8" s="1"/>
  <c r="I182" i="9" l="1"/>
  <c r="L182" i="9"/>
  <c r="J182" i="9"/>
  <c r="K182" i="9"/>
  <c r="P393" i="14"/>
  <c r="C396" i="14"/>
  <c r="D395" i="14"/>
  <c r="M394" i="14"/>
  <c r="N394" i="14"/>
  <c r="K394" i="14"/>
  <c r="L394" i="14"/>
  <c r="N182" i="9"/>
  <c r="H182" i="9"/>
  <c r="O182" i="9"/>
  <c r="E175" i="14"/>
  <c r="I175" i="14"/>
  <c r="J175" i="14"/>
  <c r="G176" i="14"/>
  <c r="E262" i="8"/>
  <c r="G262" i="8" s="1"/>
  <c r="I261" i="8"/>
  <c r="H261" i="8"/>
  <c r="P182" i="9" l="1"/>
  <c r="C183" i="9"/>
  <c r="D183" i="9" s="1"/>
  <c r="L395" i="14"/>
  <c r="M395" i="14"/>
  <c r="N395" i="14"/>
  <c r="K395" i="14"/>
  <c r="P394" i="14"/>
  <c r="C397" i="14"/>
  <c r="D396" i="14"/>
  <c r="F175" i="14"/>
  <c r="H175" i="14" s="1"/>
  <c r="C262" i="8"/>
  <c r="D262" i="8" s="1"/>
  <c r="F262" i="8"/>
  <c r="P395" i="14" l="1"/>
  <c r="M396" i="14"/>
  <c r="L396" i="14"/>
  <c r="N396" i="14"/>
  <c r="K396" i="14"/>
  <c r="D397" i="14"/>
  <c r="C398" i="14"/>
  <c r="I183" i="9"/>
  <c r="E183" i="9"/>
  <c r="F183" i="9" s="1"/>
  <c r="G184" i="9"/>
  <c r="M183" i="9"/>
  <c r="L183" i="9"/>
  <c r="N183" i="9"/>
  <c r="O175" i="14"/>
  <c r="H262" i="8"/>
  <c r="E263" i="8"/>
  <c r="G263" i="8" s="1"/>
  <c r="I262" i="8"/>
  <c r="K183" i="9" l="1"/>
  <c r="P183" i="9" s="1"/>
  <c r="J183" i="9"/>
  <c r="P396" i="14"/>
  <c r="C399" i="14"/>
  <c r="D398" i="14"/>
  <c r="M397" i="14"/>
  <c r="L397" i="14"/>
  <c r="K397" i="14"/>
  <c r="N397" i="14"/>
  <c r="H183" i="9"/>
  <c r="O183" i="9"/>
  <c r="E176" i="14"/>
  <c r="I176" i="14"/>
  <c r="J176" i="14"/>
  <c r="G177" i="14"/>
  <c r="F263" i="8"/>
  <c r="C263" i="8"/>
  <c r="D263" i="8" s="1"/>
  <c r="C184" i="9" l="1"/>
  <c r="K398" i="14"/>
  <c r="N398" i="14"/>
  <c r="L398" i="14"/>
  <c r="M398" i="14"/>
  <c r="P397" i="14"/>
  <c r="C400" i="14"/>
  <c r="D399" i="14"/>
  <c r="D184" i="9"/>
  <c r="F176" i="14"/>
  <c r="H176" i="14" s="1"/>
  <c r="E264" i="8"/>
  <c r="G264" i="8" s="1"/>
  <c r="I263" i="8"/>
  <c r="H263" i="8"/>
  <c r="P398" i="14" l="1"/>
  <c r="N399" i="14"/>
  <c r="K399" i="14"/>
  <c r="M399" i="14"/>
  <c r="L399" i="14"/>
  <c r="D400" i="14"/>
  <c r="C401" i="14"/>
  <c r="M184" i="9"/>
  <c r="E184" i="9"/>
  <c r="F184" i="9" s="1"/>
  <c r="G185" i="9"/>
  <c r="O176" i="14"/>
  <c r="C264" i="8"/>
  <c r="D264" i="8" s="1"/>
  <c r="E265" i="8" s="1"/>
  <c r="G265" i="8" s="1"/>
  <c r="F264" i="8"/>
  <c r="I184" i="9" l="1"/>
  <c r="L184" i="9"/>
  <c r="J184" i="9"/>
  <c r="K184" i="9"/>
  <c r="P399" i="14"/>
  <c r="C402" i="14"/>
  <c r="D401" i="14"/>
  <c r="K400" i="14"/>
  <c r="L400" i="14"/>
  <c r="N400" i="14"/>
  <c r="M400" i="14"/>
  <c r="N184" i="9"/>
  <c r="H184" i="9"/>
  <c r="O184" i="9"/>
  <c r="E177" i="14"/>
  <c r="J177" i="14"/>
  <c r="I177" i="14"/>
  <c r="G178" i="14"/>
  <c r="H264" i="8"/>
  <c r="F265" i="8"/>
  <c r="C265" i="8"/>
  <c r="D265" i="8" s="1"/>
  <c r="I265" i="8" s="1"/>
  <c r="I264" i="8"/>
  <c r="P184" i="9" l="1"/>
  <c r="C185" i="9"/>
  <c r="P400" i="14"/>
  <c r="K401" i="14"/>
  <c r="L401" i="14"/>
  <c r="M401" i="14"/>
  <c r="N401" i="14"/>
  <c r="C403" i="14"/>
  <c r="D402" i="14"/>
  <c r="D185" i="9"/>
  <c r="F177" i="14"/>
  <c r="H177" i="14" s="1"/>
  <c r="H265" i="8"/>
  <c r="E266" i="8"/>
  <c r="G266" i="8" s="1"/>
  <c r="P401" i="14" l="1"/>
  <c r="L402" i="14"/>
  <c r="M402" i="14"/>
  <c r="K402" i="14"/>
  <c r="N402" i="14"/>
  <c r="D403" i="14"/>
  <c r="C404" i="14"/>
  <c r="G186" i="9"/>
  <c r="M185" i="9"/>
  <c r="E185" i="9"/>
  <c r="F185" i="9" s="1"/>
  <c r="O177" i="14"/>
  <c r="C266" i="8"/>
  <c r="D266" i="8" s="1"/>
  <c r="F266" i="8"/>
  <c r="I185" i="9" l="1"/>
  <c r="L185" i="9"/>
  <c r="J185" i="9"/>
  <c r="K185" i="9"/>
  <c r="P402" i="14"/>
  <c r="C405" i="14"/>
  <c r="D404" i="14"/>
  <c r="L403" i="14"/>
  <c r="M403" i="14"/>
  <c r="K403" i="14"/>
  <c r="N403" i="14"/>
  <c r="N185" i="9"/>
  <c r="H185" i="9"/>
  <c r="O185" i="9"/>
  <c r="E178" i="14"/>
  <c r="J178" i="14"/>
  <c r="I178" i="14"/>
  <c r="G179" i="14"/>
  <c r="H266" i="8"/>
  <c r="I266" i="8"/>
  <c r="E267" i="8"/>
  <c r="G267" i="8" s="1"/>
  <c r="P185" i="9" l="1"/>
  <c r="C186" i="9"/>
  <c r="D186" i="9" s="1"/>
  <c r="P403" i="14"/>
  <c r="K404" i="14"/>
  <c r="N404" i="14"/>
  <c r="L404" i="14"/>
  <c r="M404" i="14"/>
  <c r="C406" i="14"/>
  <c r="D405" i="14"/>
  <c r="F178" i="14"/>
  <c r="H178" i="14" s="1"/>
  <c r="F267" i="8"/>
  <c r="C267" i="8"/>
  <c r="D267" i="8" s="1"/>
  <c r="L405" i="14" l="1"/>
  <c r="K405" i="14"/>
  <c r="M405" i="14"/>
  <c r="N405" i="14"/>
  <c r="C407" i="14"/>
  <c r="D406" i="14"/>
  <c r="P404" i="14"/>
  <c r="M186" i="9"/>
  <c r="G187" i="9"/>
  <c r="E186" i="9"/>
  <c r="F186" i="9" s="1"/>
  <c r="O178" i="14"/>
  <c r="H267" i="8"/>
  <c r="E268" i="8"/>
  <c r="G268" i="8" s="1"/>
  <c r="I267" i="8"/>
  <c r="I186" i="9" l="1"/>
  <c r="L186" i="9"/>
  <c r="J186" i="9"/>
  <c r="K186" i="9"/>
  <c r="P405" i="14"/>
  <c r="N406" i="14"/>
  <c r="L406" i="14"/>
  <c r="M406" i="14"/>
  <c r="K406" i="14"/>
  <c r="C408" i="14"/>
  <c r="D407" i="14"/>
  <c r="N186" i="9"/>
  <c r="H186" i="9"/>
  <c r="O186" i="9"/>
  <c r="E179" i="14"/>
  <c r="J179" i="14"/>
  <c r="I179" i="14"/>
  <c r="G180" i="14"/>
  <c r="C268" i="8"/>
  <c r="D268" i="8" s="1"/>
  <c r="F268" i="8"/>
  <c r="P186" i="9" l="1"/>
  <c r="C187" i="9"/>
  <c r="D187" i="9" s="1"/>
  <c r="P406" i="14"/>
  <c r="L407" i="14"/>
  <c r="M407" i="14"/>
  <c r="N407" i="14"/>
  <c r="K407" i="14"/>
  <c r="D408" i="14"/>
  <c r="C409" i="14"/>
  <c r="F179" i="14"/>
  <c r="H179" i="14" s="1"/>
  <c r="H268" i="8"/>
  <c r="E269" i="8"/>
  <c r="G269" i="8" s="1"/>
  <c r="I268" i="8"/>
  <c r="P407" i="14" l="1"/>
  <c r="C410" i="14"/>
  <c r="D409" i="14"/>
  <c r="N408" i="14"/>
  <c r="K408" i="14"/>
  <c r="L408" i="14"/>
  <c r="M408" i="14"/>
  <c r="I187" i="9"/>
  <c r="M187" i="9"/>
  <c r="E187" i="9"/>
  <c r="F187" i="9" s="1"/>
  <c r="G188" i="9"/>
  <c r="O179" i="14"/>
  <c r="C269" i="8"/>
  <c r="D269" i="8" s="1"/>
  <c r="F269" i="8"/>
  <c r="K187" i="9" l="1"/>
  <c r="L187" i="9"/>
  <c r="J187" i="9"/>
  <c r="P408" i="14"/>
  <c r="K409" i="14"/>
  <c r="L409" i="14"/>
  <c r="M409" i="14"/>
  <c r="N409" i="14"/>
  <c r="D410" i="14"/>
  <c r="C411" i="14"/>
  <c r="N187" i="9"/>
  <c r="H187" i="9"/>
  <c r="O187" i="9"/>
  <c r="E180" i="14"/>
  <c r="J180" i="14"/>
  <c r="I180" i="14"/>
  <c r="G181" i="14"/>
  <c r="H269" i="8"/>
  <c r="E270" i="8"/>
  <c r="G270" i="8" s="1"/>
  <c r="I269" i="8"/>
  <c r="P187" i="9" l="1"/>
  <c r="C188" i="9"/>
  <c r="D188" i="9" s="1"/>
  <c r="C412" i="14"/>
  <c r="D411" i="14"/>
  <c r="L410" i="14"/>
  <c r="M410" i="14"/>
  <c r="N410" i="14"/>
  <c r="K410" i="14"/>
  <c r="P409" i="14"/>
  <c r="F180" i="14"/>
  <c r="H180" i="14" s="1"/>
  <c r="C270" i="8"/>
  <c r="D270" i="8" s="1"/>
  <c r="F270" i="8"/>
  <c r="P410" i="14" l="1"/>
  <c r="N411" i="14"/>
  <c r="M411" i="14"/>
  <c r="L411" i="14"/>
  <c r="K411" i="14"/>
  <c r="D412" i="14"/>
  <c r="C413" i="14"/>
  <c r="M188" i="9"/>
  <c r="E188" i="9"/>
  <c r="F188" i="9" s="1"/>
  <c r="G189" i="9"/>
  <c r="O180" i="14"/>
  <c r="H270" i="8"/>
  <c r="E271" i="8"/>
  <c r="G271" i="8" s="1"/>
  <c r="I270" i="8"/>
  <c r="I188" i="9" l="1"/>
  <c r="L188" i="9"/>
  <c r="J188" i="9"/>
  <c r="K188" i="9"/>
  <c r="P411" i="14"/>
  <c r="C414" i="14"/>
  <c r="D413" i="14"/>
  <c r="M412" i="14"/>
  <c r="K412" i="14"/>
  <c r="L412" i="14"/>
  <c r="N412" i="14"/>
  <c r="N188" i="9"/>
  <c r="H188" i="9"/>
  <c r="O188" i="9"/>
  <c r="E181" i="14"/>
  <c r="J181" i="14"/>
  <c r="I181" i="14"/>
  <c r="G182" i="14"/>
  <c r="F271" i="8"/>
  <c r="C271" i="8"/>
  <c r="D271" i="8" s="1"/>
  <c r="C189" i="9" l="1"/>
  <c r="D189" i="9" s="1"/>
  <c r="P188" i="9"/>
  <c r="P412" i="14"/>
  <c r="L413" i="14"/>
  <c r="M413" i="14"/>
  <c r="N413" i="14"/>
  <c r="K413" i="14"/>
  <c r="C415" i="14"/>
  <c r="D414" i="14"/>
  <c r="F181" i="14"/>
  <c r="H181" i="14" s="1"/>
  <c r="E272" i="8"/>
  <c r="G272" i="8" s="1"/>
  <c r="I271" i="8"/>
  <c r="H271" i="8"/>
  <c r="P413" i="14" l="1"/>
  <c r="N414" i="14"/>
  <c r="L414" i="14"/>
  <c r="M414" i="14"/>
  <c r="K414" i="14"/>
  <c r="C416" i="14"/>
  <c r="D415" i="14"/>
  <c r="M189" i="9"/>
  <c r="E189" i="9"/>
  <c r="F189" i="9" s="1"/>
  <c r="G190" i="9"/>
  <c r="K189" i="9"/>
  <c r="O181" i="14"/>
  <c r="F272" i="8"/>
  <c r="C272" i="8"/>
  <c r="D272" i="8" s="1"/>
  <c r="P414" i="14" l="1"/>
  <c r="L415" i="14"/>
  <c r="K415" i="14"/>
  <c r="M415" i="14"/>
  <c r="N415" i="14"/>
  <c r="D416" i="14"/>
  <c r="C417" i="14"/>
  <c r="I189" i="9"/>
  <c r="J189" i="9"/>
  <c r="L189" i="9"/>
  <c r="N189" i="9"/>
  <c r="H189" i="9"/>
  <c r="O189" i="9"/>
  <c r="E182" i="14"/>
  <c r="J182" i="14"/>
  <c r="I182" i="14"/>
  <c r="G183" i="14"/>
  <c r="E273" i="8"/>
  <c r="G273" i="8" s="1"/>
  <c r="I272" i="8"/>
  <c r="H272" i="8"/>
  <c r="P189" i="9" l="1"/>
  <c r="P415" i="14"/>
  <c r="D417" i="14"/>
  <c r="C418" i="14"/>
  <c r="N416" i="14"/>
  <c r="M416" i="14"/>
  <c r="K416" i="14"/>
  <c r="L416" i="14"/>
  <c r="C190" i="9"/>
  <c r="D190" i="9" s="1"/>
  <c r="F182" i="14"/>
  <c r="H182" i="14" s="1"/>
  <c r="C273" i="8"/>
  <c r="D273" i="8" s="1"/>
  <c r="F273" i="8"/>
  <c r="C419" i="14" l="1"/>
  <c r="D418" i="14"/>
  <c r="P416" i="14"/>
  <c r="L417" i="14"/>
  <c r="M417" i="14"/>
  <c r="N417" i="14"/>
  <c r="K417" i="14"/>
  <c r="I190" i="9"/>
  <c r="E190" i="9"/>
  <c r="F190" i="9" s="1"/>
  <c r="M190" i="9"/>
  <c r="G191" i="9"/>
  <c r="L190" i="9"/>
  <c r="O182" i="14"/>
  <c r="H273" i="8"/>
  <c r="E274" i="8"/>
  <c r="G274" i="8" s="1"/>
  <c r="I273" i="8"/>
  <c r="K190" i="9" l="1"/>
  <c r="J190" i="9"/>
  <c r="P417" i="14"/>
  <c r="M418" i="14"/>
  <c r="K418" i="14"/>
  <c r="N418" i="14"/>
  <c r="L418" i="14"/>
  <c r="C420" i="14"/>
  <c r="D419" i="14"/>
  <c r="N190" i="9"/>
  <c r="H190" i="9"/>
  <c r="O190" i="9"/>
  <c r="E183" i="14"/>
  <c r="J183" i="14"/>
  <c r="I183" i="14"/>
  <c r="G184" i="14"/>
  <c r="C274" i="8"/>
  <c r="D274" i="8" s="1"/>
  <c r="F274" i="8"/>
  <c r="P190" i="9" l="1"/>
  <c r="C191" i="9"/>
  <c r="D191" i="9" s="1"/>
  <c r="N419" i="14"/>
  <c r="M419" i="14"/>
  <c r="L419" i="14"/>
  <c r="K419" i="14"/>
  <c r="P418" i="14"/>
  <c r="C421" i="14"/>
  <c r="D420" i="14"/>
  <c r="H274" i="8"/>
  <c r="F183" i="14"/>
  <c r="H183" i="14" s="1"/>
  <c r="E275" i="8"/>
  <c r="G275" i="8" s="1"/>
  <c r="I274" i="8"/>
  <c r="P419" i="14" l="1"/>
  <c r="M420" i="14"/>
  <c r="L420" i="14"/>
  <c r="K420" i="14"/>
  <c r="N420" i="14"/>
  <c r="C422" i="14"/>
  <c r="D421" i="14"/>
  <c r="M191" i="9"/>
  <c r="E191" i="9"/>
  <c r="F191" i="9" s="1"/>
  <c r="G192" i="9"/>
  <c r="O183" i="14"/>
  <c r="F275" i="8"/>
  <c r="C275" i="8"/>
  <c r="D275" i="8" s="1"/>
  <c r="I191" i="9" l="1"/>
  <c r="J191" i="9"/>
  <c r="L191" i="9"/>
  <c r="K191" i="9"/>
  <c r="P420" i="14"/>
  <c r="M421" i="14"/>
  <c r="L421" i="14"/>
  <c r="N421" i="14"/>
  <c r="K421" i="14"/>
  <c r="C423" i="14"/>
  <c r="D422" i="14"/>
  <c r="H191" i="9"/>
  <c r="O191" i="9"/>
  <c r="N191" i="9"/>
  <c r="J184" i="14"/>
  <c r="I184" i="14"/>
  <c r="E184" i="14"/>
  <c r="G185" i="14"/>
  <c r="H275" i="8"/>
  <c r="E276" i="8"/>
  <c r="G276" i="8" s="1"/>
  <c r="I275" i="8"/>
  <c r="C192" i="9" l="1"/>
  <c r="D192" i="9" s="1"/>
  <c r="L192" i="9" s="1"/>
  <c r="P191" i="9"/>
  <c r="P421" i="14"/>
  <c r="M422" i="14"/>
  <c r="L422" i="14"/>
  <c r="N422" i="14"/>
  <c r="K422" i="14"/>
  <c r="D423" i="14"/>
  <c r="C424" i="14"/>
  <c r="F184" i="14"/>
  <c r="H184" i="14" s="1"/>
  <c r="C276" i="8"/>
  <c r="D276" i="8" s="1"/>
  <c r="F276" i="8"/>
  <c r="M192" i="9" l="1"/>
  <c r="G193" i="9"/>
  <c r="E192" i="9"/>
  <c r="N192" i="9" s="1"/>
  <c r="P422" i="14"/>
  <c r="J192" i="9"/>
  <c r="I192" i="9"/>
  <c r="C425" i="14"/>
  <c r="D424" i="14"/>
  <c r="K423" i="14"/>
  <c r="L423" i="14"/>
  <c r="M423" i="14"/>
  <c r="N423" i="14"/>
  <c r="K192" i="9"/>
  <c r="O184" i="14"/>
  <c r="H276" i="8"/>
  <c r="E277" i="8"/>
  <c r="G277" i="8" s="1"/>
  <c r="I276" i="8"/>
  <c r="F192" i="9" l="1"/>
  <c r="H192" i="9" s="1"/>
  <c r="C193" i="9" s="1"/>
  <c r="D193" i="9" s="1"/>
  <c r="E193" i="9" s="1"/>
  <c r="F193" i="9" s="1"/>
  <c r="P192" i="9"/>
  <c r="P423" i="14"/>
  <c r="N424" i="14"/>
  <c r="K424" i="14"/>
  <c r="M424" i="14"/>
  <c r="L424" i="14"/>
  <c r="C426" i="14"/>
  <c r="D425" i="14"/>
  <c r="J185" i="14"/>
  <c r="I185" i="14"/>
  <c r="E185" i="14"/>
  <c r="G186" i="14"/>
  <c r="F277" i="8"/>
  <c r="C277" i="8"/>
  <c r="D277" i="8" s="1"/>
  <c r="O192" i="9" l="1"/>
  <c r="N425" i="14"/>
  <c r="K425" i="14"/>
  <c r="L425" i="14"/>
  <c r="M425" i="14"/>
  <c r="P424" i="14"/>
  <c r="D426" i="14"/>
  <c r="C427" i="14"/>
  <c r="M193" i="9"/>
  <c r="G194" i="9"/>
  <c r="I193" i="9"/>
  <c r="J193" i="9"/>
  <c r="N193" i="9"/>
  <c r="L193" i="9"/>
  <c r="H193" i="9"/>
  <c r="O193" i="9"/>
  <c r="K193" i="9"/>
  <c r="F185" i="14"/>
  <c r="H185" i="14" s="1"/>
  <c r="E278" i="8"/>
  <c r="G278" i="8" s="1"/>
  <c r="I277" i="8"/>
  <c r="H277" i="8"/>
  <c r="D427" i="14" l="1"/>
  <c r="C428" i="14"/>
  <c r="M426" i="14"/>
  <c r="K426" i="14"/>
  <c r="N426" i="14"/>
  <c r="L426" i="14"/>
  <c r="P425" i="14"/>
  <c r="P193" i="9"/>
  <c r="C194" i="9"/>
  <c r="D194" i="9" s="1"/>
  <c r="O185" i="14"/>
  <c r="C278" i="8"/>
  <c r="D278" i="8" s="1"/>
  <c r="F278" i="8"/>
  <c r="P426" i="14" l="1"/>
  <c r="C429" i="14"/>
  <c r="D428" i="14"/>
  <c r="K427" i="14"/>
  <c r="N427" i="14"/>
  <c r="M427" i="14"/>
  <c r="L427" i="14"/>
  <c r="E194" i="9"/>
  <c r="F194" i="9" s="1"/>
  <c r="G195" i="9"/>
  <c r="J186" i="14"/>
  <c r="I186" i="14"/>
  <c r="E186" i="14"/>
  <c r="G187" i="14"/>
  <c r="H278" i="8"/>
  <c r="E279" i="8"/>
  <c r="G279" i="8" s="1"/>
  <c r="I278" i="8"/>
  <c r="P427" i="14" l="1"/>
  <c r="N194" i="9"/>
  <c r="N428" i="14"/>
  <c r="L428" i="14"/>
  <c r="M428" i="14"/>
  <c r="K428" i="14"/>
  <c r="D429" i="14"/>
  <c r="C430" i="14"/>
  <c r="K194" i="9"/>
  <c r="L194" i="9"/>
  <c r="J194" i="9"/>
  <c r="I194" i="9"/>
  <c r="M194" i="9"/>
  <c r="H194" i="9"/>
  <c r="O194" i="9"/>
  <c r="F186" i="14"/>
  <c r="H186" i="14" s="1"/>
  <c r="F279" i="8"/>
  <c r="C279" i="8"/>
  <c r="D279" i="8" s="1"/>
  <c r="P428" i="14" l="1"/>
  <c r="D430" i="14"/>
  <c r="C431" i="14"/>
  <c r="K429" i="14"/>
  <c r="L429" i="14"/>
  <c r="M429" i="14"/>
  <c r="N429" i="14"/>
  <c r="P194" i="9"/>
  <c r="C195" i="9"/>
  <c r="D195" i="9" s="1"/>
  <c r="O186" i="14"/>
  <c r="E280" i="8"/>
  <c r="G280" i="8" s="1"/>
  <c r="I279" i="8"/>
  <c r="H279" i="8"/>
  <c r="P429" i="14" l="1"/>
  <c r="C432" i="14"/>
  <c r="D431" i="14"/>
  <c r="N430" i="14"/>
  <c r="L430" i="14"/>
  <c r="K430" i="14"/>
  <c r="M430" i="14"/>
  <c r="E195" i="9"/>
  <c r="F195" i="9" s="1"/>
  <c r="G196" i="9"/>
  <c r="M195" i="9"/>
  <c r="E187" i="14"/>
  <c r="J187" i="14"/>
  <c r="I187" i="14"/>
  <c r="G188" i="14"/>
  <c r="F280" i="8"/>
  <c r="C280" i="8"/>
  <c r="D280" i="8" s="1"/>
  <c r="M431" i="14" l="1"/>
  <c r="N431" i="14"/>
  <c r="L431" i="14"/>
  <c r="K431" i="14"/>
  <c r="P430" i="14"/>
  <c r="C433" i="14"/>
  <c r="D432" i="14"/>
  <c r="K195" i="9"/>
  <c r="L195" i="9"/>
  <c r="J195" i="9"/>
  <c r="I195" i="9"/>
  <c r="N195" i="9"/>
  <c r="H195" i="9"/>
  <c r="O195" i="9"/>
  <c r="F187" i="14"/>
  <c r="H187" i="14" s="1"/>
  <c r="H280" i="8"/>
  <c r="E281" i="8"/>
  <c r="G281" i="8" s="1"/>
  <c r="I280" i="8"/>
  <c r="P431" i="14" l="1"/>
  <c r="N432" i="14"/>
  <c r="K432" i="14"/>
  <c r="M432" i="14"/>
  <c r="L432" i="14"/>
  <c r="D433" i="14"/>
  <c r="C434" i="14"/>
  <c r="P195" i="9"/>
  <c r="C196" i="9"/>
  <c r="D196" i="9" s="1"/>
  <c r="O187" i="14"/>
  <c r="F281" i="8"/>
  <c r="C281" i="8"/>
  <c r="D281" i="8" s="1"/>
  <c r="P432" i="14" l="1"/>
  <c r="C435" i="14"/>
  <c r="D434" i="14"/>
  <c r="L433" i="14"/>
  <c r="M433" i="14"/>
  <c r="N433" i="14"/>
  <c r="K433" i="14"/>
  <c r="M196" i="9"/>
  <c r="G197" i="9"/>
  <c r="E196" i="9"/>
  <c r="F196" i="9" s="1"/>
  <c r="L196" i="9"/>
  <c r="E188" i="14"/>
  <c r="J188" i="14"/>
  <c r="I188" i="14"/>
  <c r="G189" i="14"/>
  <c r="E282" i="8"/>
  <c r="G282" i="8" s="1"/>
  <c r="I281" i="8"/>
  <c r="H281" i="8"/>
  <c r="K196" i="9" l="1"/>
  <c r="P433" i="14"/>
  <c r="N434" i="14"/>
  <c r="K434" i="14"/>
  <c r="L434" i="14"/>
  <c r="M434" i="14"/>
  <c r="D435" i="14"/>
  <c r="C436" i="14"/>
  <c r="J196" i="9"/>
  <c r="I196" i="9"/>
  <c r="N196" i="9"/>
  <c r="H196" i="9"/>
  <c r="O196" i="9"/>
  <c r="F188" i="14"/>
  <c r="H188" i="14" s="1"/>
  <c r="F282" i="8"/>
  <c r="C282" i="8"/>
  <c r="D282" i="8" s="1"/>
  <c r="P196" i="9" l="1"/>
  <c r="P434" i="14"/>
  <c r="C437" i="14"/>
  <c r="D436" i="14"/>
  <c r="N435" i="14"/>
  <c r="M435" i="14"/>
  <c r="K435" i="14"/>
  <c r="L435" i="14"/>
  <c r="C197" i="9"/>
  <c r="D197" i="9" s="1"/>
  <c r="O188" i="14"/>
  <c r="E283" i="8"/>
  <c r="G283" i="8" s="1"/>
  <c r="I282" i="8"/>
  <c r="H282" i="8"/>
  <c r="K436" i="14" l="1"/>
  <c r="L436" i="14"/>
  <c r="M436" i="14"/>
  <c r="N436" i="14"/>
  <c r="P435" i="14"/>
  <c r="C438" i="14"/>
  <c r="D437" i="14"/>
  <c r="M197" i="9"/>
  <c r="G198" i="9"/>
  <c r="E197" i="9"/>
  <c r="F197" i="9" s="1"/>
  <c r="E189" i="14"/>
  <c r="J189" i="14"/>
  <c r="I189" i="14"/>
  <c r="G190" i="14"/>
  <c r="F283" i="8"/>
  <c r="C283" i="8"/>
  <c r="D283" i="8" s="1"/>
  <c r="K197" i="9" l="1"/>
  <c r="I197" i="9"/>
  <c r="L197" i="9"/>
  <c r="J197" i="9"/>
  <c r="L437" i="14"/>
  <c r="N437" i="14"/>
  <c r="K437" i="14"/>
  <c r="M437" i="14"/>
  <c r="D438" i="14"/>
  <c r="C439" i="14"/>
  <c r="P436" i="14"/>
  <c r="N197" i="9"/>
  <c r="H197" i="9"/>
  <c r="O197" i="9"/>
  <c r="F189" i="14"/>
  <c r="H189" i="14" s="1"/>
  <c r="E284" i="8"/>
  <c r="G284" i="8" s="1"/>
  <c r="I283" i="8"/>
  <c r="H283" i="8"/>
  <c r="P197" i="9" l="1"/>
  <c r="C198" i="9"/>
  <c r="D198" i="9" s="1"/>
  <c r="P437" i="14"/>
  <c r="D439" i="14"/>
  <c r="C440" i="14"/>
  <c r="L438" i="14"/>
  <c r="M438" i="14"/>
  <c r="K438" i="14"/>
  <c r="N438" i="14"/>
  <c r="O189" i="14"/>
  <c r="F284" i="8"/>
  <c r="C284" i="8"/>
  <c r="D284" i="8" s="1"/>
  <c r="P438" i="14" l="1"/>
  <c r="C441" i="14"/>
  <c r="D440" i="14"/>
  <c r="M439" i="14"/>
  <c r="N439" i="14"/>
  <c r="K439" i="14"/>
  <c r="L439" i="14"/>
  <c r="E198" i="9"/>
  <c r="F198" i="9" s="1"/>
  <c r="M198" i="9"/>
  <c r="G199" i="9"/>
  <c r="E190" i="14"/>
  <c r="J190" i="14"/>
  <c r="I190" i="14"/>
  <c r="G191" i="14"/>
  <c r="H284" i="8"/>
  <c r="E285" i="8"/>
  <c r="G285" i="8" s="1"/>
  <c r="I284" i="8"/>
  <c r="K198" i="9" l="1"/>
  <c r="I198" i="9"/>
  <c r="L198" i="9"/>
  <c r="J198" i="9"/>
  <c r="N198" i="9"/>
  <c r="N440" i="14"/>
  <c r="M440" i="14"/>
  <c r="K440" i="14"/>
  <c r="L440" i="14"/>
  <c r="P439" i="14"/>
  <c r="C442" i="14"/>
  <c r="D441" i="14"/>
  <c r="H198" i="9"/>
  <c r="O198" i="9"/>
  <c r="F190" i="14"/>
  <c r="H190" i="14" s="1"/>
  <c r="C285" i="8"/>
  <c r="D285" i="8" s="1"/>
  <c r="F285" i="8"/>
  <c r="P198" i="9" l="1"/>
  <c r="C199" i="9"/>
  <c r="D199" i="9" s="1"/>
  <c r="P440" i="14"/>
  <c r="M441" i="14"/>
  <c r="N441" i="14"/>
  <c r="K441" i="14"/>
  <c r="L441" i="14"/>
  <c r="C443" i="14"/>
  <c r="D442" i="14"/>
  <c r="O190" i="14"/>
  <c r="H285" i="8"/>
  <c r="E286" i="8"/>
  <c r="G286" i="8" s="1"/>
  <c r="I285" i="8"/>
  <c r="P441" i="14" l="1"/>
  <c r="M442" i="14"/>
  <c r="N442" i="14"/>
  <c r="K442" i="14"/>
  <c r="L442" i="14"/>
  <c r="C444" i="14"/>
  <c r="D443" i="14"/>
  <c r="I199" i="9"/>
  <c r="E199" i="9"/>
  <c r="F199" i="9" s="1"/>
  <c r="G200" i="9"/>
  <c r="M199" i="9"/>
  <c r="E191" i="14"/>
  <c r="J191" i="14"/>
  <c r="I191" i="14"/>
  <c r="G192" i="14"/>
  <c r="C286" i="8"/>
  <c r="D286" i="8" s="1"/>
  <c r="F286" i="8"/>
  <c r="K199" i="9" l="1"/>
  <c r="L199" i="9"/>
  <c r="J199" i="9"/>
  <c r="P442" i="14"/>
  <c r="K443" i="14"/>
  <c r="N443" i="14"/>
  <c r="M443" i="14"/>
  <c r="L443" i="14"/>
  <c r="C445" i="14"/>
  <c r="D444" i="14"/>
  <c r="N199" i="9"/>
  <c r="H199" i="9"/>
  <c r="O199" i="9"/>
  <c r="F191" i="14"/>
  <c r="H191" i="14" s="1"/>
  <c r="H286" i="8"/>
  <c r="E287" i="8"/>
  <c r="G287" i="8" s="1"/>
  <c r="I286" i="8"/>
  <c r="P199" i="9" l="1"/>
  <c r="C200" i="9"/>
  <c r="D200" i="9" s="1"/>
  <c r="P443" i="14"/>
  <c r="L444" i="14"/>
  <c r="M444" i="14"/>
  <c r="K444" i="14"/>
  <c r="N444" i="14"/>
  <c r="D445" i="14"/>
  <c r="C446" i="14"/>
  <c r="O191" i="14"/>
  <c r="F287" i="8"/>
  <c r="C287" i="8"/>
  <c r="D287" i="8" s="1"/>
  <c r="P444" i="14" l="1"/>
  <c r="C447" i="14"/>
  <c r="D446" i="14"/>
  <c r="N445" i="14"/>
  <c r="K445" i="14"/>
  <c r="L445" i="14"/>
  <c r="M445" i="14"/>
  <c r="G201" i="9"/>
  <c r="E200" i="9"/>
  <c r="F200" i="9" s="1"/>
  <c r="M200" i="9"/>
  <c r="K200" i="9"/>
  <c r="E192" i="14"/>
  <c r="J192" i="14"/>
  <c r="I192" i="14"/>
  <c r="G193" i="14"/>
  <c r="E288" i="8"/>
  <c r="G288" i="8" s="1"/>
  <c r="I287" i="8"/>
  <c r="H287" i="8"/>
  <c r="L200" i="9" l="1"/>
  <c r="I200" i="9"/>
  <c r="J200" i="9"/>
  <c r="N200" i="9"/>
  <c r="P445" i="14"/>
  <c r="N446" i="14"/>
  <c r="K446" i="14"/>
  <c r="L446" i="14"/>
  <c r="M446" i="14"/>
  <c r="C448" i="14"/>
  <c r="D447" i="14"/>
  <c r="H200" i="9"/>
  <c r="O200" i="9"/>
  <c r="F192" i="14"/>
  <c r="H192" i="14" s="1"/>
  <c r="F288" i="8"/>
  <c r="C288" i="8"/>
  <c r="D288" i="8" s="1"/>
  <c r="C201" i="9" l="1"/>
  <c r="P200" i="9"/>
  <c r="P446" i="14"/>
  <c r="L447" i="14"/>
  <c r="N447" i="14"/>
  <c r="K447" i="14"/>
  <c r="M447" i="14"/>
  <c r="D448" i="14"/>
  <c r="C449" i="14"/>
  <c r="D201" i="9"/>
  <c r="H288" i="8"/>
  <c r="O192" i="14"/>
  <c r="I288" i="8"/>
  <c r="E289" i="8"/>
  <c r="G289" i="8" s="1"/>
  <c r="P447" i="14" l="1"/>
  <c r="C450" i="14"/>
  <c r="D449" i="14"/>
  <c r="M448" i="14"/>
  <c r="N448" i="14"/>
  <c r="K448" i="14"/>
  <c r="L448" i="14"/>
  <c r="I201" i="9"/>
  <c r="J201" i="9"/>
  <c r="G202" i="9"/>
  <c r="L201" i="9"/>
  <c r="M201" i="9"/>
  <c r="E201" i="9"/>
  <c r="F201" i="9" s="1"/>
  <c r="E193" i="14"/>
  <c r="J193" i="14"/>
  <c r="I193" i="14"/>
  <c r="G194" i="14"/>
  <c r="C289" i="8"/>
  <c r="D289" i="8" s="1"/>
  <c r="F289" i="8"/>
  <c r="K201" i="9" l="1"/>
  <c r="N449" i="14"/>
  <c r="L449" i="14"/>
  <c r="K449" i="14"/>
  <c r="M449" i="14"/>
  <c r="P448" i="14"/>
  <c r="C451" i="14"/>
  <c r="D450" i="14"/>
  <c r="N201" i="9"/>
  <c r="P201" i="9" s="1"/>
  <c r="H201" i="9"/>
  <c r="C202" i="9" s="1"/>
  <c r="O201" i="9"/>
  <c r="F193" i="14"/>
  <c r="H193" i="14" s="1"/>
  <c r="H289" i="8"/>
  <c r="E290" i="8"/>
  <c r="G290" i="8" s="1"/>
  <c r="I289" i="8"/>
  <c r="P449" i="14" l="1"/>
  <c r="M450" i="14"/>
  <c r="L450" i="14"/>
  <c r="N450" i="14"/>
  <c r="K450" i="14"/>
  <c r="C452" i="14"/>
  <c r="D451" i="14"/>
  <c r="D202" i="9"/>
  <c r="O193" i="14"/>
  <c r="F290" i="8"/>
  <c r="C290" i="8"/>
  <c r="D290" i="8" s="1"/>
  <c r="P450" i="14" l="1"/>
  <c r="K451" i="14"/>
  <c r="N451" i="14"/>
  <c r="M451" i="14"/>
  <c r="L451" i="14"/>
  <c r="C453" i="14"/>
  <c r="D452" i="14"/>
  <c r="I202" i="9"/>
  <c r="M202" i="9"/>
  <c r="E202" i="9"/>
  <c r="F202" i="9" s="1"/>
  <c r="G203" i="9"/>
  <c r="L202" i="9"/>
  <c r="E194" i="14"/>
  <c r="J194" i="14"/>
  <c r="I194" i="14"/>
  <c r="G195" i="14"/>
  <c r="E291" i="8"/>
  <c r="G291" i="8" s="1"/>
  <c r="I290" i="8"/>
  <c r="H290" i="8"/>
  <c r="J202" i="9" l="1"/>
  <c r="K202" i="9"/>
  <c r="P451" i="14"/>
  <c r="K452" i="14"/>
  <c r="M452" i="14"/>
  <c r="N452" i="14"/>
  <c r="L452" i="14"/>
  <c r="C454" i="14"/>
  <c r="D453" i="14"/>
  <c r="N202" i="9"/>
  <c r="H202" i="9"/>
  <c r="O202" i="9"/>
  <c r="F194" i="14"/>
  <c r="H194" i="14" s="1"/>
  <c r="F291" i="8"/>
  <c r="C291" i="8"/>
  <c r="D291" i="8" s="1"/>
  <c r="P202" i="9" l="1"/>
  <c r="C203" i="9"/>
  <c r="D203" i="9" s="1"/>
  <c r="P452" i="14"/>
  <c r="N453" i="14"/>
  <c r="K453" i="14"/>
  <c r="L453" i="14"/>
  <c r="M453" i="14"/>
  <c r="D454" i="14"/>
  <c r="C455" i="14"/>
  <c r="O194" i="14"/>
  <c r="E292" i="8"/>
  <c r="G292" i="8" s="1"/>
  <c r="I291" i="8"/>
  <c r="H291" i="8"/>
  <c r="D455" i="14" l="1"/>
  <c r="C456" i="14"/>
  <c r="P453" i="14"/>
  <c r="N454" i="14"/>
  <c r="K454" i="14"/>
  <c r="M454" i="14"/>
  <c r="L454" i="14"/>
  <c r="I203" i="9"/>
  <c r="E203" i="9"/>
  <c r="F203" i="9" s="1"/>
  <c r="M203" i="9"/>
  <c r="L203" i="9"/>
  <c r="G204" i="9"/>
  <c r="N203" i="9"/>
  <c r="E195" i="14"/>
  <c r="J195" i="14"/>
  <c r="I195" i="14"/>
  <c r="G196" i="14"/>
  <c r="C292" i="8"/>
  <c r="D292" i="8" s="1"/>
  <c r="F292" i="8"/>
  <c r="J203" i="9" l="1"/>
  <c r="K203" i="9"/>
  <c r="P203" i="9" s="1"/>
  <c r="D456" i="14"/>
  <c r="C457" i="14"/>
  <c r="P454" i="14"/>
  <c r="K455" i="14"/>
  <c r="M455" i="14"/>
  <c r="L455" i="14"/>
  <c r="N455" i="14"/>
  <c r="H203" i="9"/>
  <c r="C204" i="9" s="1"/>
  <c r="O203" i="9"/>
  <c r="H292" i="8"/>
  <c r="F195" i="14"/>
  <c r="H195" i="14" s="1"/>
  <c r="E293" i="8"/>
  <c r="G293" i="8" s="1"/>
  <c r="I292" i="8"/>
  <c r="P455" i="14" l="1"/>
  <c r="C458" i="14"/>
  <c r="D457" i="14"/>
  <c r="M456" i="14"/>
  <c r="L456" i="14"/>
  <c r="N456" i="14"/>
  <c r="K456" i="14"/>
  <c r="D204" i="9"/>
  <c r="O195" i="14"/>
  <c r="F293" i="8"/>
  <c r="C293" i="8"/>
  <c r="D293" i="8" s="1"/>
  <c r="P456" i="14" l="1"/>
  <c r="M457" i="14"/>
  <c r="L457" i="14"/>
  <c r="K457" i="14"/>
  <c r="N457" i="14"/>
  <c r="D458" i="14"/>
  <c r="C459" i="14"/>
  <c r="M204" i="9"/>
  <c r="G205" i="9"/>
  <c r="E204" i="9"/>
  <c r="F204" i="9" s="1"/>
  <c r="K204" i="9"/>
  <c r="E196" i="14"/>
  <c r="J196" i="14"/>
  <c r="I196" i="14"/>
  <c r="G197" i="14"/>
  <c r="E294" i="8"/>
  <c r="G294" i="8" s="1"/>
  <c r="I293" i="8"/>
  <c r="H293" i="8"/>
  <c r="P457" i="14" l="1"/>
  <c r="C460" i="14"/>
  <c r="D459" i="14"/>
  <c r="K458" i="14"/>
  <c r="M458" i="14"/>
  <c r="N458" i="14"/>
  <c r="L458" i="14"/>
  <c r="I204" i="9"/>
  <c r="L204" i="9"/>
  <c r="J204" i="9"/>
  <c r="N204" i="9"/>
  <c r="H204" i="9"/>
  <c r="O204" i="9"/>
  <c r="F196" i="14"/>
  <c r="H196" i="14" s="1"/>
  <c r="F294" i="8"/>
  <c r="C294" i="8"/>
  <c r="D294" i="8" s="1"/>
  <c r="C205" i="9" l="1"/>
  <c r="D205" i="9" s="1"/>
  <c r="P204" i="9"/>
  <c r="P458" i="14"/>
  <c r="N459" i="14"/>
  <c r="M459" i="14"/>
  <c r="L459" i="14"/>
  <c r="K459" i="14"/>
  <c r="D460" i="14"/>
  <c r="C461" i="14"/>
  <c r="O196" i="14"/>
  <c r="E295" i="8"/>
  <c r="G295" i="8" s="1"/>
  <c r="I294" i="8"/>
  <c r="H294" i="8"/>
  <c r="P459" i="14" l="1"/>
  <c r="C462" i="14"/>
  <c r="D461" i="14"/>
  <c r="L460" i="14"/>
  <c r="N460" i="14"/>
  <c r="M460" i="14"/>
  <c r="K460" i="14"/>
  <c r="I205" i="9"/>
  <c r="G206" i="9"/>
  <c r="M205" i="9"/>
  <c r="E205" i="9"/>
  <c r="F205" i="9" s="1"/>
  <c r="E197" i="14"/>
  <c r="J197" i="14"/>
  <c r="I197" i="14"/>
  <c r="G198" i="14"/>
  <c r="F295" i="8"/>
  <c r="C295" i="8"/>
  <c r="D295" i="8" s="1"/>
  <c r="E296" i="8" s="1"/>
  <c r="G296" i="8" s="1"/>
  <c r="L205" i="9" l="1"/>
  <c r="J205" i="9"/>
  <c r="K205" i="9"/>
  <c r="P460" i="14"/>
  <c r="M461" i="14"/>
  <c r="L461" i="14"/>
  <c r="N461" i="14"/>
  <c r="K461" i="14"/>
  <c r="D462" i="14"/>
  <c r="C463" i="14"/>
  <c r="N205" i="9"/>
  <c r="H205" i="9"/>
  <c r="O205" i="9"/>
  <c r="F197" i="14"/>
  <c r="H197" i="14" s="1"/>
  <c r="H295" i="8"/>
  <c r="F296" i="8"/>
  <c r="C296" i="8"/>
  <c r="D296" i="8" s="1"/>
  <c r="I295" i="8"/>
  <c r="C206" i="9" l="1"/>
  <c r="D206" i="9" s="1"/>
  <c r="P205" i="9"/>
  <c r="P461" i="14"/>
  <c r="D463" i="14"/>
  <c r="C464" i="14"/>
  <c r="M462" i="14"/>
  <c r="K462" i="14"/>
  <c r="L462" i="14"/>
  <c r="N462" i="14"/>
  <c r="O197" i="14"/>
  <c r="H296" i="8"/>
  <c r="E297" i="8"/>
  <c r="G297" i="8" s="1"/>
  <c r="I296" i="8"/>
  <c r="P462" i="14" l="1"/>
  <c r="D464" i="14"/>
  <c r="C465" i="14"/>
  <c r="M463" i="14"/>
  <c r="N463" i="14"/>
  <c r="K463" i="14"/>
  <c r="L463" i="14"/>
  <c r="M206" i="9"/>
  <c r="E206" i="9"/>
  <c r="F206" i="9" s="1"/>
  <c r="G207" i="9"/>
  <c r="E198" i="14"/>
  <c r="J198" i="14"/>
  <c r="I198" i="14"/>
  <c r="G199" i="14"/>
  <c r="F297" i="8"/>
  <c r="C297" i="8"/>
  <c r="D297" i="8" s="1"/>
  <c r="I206" i="9" l="1"/>
  <c r="L206" i="9"/>
  <c r="J206" i="9"/>
  <c r="K206" i="9"/>
  <c r="D465" i="14"/>
  <c r="C466" i="14"/>
  <c r="P463" i="14"/>
  <c r="N464" i="14"/>
  <c r="K464" i="14"/>
  <c r="L464" i="14"/>
  <c r="M464" i="14"/>
  <c r="N206" i="9"/>
  <c r="H206" i="9"/>
  <c r="O206" i="9"/>
  <c r="F198" i="14"/>
  <c r="H198" i="14" s="1"/>
  <c r="E298" i="8"/>
  <c r="G298" i="8" s="1"/>
  <c r="I297" i="8"/>
  <c r="H297" i="8"/>
  <c r="P206" i="9" l="1"/>
  <c r="C207" i="9"/>
  <c r="D207" i="9" s="1"/>
  <c r="M207" i="9" s="1"/>
  <c r="D466" i="14"/>
  <c r="C467" i="14"/>
  <c r="P464" i="14"/>
  <c r="K465" i="14"/>
  <c r="L465" i="14"/>
  <c r="M465" i="14"/>
  <c r="N465" i="14"/>
  <c r="O198" i="14"/>
  <c r="F298" i="8"/>
  <c r="C298" i="8"/>
  <c r="D298" i="8" s="1"/>
  <c r="J207" i="9" l="1"/>
  <c r="G208" i="9"/>
  <c r="E207" i="9"/>
  <c r="F207" i="9" s="1"/>
  <c r="O207" i="9" s="1"/>
  <c r="L207" i="9"/>
  <c r="I207" i="9"/>
  <c r="P465" i="14"/>
  <c r="C468" i="14"/>
  <c r="D467" i="14"/>
  <c r="M466" i="14"/>
  <c r="L466" i="14"/>
  <c r="N466" i="14"/>
  <c r="K466" i="14"/>
  <c r="K207" i="9"/>
  <c r="E199" i="14"/>
  <c r="J199" i="14"/>
  <c r="I199" i="14"/>
  <c r="G200" i="14"/>
  <c r="H298" i="8"/>
  <c r="E299" i="8"/>
  <c r="G299" i="8" s="1"/>
  <c r="I298" i="8"/>
  <c r="N207" i="9" l="1"/>
  <c r="P207" i="9" s="1"/>
  <c r="H207" i="9"/>
  <c r="C208" i="9" s="1"/>
  <c r="D208" i="9" s="1"/>
  <c r="G209" i="9" s="1"/>
  <c r="P466" i="14"/>
  <c r="M467" i="14"/>
  <c r="K467" i="14"/>
  <c r="N467" i="14"/>
  <c r="L467" i="14"/>
  <c r="C469" i="14"/>
  <c r="D468" i="14"/>
  <c r="F199" i="14"/>
  <c r="H199" i="14" s="1"/>
  <c r="F299" i="8"/>
  <c r="C299" i="8"/>
  <c r="D299" i="8" s="1"/>
  <c r="M208" i="9" l="1"/>
  <c r="K208" i="9"/>
  <c r="E208" i="9"/>
  <c r="F208" i="9" s="1"/>
  <c r="H208" i="9" s="1"/>
  <c r="P467" i="14"/>
  <c r="L468" i="14"/>
  <c r="N468" i="14"/>
  <c r="M468" i="14"/>
  <c r="K468" i="14"/>
  <c r="C470" i="14"/>
  <c r="D469" i="14"/>
  <c r="L208" i="9"/>
  <c r="J208" i="9"/>
  <c r="I208" i="9"/>
  <c r="O199" i="14"/>
  <c r="H299" i="8"/>
  <c r="E300" i="8"/>
  <c r="G300" i="8" s="1"/>
  <c r="I299" i="8"/>
  <c r="O208" i="9" l="1"/>
  <c r="N208" i="9"/>
  <c r="P208" i="9" s="1"/>
  <c r="P468" i="14"/>
  <c r="L469" i="14"/>
  <c r="N469" i="14"/>
  <c r="K469" i="14"/>
  <c r="M469" i="14"/>
  <c r="D470" i="14"/>
  <c r="C471" i="14"/>
  <c r="C209" i="9"/>
  <c r="E200" i="14"/>
  <c r="J200" i="14"/>
  <c r="I200" i="14"/>
  <c r="G201" i="14"/>
  <c r="C300" i="8"/>
  <c r="D300" i="8" s="1"/>
  <c r="F300" i="8"/>
  <c r="P469" i="14" l="1"/>
  <c r="C472" i="14"/>
  <c r="D471" i="14"/>
  <c r="N470" i="14"/>
  <c r="M470" i="14"/>
  <c r="K470" i="14"/>
  <c r="L470" i="14"/>
  <c r="D209" i="9"/>
  <c r="F200" i="14"/>
  <c r="H200" i="14" s="1"/>
  <c r="H300" i="8"/>
  <c r="E301" i="8"/>
  <c r="G301" i="8" s="1"/>
  <c r="I300" i="8"/>
  <c r="P470" i="14" l="1"/>
  <c r="L471" i="14"/>
  <c r="M471" i="14"/>
  <c r="N471" i="14"/>
  <c r="K471" i="14"/>
  <c r="D472" i="14"/>
  <c r="C473" i="14"/>
  <c r="E209" i="9"/>
  <c r="F209" i="9" s="1"/>
  <c r="M209" i="9"/>
  <c r="G210" i="9"/>
  <c r="K209" i="9"/>
  <c r="O200" i="14"/>
  <c r="C301" i="8"/>
  <c r="D301" i="8" s="1"/>
  <c r="F301" i="8"/>
  <c r="N209" i="9" l="1"/>
  <c r="P471" i="14"/>
  <c r="D473" i="14"/>
  <c r="C474" i="14"/>
  <c r="M472" i="14"/>
  <c r="N472" i="14"/>
  <c r="K472" i="14"/>
  <c r="L472" i="14"/>
  <c r="L209" i="9"/>
  <c r="P209" i="9" s="1"/>
  <c r="J209" i="9"/>
  <c r="I209" i="9"/>
  <c r="H209" i="9"/>
  <c r="O209" i="9"/>
  <c r="E201" i="14"/>
  <c r="J201" i="14"/>
  <c r="I201" i="14"/>
  <c r="G202" i="14"/>
  <c r="H301" i="8"/>
  <c r="E302" i="8"/>
  <c r="G302" i="8" s="1"/>
  <c r="I301" i="8"/>
  <c r="D474" i="14" l="1"/>
  <c r="C475" i="14"/>
  <c r="P472" i="14"/>
  <c r="M473" i="14"/>
  <c r="L473" i="14"/>
  <c r="K473" i="14"/>
  <c r="N473" i="14"/>
  <c r="C210" i="9"/>
  <c r="D210" i="9" s="1"/>
  <c r="F201" i="14"/>
  <c r="H201" i="14" s="1"/>
  <c r="C302" i="8"/>
  <c r="D302" i="8" s="1"/>
  <c r="F302" i="8"/>
  <c r="P473" i="14" l="1"/>
  <c r="D475" i="14"/>
  <c r="C476" i="14"/>
  <c r="M474" i="14"/>
  <c r="L474" i="14"/>
  <c r="K474" i="14"/>
  <c r="N474" i="14"/>
  <c r="M210" i="9"/>
  <c r="E210" i="9"/>
  <c r="F210" i="9" s="1"/>
  <c r="G211" i="9"/>
  <c r="K210" i="9"/>
  <c r="H302" i="8"/>
  <c r="O201" i="14"/>
  <c r="E303" i="8"/>
  <c r="G303" i="8" s="1"/>
  <c r="I302" i="8"/>
  <c r="P474" i="14" l="1"/>
  <c r="D476" i="14"/>
  <c r="C477" i="14"/>
  <c r="N475" i="14"/>
  <c r="K475" i="14"/>
  <c r="M475" i="14"/>
  <c r="L475" i="14"/>
  <c r="N210" i="9"/>
  <c r="L210" i="9"/>
  <c r="J210" i="9"/>
  <c r="I210" i="9"/>
  <c r="H210" i="9"/>
  <c r="O210" i="9"/>
  <c r="J202" i="14"/>
  <c r="I202" i="14"/>
  <c r="E202" i="14"/>
  <c r="G203" i="14"/>
  <c r="F303" i="8"/>
  <c r="C303" i="8"/>
  <c r="D303" i="8" s="1"/>
  <c r="P475" i="14" l="1"/>
  <c r="C478" i="14"/>
  <c r="D477" i="14"/>
  <c r="K476" i="14"/>
  <c r="L476" i="14"/>
  <c r="M476" i="14"/>
  <c r="N476" i="14"/>
  <c r="P210" i="9"/>
  <c r="C211" i="9"/>
  <c r="D211" i="9" s="1"/>
  <c r="F202" i="14"/>
  <c r="H202" i="14" s="1"/>
  <c r="H303" i="8"/>
  <c r="E304" i="8"/>
  <c r="G304" i="8" s="1"/>
  <c r="I303" i="8"/>
  <c r="P476" i="14" l="1"/>
  <c r="L477" i="14"/>
  <c r="K477" i="14"/>
  <c r="N477" i="14"/>
  <c r="M477" i="14"/>
  <c r="C479" i="14"/>
  <c r="D478" i="14"/>
  <c r="I211" i="9"/>
  <c r="G212" i="9"/>
  <c r="E211" i="9"/>
  <c r="F211" i="9" s="1"/>
  <c r="M211" i="9"/>
  <c r="K211" i="9"/>
  <c r="L211" i="9"/>
  <c r="O202" i="14"/>
  <c r="F304" i="8"/>
  <c r="C304" i="8"/>
  <c r="D304" i="8" s="1"/>
  <c r="N478" i="14" l="1"/>
  <c r="M478" i="14"/>
  <c r="K478" i="14"/>
  <c r="L478" i="14"/>
  <c r="P477" i="14"/>
  <c r="C480" i="14"/>
  <c r="D479" i="14"/>
  <c r="J211" i="9"/>
  <c r="N211" i="9"/>
  <c r="P211" i="9" s="1"/>
  <c r="H211" i="9"/>
  <c r="O211" i="9"/>
  <c r="E203" i="14"/>
  <c r="J203" i="14"/>
  <c r="I203" i="14"/>
  <c r="G204" i="14"/>
  <c r="H304" i="8"/>
  <c r="E305" i="8"/>
  <c r="G305" i="8" s="1"/>
  <c r="I304" i="8"/>
  <c r="P478" i="14" l="1"/>
  <c r="N479" i="14"/>
  <c r="K479" i="14"/>
  <c r="L479" i="14"/>
  <c r="M479" i="14"/>
  <c r="D480" i="14"/>
  <c r="C481" i="14"/>
  <c r="C212" i="9"/>
  <c r="D212" i="9" s="1"/>
  <c r="F203" i="14"/>
  <c r="H203" i="14" s="1"/>
  <c r="C305" i="8"/>
  <c r="D305" i="8" s="1"/>
  <c r="F305" i="8"/>
  <c r="P479" i="14" l="1"/>
  <c r="C482" i="14"/>
  <c r="D481" i="14"/>
  <c r="M480" i="14"/>
  <c r="N480" i="14"/>
  <c r="K480" i="14"/>
  <c r="L480" i="14"/>
  <c r="I212" i="9"/>
  <c r="L212" i="9"/>
  <c r="E212" i="9"/>
  <c r="F212" i="9" s="1"/>
  <c r="M212" i="9"/>
  <c r="G213" i="9"/>
  <c r="O203" i="14"/>
  <c r="H305" i="8"/>
  <c r="E306" i="8"/>
  <c r="G306" i="8" s="1"/>
  <c r="I305" i="8"/>
  <c r="J212" i="9" l="1"/>
  <c r="M481" i="14"/>
  <c r="L481" i="14"/>
  <c r="N481" i="14"/>
  <c r="K481" i="14"/>
  <c r="P480" i="14"/>
  <c r="C483" i="14"/>
  <c r="D482" i="14"/>
  <c r="N212" i="9"/>
  <c r="K212" i="9"/>
  <c r="H212" i="9"/>
  <c r="C213" i="9" s="1"/>
  <c r="O212" i="9"/>
  <c r="E204" i="14"/>
  <c r="J204" i="14"/>
  <c r="I204" i="14"/>
  <c r="G205" i="14"/>
  <c r="F306" i="8"/>
  <c r="C306" i="8"/>
  <c r="D306" i="8" s="1"/>
  <c r="P481" i="14" l="1"/>
  <c r="N482" i="14"/>
  <c r="K482" i="14"/>
  <c r="M482" i="14"/>
  <c r="L482" i="14"/>
  <c r="D483" i="14"/>
  <c r="C484" i="14"/>
  <c r="P212" i="9"/>
  <c r="D213" i="9"/>
  <c r="F204" i="14"/>
  <c r="H204" i="14" s="1"/>
  <c r="I306" i="8"/>
  <c r="H306" i="8"/>
  <c r="E307" i="8"/>
  <c r="G307" i="8" s="1"/>
  <c r="P482" i="14" l="1"/>
  <c r="D484" i="14"/>
  <c r="C485" i="14"/>
  <c r="L483" i="14"/>
  <c r="M483" i="14"/>
  <c r="K483" i="14"/>
  <c r="N483" i="14"/>
  <c r="E213" i="9"/>
  <c r="F213" i="9" s="1"/>
  <c r="M213" i="9"/>
  <c r="G214" i="9"/>
  <c r="K213" i="9"/>
  <c r="O204" i="14"/>
  <c r="F307" i="8"/>
  <c r="C307" i="8"/>
  <c r="D307" i="8" s="1"/>
  <c r="P483" i="14" l="1"/>
  <c r="C486" i="14"/>
  <c r="D485" i="14"/>
  <c r="L484" i="14"/>
  <c r="K484" i="14"/>
  <c r="M484" i="14"/>
  <c r="N484" i="14"/>
  <c r="I213" i="9"/>
  <c r="L213" i="9"/>
  <c r="J213" i="9"/>
  <c r="N213" i="9"/>
  <c r="H213" i="9"/>
  <c r="O213" i="9"/>
  <c r="E205" i="14"/>
  <c r="J205" i="14"/>
  <c r="I205" i="14"/>
  <c r="G206" i="14"/>
  <c r="H307" i="8"/>
  <c r="E308" i="8"/>
  <c r="G308" i="8" s="1"/>
  <c r="I307" i="8"/>
  <c r="P213" i="9" l="1"/>
  <c r="P484" i="14"/>
  <c r="K485" i="14"/>
  <c r="M485" i="14"/>
  <c r="L485" i="14"/>
  <c r="N485" i="14"/>
  <c r="D486" i="14"/>
  <c r="C487" i="14"/>
  <c r="C214" i="9"/>
  <c r="D214" i="9" s="1"/>
  <c r="F205" i="14"/>
  <c r="H205" i="14" s="1"/>
  <c r="C308" i="8"/>
  <c r="D308" i="8" s="1"/>
  <c r="F308" i="8"/>
  <c r="C488" i="14" l="1"/>
  <c r="D487" i="14"/>
  <c r="M486" i="14"/>
  <c r="K486" i="14"/>
  <c r="L486" i="14"/>
  <c r="N486" i="14"/>
  <c r="P485" i="14"/>
  <c r="I214" i="9"/>
  <c r="M214" i="9"/>
  <c r="E214" i="9"/>
  <c r="F214" i="9" s="1"/>
  <c r="L214" i="9"/>
  <c r="G215" i="9"/>
  <c r="K214" i="9"/>
  <c r="N214" i="9"/>
  <c r="O205" i="14"/>
  <c r="H308" i="8"/>
  <c r="E309" i="8"/>
  <c r="G309" i="8" s="1"/>
  <c r="I308" i="8"/>
  <c r="P486" i="14" l="1"/>
  <c r="J214" i="9"/>
  <c r="N487" i="14"/>
  <c r="K487" i="14"/>
  <c r="M487" i="14"/>
  <c r="L487" i="14"/>
  <c r="C489" i="14"/>
  <c r="D488" i="14"/>
  <c r="P214" i="9"/>
  <c r="H214" i="9"/>
  <c r="C215" i="9" s="1"/>
  <c r="O214" i="9"/>
  <c r="E206" i="14"/>
  <c r="J206" i="14"/>
  <c r="I206" i="14"/>
  <c r="G207" i="14"/>
  <c r="C309" i="8"/>
  <c r="D309" i="8" s="1"/>
  <c r="F309" i="8"/>
  <c r="P487" i="14" l="1"/>
  <c r="K488" i="14"/>
  <c r="L488" i="14"/>
  <c r="M488" i="14"/>
  <c r="N488" i="14"/>
  <c r="D489" i="14"/>
  <c r="C490" i="14"/>
  <c r="D215" i="9"/>
  <c r="F206" i="14"/>
  <c r="H206" i="14" s="1"/>
  <c r="H309" i="8"/>
  <c r="E310" i="8"/>
  <c r="G310" i="8" s="1"/>
  <c r="I309" i="8"/>
  <c r="P488" i="14" l="1"/>
  <c r="D490" i="14"/>
  <c r="C491" i="14"/>
  <c r="K489" i="14"/>
  <c r="L489" i="14"/>
  <c r="N489" i="14"/>
  <c r="M489" i="14"/>
  <c r="I215" i="9"/>
  <c r="E215" i="9"/>
  <c r="F215" i="9" s="1"/>
  <c r="G216" i="9"/>
  <c r="M215" i="9"/>
  <c r="L215" i="9"/>
  <c r="N215" i="9"/>
  <c r="K215" i="9"/>
  <c r="O206" i="14"/>
  <c r="C310" i="8"/>
  <c r="D310" i="8" s="1"/>
  <c r="F310" i="8"/>
  <c r="J215" i="9" l="1"/>
  <c r="P489" i="14"/>
  <c r="C492" i="14"/>
  <c r="D491" i="14"/>
  <c r="N490" i="14"/>
  <c r="K490" i="14"/>
  <c r="L490" i="14"/>
  <c r="M490" i="14"/>
  <c r="P215" i="9"/>
  <c r="H215" i="9"/>
  <c r="O215" i="9"/>
  <c r="E207" i="14"/>
  <c r="J207" i="14"/>
  <c r="I207" i="14"/>
  <c r="G208" i="14"/>
  <c r="H310" i="8"/>
  <c r="E311" i="8"/>
  <c r="G311" i="8" s="1"/>
  <c r="I310" i="8"/>
  <c r="C216" i="9" l="1"/>
  <c r="D216" i="9" s="1"/>
  <c r="E216" i="9" s="1"/>
  <c r="F216" i="9" s="1"/>
  <c r="H216" i="9" s="1"/>
  <c r="P490" i="14"/>
  <c r="L491" i="14"/>
  <c r="M491" i="14"/>
  <c r="K491" i="14"/>
  <c r="N491" i="14"/>
  <c r="C493" i="14"/>
  <c r="D492" i="14"/>
  <c r="F207" i="14"/>
  <c r="H207" i="14" s="1"/>
  <c r="F311" i="8"/>
  <c r="C311" i="8"/>
  <c r="D311" i="8" s="1"/>
  <c r="P491" i="14" l="1"/>
  <c r="M216" i="9"/>
  <c r="G217" i="9"/>
  <c r="K216" i="9"/>
  <c r="J216" i="9"/>
  <c r="L216" i="9"/>
  <c r="I216" i="9"/>
  <c r="L492" i="14"/>
  <c r="M492" i="14"/>
  <c r="K492" i="14"/>
  <c r="N492" i="14"/>
  <c r="C494" i="14"/>
  <c r="D493" i="14"/>
  <c r="N216" i="9"/>
  <c r="O216" i="9"/>
  <c r="O207" i="14"/>
  <c r="H311" i="8"/>
  <c r="E312" i="8"/>
  <c r="G312" i="8" s="1"/>
  <c r="I311" i="8"/>
  <c r="C217" i="9" l="1"/>
  <c r="D217" i="9" s="1"/>
  <c r="M217" i="9" s="1"/>
  <c r="P492" i="14"/>
  <c r="P216" i="9"/>
  <c r="M493" i="14"/>
  <c r="N493" i="14"/>
  <c r="K493" i="14"/>
  <c r="L493" i="14"/>
  <c r="D494" i="14"/>
  <c r="C495" i="14"/>
  <c r="E208" i="14"/>
  <c r="J208" i="14"/>
  <c r="I208" i="14"/>
  <c r="G209" i="14"/>
  <c r="C312" i="8"/>
  <c r="D312" i="8" s="1"/>
  <c r="F312" i="8"/>
  <c r="G218" i="9" l="1"/>
  <c r="E217" i="9"/>
  <c r="F217" i="9" s="1"/>
  <c r="O217" i="9" s="1"/>
  <c r="K217" i="9"/>
  <c r="P493" i="14"/>
  <c r="D495" i="14"/>
  <c r="C496" i="14"/>
  <c r="K494" i="14"/>
  <c r="M494" i="14"/>
  <c r="L494" i="14"/>
  <c r="N494" i="14"/>
  <c r="L217" i="9"/>
  <c r="J217" i="9"/>
  <c r="I217" i="9"/>
  <c r="F208" i="14"/>
  <c r="H208" i="14" s="1"/>
  <c r="H312" i="8"/>
  <c r="E313" i="8"/>
  <c r="G313" i="8" s="1"/>
  <c r="I312" i="8"/>
  <c r="H217" i="9" l="1"/>
  <c r="N217" i="9"/>
  <c r="P217" i="9" s="1"/>
  <c r="P494" i="14"/>
  <c r="C497" i="14"/>
  <c r="D496" i="14"/>
  <c r="L495" i="14"/>
  <c r="M495" i="14"/>
  <c r="N495" i="14"/>
  <c r="K495" i="14"/>
  <c r="C218" i="9"/>
  <c r="D218" i="9" s="1"/>
  <c r="O208" i="14"/>
  <c r="C313" i="8"/>
  <c r="D313" i="8" s="1"/>
  <c r="F313" i="8"/>
  <c r="P495" i="14" l="1"/>
  <c r="L496" i="14"/>
  <c r="M496" i="14"/>
  <c r="N496" i="14"/>
  <c r="K496" i="14"/>
  <c r="C498" i="14"/>
  <c r="D497" i="14"/>
  <c r="G219" i="9"/>
  <c r="E218" i="9"/>
  <c r="F218" i="9" s="1"/>
  <c r="E209" i="14"/>
  <c r="J209" i="14"/>
  <c r="I209" i="14"/>
  <c r="G210" i="14"/>
  <c r="H313" i="8"/>
  <c r="E314" i="8"/>
  <c r="G314" i="8" s="1"/>
  <c r="I313" i="8"/>
  <c r="N218" i="9" l="1"/>
  <c r="P496" i="14"/>
  <c r="M497" i="14"/>
  <c r="L497" i="14"/>
  <c r="N497" i="14"/>
  <c r="K497" i="14"/>
  <c r="D498" i="14"/>
  <c r="C499" i="14"/>
  <c r="K218" i="9"/>
  <c r="J218" i="9"/>
  <c r="L218" i="9"/>
  <c r="I218" i="9"/>
  <c r="M218" i="9"/>
  <c r="H218" i="9"/>
  <c r="O218" i="9"/>
  <c r="F209" i="14"/>
  <c r="H209" i="14" s="1"/>
  <c r="F314" i="8"/>
  <c r="C314" i="8"/>
  <c r="D314" i="8" s="1"/>
  <c r="P497" i="14" l="1"/>
  <c r="C500" i="14"/>
  <c r="D499" i="14"/>
  <c r="L498" i="14"/>
  <c r="K498" i="14"/>
  <c r="N498" i="14"/>
  <c r="M498" i="14"/>
  <c r="P218" i="9"/>
  <c r="C219" i="9"/>
  <c r="D219" i="9" s="1"/>
  <c r="O209" i="14"/>
  <c r="H314" i="8"/>
  <c r="E315" i="8"/>
  <c r="G315" i="8" s="1"/>
  <c r="I314" i="8"/>
  <c r="K499" i="14" l="1"/>
  <c r="L499" i="14"/>
  <c r="N499" i="14"/>
  <c r="M499" i="14"/>
  <c r="C501" i="14"/>
  <c r="D500" i="14"/>
  <c r="P498" i="14"/>
  <c r="G220" i="9"/>
  <c r="E219" i="9"/>
  <c r="F219" i="9" s="1"/>
  <c r="M219" i="9"/>
  <c r="E210" i="14"/>
  <c r="J210" i="14"/>
  <c r="I210" i="14"/>
  <c r="G211" i="14"/>
  <c r="C315" i="8"/>
  <c r="D315" i="8" s="1"/>
  <c r="F315" i="8"/>
  <c r="P499" i="14" l="1"/>
  <c r="K500" i="14"/>
  <c r="N500" i="14"/>
  <c r="L500" i="14"/>
  <c r="M500" i="14"/>
  <c r="C502" i="14"/>
  <c r="D502" i="14" s="1"/>
  <c r="D501" i="14"/>
  <c r="K219" i="9"/>
  <c r="L219" i="9"/>
  <c r="J219" i="9"/>
  <c r="I219" i="9"/>
  <c r="N219" i="9"/>
  <c r="H219" i="9"/>
  <c r="O219" i="9"/>
  <c r="F210" i="14"/>
  <c r="H210" i="14" s="1"/>
  <c r="H315" i="8"/>
  <c r="E316" i="8"/>
  <c r="G316" i="8" s="1"/>
  <c r="I315" i="8"/>
  <c r="P500" i="14" l="1"/>
  <c r="K501" i="14"/>
  <c r="M501" i="14"/>
  <c r="L501" i="14"/>
  <c r="N501" i="14"/>
  <c r="M502" i="14"/>
  <c r="L502" i="14"/>
  <c r="K502" i="14"/>
  <c r="N502" i="14"/>
  <c r="P219" i="9"/>
  <c r="C220" i="9"/>
  <c r="D220" i="9" s="1"/>
  <c r="O210" i="14"/>
  <c r="C316" i="8"/>
  <c r="D316" i="8" s="1"/>
  <c r="F316" i="8"/>
  <c r="P501" i="14" l="1"/>
  <c r="P502" i="14"/>
  <c r="E220" i="9"/>
  <c r="F220" i="9" s="1"/>
  <c r="G221" i="9"/>
  <c r="M220" i="9"/>
  <c r="K220" i="9"/>
  <c r="N220" i="9"/>
  <c r="L220" i="9"/>
  <c r="E211" i="14"/>
  <c r="J211" i="14"/>
  <c r="I211" i="14"/>
  <c r="G212" i="14"/>
  <c r="H316" i="8"/>
  <c r="E317" i="8"/>
  <c r="G317" i="8" s="1"/>
  <c r="I316" i="8"/>
  <c r="I220" i="9" l="1"/>
  <c r="J220" i="9"/>
  <c r="P220" i="9"/>
  <c r="H220" i="9"/>
  <c r="O220" i="9"/>
  <c r="F211" i="14"/>
  <c r="H211" i="14" s="1"/>
  <c r="F317" i="8"/>
  <c r="C317" i="8"/>
  <c r="D317" i="8" s="1"/>
  <c r="C221" i="9" l="1"/>
  <c r="D221" i="9" s="1"/>
  <c r="O211" i="14"/>
  <c r="E318" i="8"/>
  <c r="G318" i="8" s="1"/>
  <c r="I317" i="8"/>
  <c r="H317" i="8"/>
  <c r="I221" i="9" l="1"/>
  <c r="J221" i="9"/>
  <c r="L221" i="9"/>
  <c r="E221" i="9"/>
  <c r="F221" i="9" s="1"/>
  <c r="K221" i="9"/>
  <c r="M221" i="9"/>
  <c r="G222" i="9"/>
  <c r="E212" i="14"/>
  <c r="J212" i="14"/>
  <c r="I212" i="14"/>
  <c r="G213" i="14"/>
  <c r="F318" i="8"/>
  <c r="C318" i="8"/>
  <c r="D318" i="8" s="1"/>
  <c r="N221" i="9" l="1"/>
  <c r="P221" i="9" s="1"/>
  <c r="H221" i="9"/>
  <c r="C222" i="9" s="1"/>
  <c r="O221" i="9"/>
  <c r="F212" i="14"/>
  <c r="H212" i="14" s="1"/>
  <c r="E319" i="8"/>
  <c r="G319" i="8" s="1"/>
  <c r="I318" i="8"/>
  <c r="H318" i="8"/>
  <c r="D222" i="9" l="1"/>
  <c r="O212" i="14"/>
  <c r="F319" i="8"/>
  <c r="C319" i="8"/>
  <c r="D319" i="8" s="1"/>
  <c r="I222" i="9" l="1"/>
  <c r="J222" i="9"/>
  <c r="K222" i="9"/>
  <c r="G223" i="9"/>
  <c r="M222" i="9"/>
  <c r="L222" i="9"/>
  <c r="E222" i="9"/>
  <c r="F222" i="9" s="1"/>
  <c r="E213" i="14"/>
  <c r="J213" i="14"/>
  <c r="I213" i="14"/>
  <c r="G214" i="14"/>
  <c r="H319" i="8"/>
  <c r="E320" i="8"/>
  <c r="G320" i="8" s="1"/>
  <c r="I319" i="8"/>
  <c r="N222" i="9" l="1"/>
  <c r="P222" i="9" s="1"/>
  <c r="H222" i="9"/>
  <c r="C223" i="9" s="1"/>
  <c r="O222" i="9"/>
  <c r="F213" i="14"/>
  <c r="H213" i="14" s="1"/>
  <c r="F320" i="8"/>
  <c r="C320" i="8"/>
  <c r="D320" i="8" s="1"/>
  <c r="D223" i="9" l="1"/>
  <c r="O213" i="14"/>
  <c r="H320" i="8"/>
  <c r="E321" i="8"/>
  <c r="G321" i="8" s="1"/>
  <c r="I320" i="8"/>
  <c r="I223" i="9" l="1"/>
  <c r="J223" i="9"/>
  <c r="E223" i="9"/>
  <c r="F223" i="9" s="1"/>
  <c r="G224" i="9"/>
  <c r="M223" i="9"/>
  <c r="K223" i="9"/>
  <c r="L223" i="9"/>
  <c r="E214" i="14"/>
  <c r="J214" i="14"/>
  <c r="I214" i="14"/>
  <c r="G215" i="14"/>
  <c r="F321" i="8"/>
  <c r="C321" i="8"/>
  <c r="D321" i="8" s="1"/>
  <c r="N223" i="9" l="1"/>
  <c r="P223" i="9" s="1"/>
  <c r="H223" i="9"/>
  <c r="C224" i="9" s="1"/>
  <c r="O223" i="9"/>
  <c r="F214" i="14"/>
  <c r="H214" i="14" s="1"/>
  <c r="E322" i="8"/>
  <c r="G322" i="8" s="1"/>
  <c r="I321" i="8"/>
  <c r="H321" i="8"/>
  <c r="D224" i="9" l="1"/>
  <c r="O214" i="14"/>
  <c r="F322" i="8"/>
  <c r="C322" i="8"/>
  <c r="D322" i="8" s="1"/>
  <c r="I224" i="9" l="1"/>
  <c r="J224" i="9"/>
  <c r="E224" i="9"/>
  <c r="F224" i="9" s="1"/>
  <c r="M224" i="9"/>
  <c r="K224" i="9"/>
  <c r="G225" i="9"/>
  <c r="L224" i="9"/>
  <c r="E215" i="14"/>
  <c r="J215" i="14"/>
  <c r="I215" i="14"/>
  <c r="G216" i="14"/>
  <c r="E323" i="8"/>
  <c r="G323" i="8" s="1"/>
  <c r="I322" i="8"/>
  <c r="H322" i="8"/>
  <c r="N224" i="9" l="1"/>
  <c r="P224" i="9" s="1"/>
  <c r="H224" i="9"/>
  <c r="C225" i="9" s="1"/>
  <c r="O224" i="9"/>
  <c r="F215" i="14"/>
  <c r="H215" i="14" s="1"/>
  <c r="F323" i="8"/>
  <c r="C323" i="8"/>
  <c r="D323" i="8" s="1"/>
  <c r="D225" i="9" l="1"/>
  <c r="O215" i="14"/>
  <c r="H323" i="8"/>
  <c r="E324" i="8"/>
  <c r="G324" i="8" s="1"/>
  <c r="I323" i="8"/>
  <c r="I225" i="9" l="1"/>
  <c r="J225" i="9"/>
  <c r="L225" i="9"/>
  <c r="E225" i="9"/>
  <c r="F225" i="9" s="1"/>
  <c r="G226" i="9"/>
  <c r="K225" i="9"/>
  <c r="M225" i="9"/>
  <c r="E216" i="14"/>
  <c r="J216" i="14"/>
  <c r="I216" i="14"/>
  <c r="G217" i="14"/>
  <c r="C324" i="8"/>
  <c r="D324" i="8" s="1"/>
  <c r="F324" i="8"/>
  <c r="N225" i="9" l="1"/>
  <c r="P225" i="9" s="1"/>
  <c r="H225" i="9"/>
  <c r="C226" i="9" s="1"/>
  <c r="O225" i="9"/>
  <c r="F216" i="14"/>
  <c r="H216" i="14" s="1"/>
  <c r="H324" i="8"/>
  <c r="E325" i="8"/>
  <c r="G325" i="8" s="1"/>
  <c r="I324" i="8"/>
  <c r="D226" i="9" l="1"/>
  <c r="O216" i="14"/>
  <c r="C325" i="8"/>
  <c r="D325" i="8" s="1"/>
  <c r="F325" i="8"/>
  <c r="I226" i="9" l="1"/>
  <c r="J226" i="9"/>
  <c r="L226" i="9"/>
  <c r="G227" i="9"/>
  <c r="E226" i="9"/>
  <c r="F226" i="9" s="1"/>
  <c r="K226" i="9"/>
  <c r="M226" i="9"/>
  <c r="N226" i="9"/>
  <c r="E217" i="14"/>
  <c r="J217" i="14"/>
  <c r="I217" i="14"/>
  <c r="G218" i="14"/>
  <c r="H325" i="8"/>
  <c r="E326" i="8"/>
  <c r="G326" i="8" s="1"/>
  <c r="I325" i="8"/>
  <c r="P226" i="9" l="1"/>
  <c r="H226" i="9"/>
  <c r="C227" i="9" s="1"/>
  <c r="O226" i="9"/>
  <c r="F217" i="14"/>
  <c r="H217" i="14" s="1"/>
  <c r="F326" i="8"/>
  <c r="C326" i="8"/>
  <c r="D326" i="8" s="1"/>
  <c r="D227" i="9" l="1"/>
  <c r="O217" i="14"/>
  <c r="H326" i="8"/>
  <c r="E327" i="8"/>
  <c r="G327" i="8" s="1"/>
  <c r="I326" i="8"/>
  <c r="I227" i="9" l="1"/>
  <c r="J227" i="9"/>
  <c r="E227" i="9"/>
  <c r="F227" i="9" s="1"/>
  <c r="G228" i="9"/>
  <c r="M227" i="9"/>
  <c r="L227" i="9"/>
  <c r="K227" i="9"/>
  <c r="E218" i="14"/>
  <c r="J218" i="14"/>
  <c r="I218" i="14"/>
  <c r="G219" i="14"/>
  <c r="C327" i="8"/>
  <c r="D327" i="8" s="1"/>
  <c r="F327" i="8"/>
  <c r="N227" i="9" l="1"/>
  <c r="P227" i="9" s="1"/>
  <c r="H227" i="9"/>
  <c r="C228" i="9" s="1"/>
  <c r="O227" i="9"/>
  <c r="F218" i="14"/>
  <c r="H218" i="14" s="1"/>
  <c r="H327" i="8"/>
  <c r="E328" i="8"/>
  <c r="G328" i="8" s="1"/>
  <c r="I327" i="8"/>
  <c r="D228" i="9" l="1"/>
  <c r="O218" i="14"/>
  <c r="F328" i="8"/>
  <c r="C328" i="8"/>
  <c r="D328" i="8" s="1"/>
  <c r="I228" i="9" l="1"/>
  <c r="J228" i="9"/>
  <c r="E228" i="9"/>
  <c r="F228" i="9" s="1"/>
  <c r="L228" i="9"/>
  <c r="K228" i="9"/>
  <c r="M228" i="9"/>
  <c r="G229" i="9"/>
  <c r="N228" i="9"/>
  <c r="E219" i="14"/>
  <c r="J219" i="14"/>
  <c r="I219" i="14"/>
  <c r="G220" i="14"/>
  <c r="H328" i="8"/>
  <c r="E329" i="8"/>
  <c r="G329" i="8" s="1"/>
  <c r="I328" i="8"/>
  <c r="P228" i="9" l="1"/>
  <c r="H228" i="9"/>
  <c r="C229" i="9" s="1"/>
  <c r="O228" i="9"/>
  <c r="F219" i="14"/>
  <c r="H219" i="14" s="1"/>
  <c r="C329" i="8"/>
  <c r="D329" i="8" s="1"/>
  <c r="F329" i="8"/>
  <c r="D229" i="9" l="1"/>
  <c r="O219" i="14"/>
  <c r="H329" i="8"/>
  <c r="E330" i="8"/>
  <c r="G330" i="8" s="1"/>
  <c r="I329" i="8"/>
  <c r="I229" i="9" l="1"/>
  <c r="J229" i="9"/>
  <c r="E229" i="9"/>
  <c r="F229" i="9" s="1"/>
  <c r="M229" i="9"/>
  <c r="L229" i="9"/>
  <c r="G230" i="9"/>
  <c r="K229" i="9"/>
  <c r="E220" i="14"/>
  <c r="J220" i="14"/>
  <c r="I220" i="14"/>
  <c r="G221" i="14"/>
  <c r="F330" i="8"/>
  <c r="C330" i="8"/>
  <c r="D330" i="8" s="1"/>
  <c r="N229" i="9" l="1"/>
  <c r="P229" i="9" s="1"/>
  <c r="H229" i="9"/>
  <c r="C230" i="9" s="1"/>
  <c r="O229" i="9"/>
  <c r="F220" i="14"/>
  <c r="H220" i="14" s="1"/>
  <c r="H330" i="8"/>
  <c r="E331" i="8"/>
  <c r="G331" i="8" s="1"/>
  <c r="I330" i="8"/>
  <c r="D230" i="9" l="1"/>
  <c r="O220" i="14"/>
  <c r="F331" i="8"/>
  <c r="C331" i="8"/>
  <c r="D331" i="8" s="1"/>
  <c r="I230" i="9" l="1"/>
  <c r="J230" i="9"/>
  <c r="L230" i="9"/>
  <c r="G231" i="9"/>
  <c r="M230" i="9"/>
  <c r="E230" i="9"/>
  <c r="F230" i="9" s="1"/>
  <c r="K230" i="9"/>
  <c r="E221" i="14"/>
  <c r="J221" i="14"/>
  <c r="I221" i="14"/>
  <c r="G222" i="14"/>
  <c r="E332" i="8"/>
  <c r="G332" i="8" s="1"/>
  <c r="I331" i="8"/>
  <c r="H331" i="8"/>
  <c r="N230" i="9" l="1"/>
  <c r="P230" i="9" s="1"/>
  <c r="H230" i="9"/>
  <c r="C231" i="9" s="1"/>
  <c r="O230" i="9"/>
  <c r="F221" i="14"/>
  <c r="H221" i="14" s="1"/>
  <c r="F332" i="8"/>
  <c r="C332" i="8"/>
  <c r="D332" i="8" s="1"/>
  <c r="D231" i="9" l="1"/>
  <c r="O221" i="14"/>
  <c r="H332" i="8"/>
  <c r="E333" i="8"/>
  <c r="G333" i="8" s="1"/>
  <c r="I332" i="8"/>
  <c r="I231" i="9" l="1"/>
  <c r="J231" i="9"/>
  <c r="G232" i="9"/>
  <c r="E231" i="9"/>
  <c r="F231" i="9" s="1"/>
  <c r="M231" i="9"/>
  <c r="L231" i="9"/>
  <c r="K231" i="9"/>
  <c r="E222" i="14"/>
  <c r="J222" i="14"/>
  <c r="I222" i="14"/>
  <c r="G223" i="14"/>
  <c r="C333" i="8"/>
  <c r="D333" i="8" s="1"/>
  <c r="F333" i="8"/>
  <c r="N231" i="9" l="1"/>
  <c r="P231" i="9" s="1"/>
  <c r="H231" i="9"/>
  <c r="C232" i="9" s="1"/>
  <c r="O231" i="9"/>
  <c r="F222" i="14"/>
  <c r="H222" i="14" s="1"/>
  <c r="H333" i="8"/>
  <c r="E334" i="8"/>
  <c r="G334" i="8" s="1"/>
  <c r="I333" i="8"/>
  <c r="D232" i="9" l="1"/>
  <c r="O222" i="14"/>
  <c r="C334" i="8"/>
  <c r="D334" i="8" s="1"/>
  <c r="F334" i="8"/>
  <c r="I232" i="9" l="1"/>
  <c r="J232" i="9"/>
  <c r="K232" i="9"/>
  <c r="E232" i="9"/>
  <c r="F232" i="9" s="1"/>
  <c r="L232" i="9"/>
  <c r="M232" i="9"/>
  <c r="G233" i="9"/>
  <c r="N232" i="9"/>
  <c r="E223" i="14"/>
  <c r="J223" i="14"/>
  <c r="I223" i="14"/>
  <c r="G224" i="14"/>
  <c r="H334" i="8"/>
  <c r="E335" i="8"/>
  <c r="G335" i="8" s="1"/>
  <c r="I334" i="8"/>
  <c r="P232" i="9" l="1"/>
  <c r="H232" i="9"/>
  <c r="C233" i="9" s="1"/>
  <c r="O232" i="9"/>
  <c r="F223" i="14"/>
  <c r="H223" i="14" s="1"/>
  <c r="C335" i="8"/>
  <c r="D335" i="8" s="1"/>
  <c r="F335" i="8"/>
  <c r="D233" i="9" l="1"/>
  <c r="O223" i="14"/>
  <c r="H335" i="8"/>
  <c r="E336" i="8"/>
  <c r="G336" i="8" s="1"/>
  <c r="I335" i="8"/>
  <c r="I233" i="9" l="1"/>
  <c r="J233" i="9"/>
  <c r="L233" i="9"/>
  <c r="E233" i="9"/>
  <c r="F233" i="9" s="1"/>
  <c r="M233" i="9"/>
  <c r="G234" i="9"/>
  <c r="K233" i="9"/>
  <c r="E224" i="14"/>
  <c r="J224" i="14"/>
  <c r="I224" i="14"/>
  <c r="G225" i="14"/>
  <c r="C336" i="8"/>
  <c r="D336" i="8" s="1"/>
  <c r="F336" i="8"/>
  <c r="N233" i="9" l="1"/>
  <c r="P233" i="9" s="1"/>
  <c r="H233" i="9"/>
  <c r="C234" i="9" s="1"/>
  <c r="O233" i="9"/>
  <c r="F224" i="14"/>
  <c r="H224" i="14" s="1"/>
  <c r="H336" i="8"/>
  <c r="E337" i="8"/>
  <c r="G337" i="8" s="1"/>
  <c r="I336" i="8"/>
  <c r="D234" i="9" l="1"/>
  <c r="O224" i="14"/>
  <c r="C337" i="8"/>
  <c r="D337" i="8" s="1"/>
  <c r="F337" i="8"/>
  <c r="I234" i="9" l="1"/>
  <c r="J234" i="9"/>
  <c r="G235" i="9"/>
  <c r="E234" i="9"/>
  <c r="F234" i="9" s="1"/>
  <c r="L234" i="9"/>
  <c r="M234" i="9"/>
  <c r="K234" i="9"/>
  <c r="E225" i="14"/>
  <c r="J225" i="14"/>
  <c r="I225" i="14"/>
  <c r="G226" i="14"/>
  <c r="H337" i="8"/>
  <c r="E338" i="8"/>
  <c r="G338" i="8" s="1"/>
  <c r="I337" i="8"/>
  <c r="N234" i="9" l="1"/>
  <c r="P234" i="9" s="1"/>
  <c r="H234" i="9"/>
  <c r="C235" i="9" s="1"/>
  <c r="O234" i="9"/>
  <c r="F225" i="14"/>
  <c r="H225" i="14" s="1"/>
  <c r="C338" i="8"/>
  <c r="D338" i="8" s="1"/>
  <c r="F338" i="8"/>
  <c r="D235" i="9" l="1"/>
  <c r="O225" i="14"/>
  <c r="H338" i="8"/>
  <c r="E339" i="8"/>
  <c r="G339" i="8" s="1"/>
  <c r="I338" i="8"/>
  <c r="I235" i="9" l="1"/>
  <c r="J235" i="9"/>
  <c r="G236" i="9"/>
  <c r="M235" i="9"/>
  <c r="L235" i="9"/>
  <c r="E235" i="9"/>
  <c r="F235" i="9" s="1"/>
  <c r="K235" i="9"/>
  <c r="E226" i="14"/>
  <c r="J226" i="14"/>
  <c r="I226" i="14"/>
  <c r="G227" i="14"/>
  <c r="F339" i="8"/>
  <c r="C339" i="8"/>
  <c r="D339" i="8" s="1"/>
  <c r="N235" i="9" l="1"/>
  <c r="P235" i="9" s="1"/>
  <c r="H235" i="9"/>
  <c r="C236" i="9" s="1"/>
  <c r="O235" i="9"/>
  <c r="F226" i="14"/>
  <c r="H226" i="14" s="1"/>
  <c r="E340" i="8"/>
  <c r="G340" i="8" s="1"/>
  <c r="I339" i="8"/>
  <c r="H339" i="8"/>
  <c r="D236" i="9" l="1"/>
  <c r="O226" i="14"/>
  <c r="F340" i="8"/>
  <c r="C340" i="8"/>
  <c r="D340" i="8" s="1"/>
  <c r="I236" i="9" l="1"/>
  <c r="J236" i="9"/>
  <c r="G237" i="9"/>
  <c r="E236" i="9"/>
  <c r="F236" i="9" s="1"/>
  <c r="M236" i="9"/>
  <c r="L236" i="9"/>
  <c r="K236" i="9"/>
  <c r="E227" i="14"/>
  <c r="J227" i="14"/>
  <c r="I227" i="14"/>
  <c r="G228" i="14"/>
  <c r="H340" i="8"/>
  <c r="E341" i="8"/>
  <c r="G341" i="8" s="1"/>
  <c r="I340" i="8"/>
  <c r="N236" i="9" l="1"/>
  <c r="P236" i="9" s="1"/>
  <c r="H236" i="9"/>
  <c r="C237" i="9" s="1"/>
  <c r="O236" i="9"/>
  <c r="F227" i="14"/>
  <c r="H227" i="14" s="1"/>
  <c r="C341" i="8"/>
  <c r="D341" i="8" s="1"/>
  <c r="F341" i="8"/>
  <c r="D237" i="9" l="1"/>
  <c r="O227" i="14"/>
  <c r="H341" i="8"/>
  <c r="E342" i="8"/>
  <c r="G342" i="8" s="1"/>
  <c r="I341" i="8"/>
  <c r="I237" i="9" l="1"/>
  <c r="J237" i="9"/>
  <c r="G238" i="9"/>
  <c r="L237" i="9"/>
  <c r="M237" i="9"/>
  <c r="E237" i="9"/>
  <c r="F237" i="9" s="1"/>
  <c r="K237" i="9"/>
  <c r="E228" i="14"/>
  <c r="J228" i="14"/>
  <c r="I228" i="14"/>
  <c r="G229" i="14"/>
  <c r="C342" i="8"/>
  <c r="D342" i="8" s="1"/>
  <c r="F342" i="8"/>
  <c r="N237" i="9" l="1"/>
  <c r="P237" i="9" s="1"/>
  <c r="H237" i="9"/>
  <c r="C238" i="9" s="1"/>
  <c r="O237" i="9"/>
  <c r="F228" i="14"/>
  <c r="H228" i="14" s="1"/>
  <c r="H342" i="8"/>
  <c r="E343" i="8"/>
  <c r="G343" i="8" s="1"/>
  <c r="I342" i="8"/>
  <c r="D238" i="9" l="1"/>
  <c r="O228" i="14"/>
  <c r="C343" i="8"/>
  <c r="D343" i="8" s="1"/>
  <c r="F343" i="8"/>
  <c r="I238" i="9" l="1"/>
  <c r="J238" i="9"/>
  <c r="E238" i="9"/>
  <c r="F238" i="9" s="1"/>
  <c r="L238" i="9"/>
  <c r="G239" i="9"/>
  <c r="K238" i="9"/>
  <c r="M238" i="9"/>
  <c r="E229" i="14"/>
  <c r="J229" i="14"/>
  <c r="I229" i="14"/>
  <c r="G230" i="14"/>
  <c r="H343" i="8"/>
  <c r="E344" i="8"/>
  <c r="G344" i="8" s="1"/>
  <c r="I343" i="8"/>
  <c r="N238" i="9" l="1"/>
  <c r="P238" i="9" s="1"/>
  <c r="H238" i="9"/>
  <c r="C239" i="9" s="1"/>
  <c r="O238" i="9"/>
  <c r="F229" i="14"/>
  <c r="H229" i="14" s="1"/>
  <c r="F344" i="8"/>
  <c r="C344" i="8"/>
  <c r="D344" i="8" s="1"/>
  <c r="D239" i="9" l="1"/>
  <c r="O229" i="14"/>
  <c r="E345" i="8"/>
  <c r="G345" i="8" s="1"/>
  <c r="I344" i="8"/>
  <c r="H344" i="8"/>
  <c r="I239" i="9" l="1"/>
  <c r="J239" i="9"/>
  <c r="L239" i="9"/>
  <c r="G240" i="9"/>
  <c r="M239" i="9"/>
  <c r="E239" i="9"/>
  <c r="F239" i="9" s="1"/>
  <c r="K239" i="9"/>
  <c r="E230" i="14"/>
  <c r="J230" i="14"/>
  <c r="I230" i="14"/>
  <c r="G231" i="14"/>
  <c r="C345" i="8"/>
  <c r="D345" i="8" s="1"/>
  <c r="F345" i="8"/>
  <c r="N239" i="9" l="1"/>
  <c r="P239" i="9" s="1"/>
  <c r="H239" i="9"/>
  <c r="C240" i="9" s="1"/>
  <c r="O239" i="9"/>
  <c r="F230" i="14"/>
  <c r="H230" i="14" s="1"/>
  <c r="H345" i="8"/>
  <c r="E346" i="8"/>
  <c r="G346" i="8" s="1"/>
  <c r="I345" i="8"/>
  <c r="D240" i="9" l="1"/>
  <c r="O230" i="14"/>
  <c r="F346" i="8"/>
  <c r="C346" i="8"/>
  <c r="D346" i="8" s="1"/>
  <c r="I240" i="9" l="1"/>
  <c r="J240" i="9"/>
  <c r="G241" i="9"/>
  <c r="L240" i="9"/>
  <c r="M240" i="9"/>
  <c r="E240" i="9"/>
  <c r="F240" i="9" s="1"/>
  <c r="K240" i="9"/>
  <c r="E231" i="14"/>
  <c r="J231" i="14"/>
  <c r="I231" i="14"/>
  <c r="G232" i="14"/>
  <c r="E347" i="8"/>
  <c r="G347" i="8" s="1"/>
  <c r="I346" i="8"/>
  <c r="H346" i="8"/>
  <c r="N240" i="9" l="1"/>
  <c r="P240" i="9" s="1"/>
  <c r="H240" i="9"/>
  <c r="C241" i="9" s="1"/>
  <c r="O240" i="9"/>
  <c r="F231" i="14"/>
  <c r="H231" i="14" s="1"/>
  <c r="C347" i="8"/>
  <c r="D347" i="8" s="1"/>
  <c r="F347" i="8"/>
  <c r="D241" i="9" l="1"/>
  <c r="O231" i="14"/>
  <c r="H347" i="8"/>
  <c r="E348" i="8"/>
  <c r="G348" i="8" s="1"/>
  <c r="I347" i="8"/>
  <c r="I241" i="9" l="1"/>
  <c r="J241" i="9"/>
  <c r="M241" i="9"/>
  <c r="E241" i="9"/>
  <c r="F241" i="9" s="1"/>
  <c r="G242" i="9"/>
  <c r="K241" i="9"/>
  <c r="L241" i="9"/>
  <c r="E232" i="14"/>
  <c r="J232" i="14"/>
  <c r="I232" i="14"/>
  <c r="G233" i="14"/>
  <c r="F348" i="8"/>
  <c r="C348" i="8"/>
  <c r="D348" i="8" s="1"/>
  <c r="N241" i="9" l="1"/>
  <c r="P241" i="9" s="1"/>
  <c r="H241" i="9"/>
  <c r="C242" i="9" s="1"/>
  <c r="D242" i="9" s="1"/>
  <c r="I242" i="9" s="1"/>
  <c r="O241" i="9"/>
  <c r="F232" i="14"/>
  <c r="H232" i="14" s="1"/>
  <c r="H348" i="8"/>
  <c r="E349" i="8"/>
  <c r="G349" i="8" s="1"/>
  <c r="I348" i="8"/>
  <c r="G243" i="9" l="1"/>
  <c r="E242" i="9"/>
  <c r="F242" i="9" s="1"/>
  <c r="O242" i="9" s="1"/>
  <c r="M242" i="9"/>
  <c r="K242" i="9"/>
  <c r="J242" i="9"/>
  <c r="L242" i="9"/>
  <c r="O232" i="14"/>
  <c r="F349" i="8"/>
  <c r="C349" i="8"/>
  <c r="D349" i="8" s="1"/>
  <c r="N242" i="9" l="1"/>
  <c r="P242" i="9" s="1"/>
  <c r="H242" i="9"/>
  <c r="C243" i="9" s="1"/>
  <c r="E233" i="14"/>
  <c r="J233" i="14"/>
  <c r="I233" i="14"/>
  <c r="G234" i="14"/>
  <c r="E350" i="8"/>
  <c r="G350" i="8" s="1"/>
  <c r="I349" i="8"/>
  <c r="H349" i="8"/>
  <c r="D243" i="9" l="1"/>
  <c r="I243" i="9" s="1"/>
  <c r="F233" i="14"/>
  <c r="H233" i="14" s="1"/>
  <c r="C350" i="8"/>
  <c r="D350" i="8" s="1"/>
  <c r="F350" i="8"/>
  <c r="G244" i="9" l="1"/>
  <c r="L243" i="9"/>
  <c r="E243" i="9"/>
  <c r="N243" i="9" s="1"/>
  <c r="M243" i="9"/>
  <c r="J243" i="9"/>
  <c r="K243" i="9"/>
  <c r="O233" i="14"/>
  <c r="H350" i="8"/>
  <c r="E351" i="8"/>
  <c r="G351" i="8" s="1"/>
  <c r="I350" i="8"/>
  <c r="F243" i="9" l="1"/>
  <c r="H243" i="9" s="1"/>
  <c r="C244" i="9" s="1"/>
  <c r="P243" i="9"/>
  <c r="E234" i="14"/>
  <c r="J234" i="14"/>
  <c r="I234" i="14"/>
  <c r="G235" i="14"/>
  <c r="F351" i="8"/>
  <c r="C351" i="8"/>
  <c r="D351" i="8" s="1"/>
  <c r="O243" i="9" l="1"/>
  <c r="D244" i="9"/>
  <c r="F234" i="14"/>
  <c r="H234" i="14" s="1"/>
  <c r="E352" i="8"/>
  <c r="G352" i="8" s="1"/>
  <c r="I351" i="8"/>
  <c r="H351" i="8"/>
  <c r="M244" i="9" l="1"/>
  <c r="K244" i="9"/>
  <c r="L244" i="9"/>
  <c r="E244" i="9"/>
  <c r="F244" i="9" s="1"/>
  <c r="I244" i="9"/>
  <c r="G245" i="9"/>
  <c r="N244" i="9"/>
  <c r="J244" i="9"/>
  <c r="O234" i="14"/>
  <c r="F352" i="8"/>
  <c r="C352" i="8"/>
  <c r="D352" i="8" s="1"/>
  <c r="P244" i="9" l="1"/>
  <c r="H244" i="9"/>
  <c r="C245" i="9" s="1"/>
  <c r="O244" i="9"/>
  <c r="E235" i="14"/>
  <c r="J235" i="14"/>
  <c r="I235" i="14"/>
  <c r="G236" i="14"/>
  <c r="H352" i="8"/>
  <c r="E353" i="8"/>
  <c r="G353" i="8" s="1"/>
  <c r="I352" i="8"/>
  <c r="C246" i="9" l="1"/>
  <c r="D245" i="9"/>
  <c r="F235" i="14"/>
  <c r="H235" i="14" s="1"/>
  <c r="C353" i="8"/>
  <c r="D353" i="8" s="1"/>
  <c r="F353" i="8"/>
  <c r="N245" i="9" l="1"/>
  <c r="G246" i="9"/>
  <c r="L245" i="9"/>
  <c r="J245" i="9"/>
  <c r="E245" i="9"/>
  <c r="F245" i="9" s="1"/>
  <c r="K245" i="9"/>
  <c r="I245" i="9"/>
  <c r="M245" i="9"/>
  <c r="D246" i="9"/>
  <c r="C247" i="9"/>
  <c r="O235" i="14"/>
  <c r="H353" i="8"/>
  <c r="E354" i="8"/>
  <c r="G354" i="8" s="1"/>
  <c r="I353" i="8"/>
  <c r="C248" i="9" l="1"/>
  <c r="D247" i="9"/>
  <c r="P245" i="9"/>
  <c r="J246" i="9"/>
  <c r="M246" i="9"/>
  <c r="N246" i="9"/>
  <c r="G247" i="9"/>
  <c r="L246" i="9"/>
  <c r="I246" i="9"/>
  <c r="E246" i="9"/>
  <c r="F246" i="9" s="1"/>
  <c r="H246" i="9" s="1"/>
  <c r="K246" i="9"/>
  <c r="H245" i="9"/>
  <c r="O245" i="9"/>
  <c r="E236" i="14"/>
  <c r="J236" i="14"/>
  <c r="I236" i="14"/>
  <c r="G237" i="14"/>
  <c r="F354" i="8"/>
  <c r="C354" i="8"/>
  <c r="D354" i="8" s="1"/>
  <c r="P246" i="9" l="1"/>
  <c r="J247" i="9"/>
  <c r="G248" i="9"/>
  <c r="L247" i="9"/>
  <c r="E247" i="9"/>
  <c r="F247" i="9" s="1"/>
  <c r="H247" i="9" s="1"/>
  <c r="I247" i="9"/>
  <c r="N247" i="9"/>
  <c r="K247" i="9"/>
  <c r="M247" i="9"/>
  <c r="D248" i="9"/>
  <c r="C249" i="9"/>
  <c r="O246" i="9"/>
  <c r="F236" i="14"/>
  <c r="H236" i="14" s="1"/>
  <c r="E355" i="8"/>
  <c r="G355" i="8" s="1"/>
  <c r="I354" i="8"/>
  <c r="H354" i="8"/>
  <c r="P247" i="9" l="1"/>
  <c r="D249" i="9"/>
  <c r="C250" i="9"/>
  <c r="G249" i="9"/>
  <c r="N248" i="9"/>
  <c r="L248" i="9"/>
  <c r="E248" i="9"/>
  <c r="F248" i="9" s="1"/>
  <c r="H248" i="9" s="1"/>
  <c r="I248" i="9"/>
  <c r="J248" i="9"/>
  <c r="M248" i="9"/>
  <c r="K248" i="9"/>
  <c r="O247" i="9"/>
  <c r="O236" i="14"/>
  <c r="C355" i="8"/>
  <c r="D355" i="8" s="1"/>
  <c r="F355" i="8"/>
  <c r="P248" i="9" l="1"/>
  <c r="O248" i="9"/>
  <c r="D250" i="9"/>
  <c r="C251" i="9"/>
  <c r="J249" i="9"/>
  <c r="L249" i="9"/>
  <c r="M249" i="9"/>
  <c r="G250" i="9"/>
  <c r="E249" i="9"/>
  <c r="F249" i="9" s="1"/>
  <c r="I249" i="9"/>
  <c r="K249" i="9"/>
  <c r="N249" i="9"/>
  <c r="E237" i="14"/>
  <c r="J237" i="14"/>
  <c r="I237" i="14"/>
  <c r="G238" i="14"/>
  <c r="H355" i="8"/>
  <c r="E356" i="8"/>
  <c r="G356" i="8" s="1"/>
  <c r="I355" i="8"/>
  <c r="C252" i="9" l="1"/>
  <c r="C253" i="9" s="1"/>
  <c r="C254" i="9" s="1"/>
  <c r="C255" i="9" s="1"/>
  <c r="C256" i="9" s="1"/>
  <c r="C257" i="9" s="1"/>
  <c r="C258" i="9" s="1"/>
  <c r="C259" i="9" s="1"/>
  <c r="C260" i="9" s="1"/>
  <c r="C261" i="9" s="1"/>
  <c r="C262" i="9" s="1"/>
  <c r="C263" i="9" s="1"/>
  <c r="C264" i="9" s="1"/>
  <c r="C265" i="9" s="1"/>
  <c r="C266" i="9" s="1"/>
  <c r="C267" i="9" s="1"/>
  <c r="C268" i="9" s="1"/>
  <c r="C269" i="9" s="1"/>
  <c r="C270" i="9" s="1"/>
  <c r="C271" i="9" s="1"/>
  <c r="C272" i="9" s="1"/>
  <c r="C273" i="9" s="1"/>
  <c r="C274" i="9" s="1"/>
  <c r="C275" i="9" s="1"/>
  <c r="C276" i="9" s="1"/>
  <c r="C277" i="9" s="1"/>
  <c r="C278" i="9" s="1"/>
  <c r="C279" i="9" s="1"/>
  <c r="C280" i="9" s="1"/>
  <c r="C281" i="9" s="1"/>
  <c r="C282" i="9" s="1"/>
  <c r="C283" i="9" s="1"/>
  <c r="C284" i="9" s="1"/>
  <c r="C285" i="9" s="1"/>
  <c r="C286" i="9" s="1"/>
  <c r="C287" i="9" s="1"/>
  <c r="C288" i="9" s="1"/>
  <c r="C289" i="9" s="1"/>
  <c r="C290" i="9" s="1"/>
  <c r="C291" i="9" s="1"/>
  <c r="C292" i="9" s="1"/>
  <c r="C293" i="9" s="1"/>
  <c r="C294" i="9" s="1"/>
  <c r="C295" i="9" s="1"/>
  <c r="C296" i="9" s="1"/>
  <c r="C297" i="9" s="1"/>
  <c r="C298" i="9" s="1"/>
  <c r="C299" i="9" s="1"/>
  <c r="C300" i="9" s="1"/>
  <c r="C301" i="9" s="1"/>
  <c r="C302" i="9" s="1"/>
  <c r="C303" i="9" s="1"/>
  <c r="C304" i="9" s="1"/>
  <c r="C305" i="9" s="1"/>
  <c r="C306" i="9" s="1"/>
  <c r="C307" i="9" s="1"/>
  <c r="C308" i="9" s="1"/>
  <c r="C309" i="9" s="1"/>
  <c r="C310" i="9" s="1"/>
  <c r="C311" i="9" s="1"/>
  <c r="C312" i="9" s="1"/>
  <c r="C313" i="9" s="1"/>
  <c r="C314" i="9" s="1"/>
  <c r="C315" i="9" s="1"/>
  <c r="C316" i="9" s="1"/>
  <c r="C317" i="9" s="1"/>
  <c r="C318" i="9" s="1"/>
  <c r="C319" i="9" s="1"/>
  <c r="C320" i="9" s="1"/>
  <c r="C321" i="9" s="1"/>
  <c r="C322" i="9" s="1"/>
  <c r="C323" i="9" s="1"/>
  <c r="C324" i="9" s="1"/>
  <c r="C325" i="9" s="1"/>
  <c r="C326" i="9" s="1"/>
  <c r="C327" i="9" s="1"/>
  <c r="C328" i="9" s="1"/>
  <c r="C329" i="9" s="1"/>
  <c r="C330" i="9" s="1"/>
  <c r="C331" i="9" s="1"/>
  <c r="C332" i="9" s="1"/>
  <c r="C333" i="9" s="1"/>
  <c r="C334" i="9" s="1"/>
  <c r="C335" i="9" s="1"/>
  <c r="C336" i="9" s="1"/>
  <c r="C337" i="9" s="1"/>
  <c r="C338" i="9" s="1"/>
  <c r="C339" i="9" s="1"/>
  <c r="C340" i="9" s="1"/>
  <c r="C341" i="9" s="1"/>
  <c r="C342" i="9" s="1"/>
  <c r="C343" i="9" s="1"/>
  <c r="C344" i="9" s="1"/>
  <c r="C345" i="9" s="1"/>
  <c r="C346" i="9" s="1"/>
  <c r="C347" i="9" s="1"/>
  <c r="C348" i="9" s="1"/>
  <c r="C349" i="9" s="1"/>
  <c r="C350" i="9" s="1"/>
  <c r="C351" i="9" s="1"/>
  <c r="C352" i="9" s="1"/>
  <c r="C353" i="9" s="1"/>
  <c r="C354" i="9" s="1"/>
  <c r="C355" i="9" s="1"/>
  <c r="C356" i="9" s="1"/>
  <c r="C357" i="9" s="1"/>
  <c r="C358" i="9" s="1"/>
  <c r="C359" i="9" s="1"/>
  <c r="C360" i="9" s="1"/>
  <c r="C361" i="9" s="1"/>
  <c r="C362" i="9" s="1"/>
  <c r="C363" i="9" s="1"/>
  <c r="C364" i="9" s="1"/>
  <c r="C365" i="9" s="1"/>
  <c r="C366" i="9" s="1"/>
  <c r="C367" i="9" s="1"/>
  <c r="C368" i="9" s="1"/>
  <c r="C369" i="9" s="1"/>
  <c r="C370" i="9" s="1"/>
  <c r="C371" i="9" s="1"/>
  <c r="C372" i="9" s="1"/>
  <c r="C373" i="9" s="1"/>
  <c r="C374" i="9" s="1"/>
  <c r="C375" i="9" s="1"/>
  <c r="C376" i="9" s="1"/>
  <c r="C377" i="9" s="1"/>
  <c r="C378" i="9" s="1"/>
  <c r="C379" i="9" s="1"/>
  <c r="C380" i="9" s="1"/>
  <c r="C381" i="9" s="1"/>
  <c r="C382" i="9" s="1"/>
  <c r="C383" i="9" s="1"/>
  <c r="C384" i="9" s="1"/>
  <c r="C385" i="9" s="1"/>
  <c r="C386" i="9" s="1"/>
  <c r="C387" i="9" s="1"/>
  <c r="C388" i="9" s="1"/>
  <c r="C389" i="9" s="1"/>
  <c r="C390" i="9" s="1"/>
  <c r="C391" i="9" s="1"/>
  <c r="C392" i="9" s="1"/>
  <c r="C393" i="9" s="1"/>
  <c r="C394" i="9" s="1"/>
  <c r="C395" i="9" s="1"/>
  <c r="C396" i="9" s="1"/>
  <c r="C397" i="9" s="1"/>
  <c r="C398" i="9" s="1"/>
  <c r="C399" i="9" s="1"/>
  <c r="C400" i="9" s="1"/>
  <c r="C401" i="9" s="1"/>
  <c r="C402" i="9" s="1"/>
  <c r="C403" i="9" s="1"/>
  <c r="C404" i="9" s="1"/>
  <c r="C405" i="9" s="1"/>
  <c r="C406" i="9" s="1"/>
  <c r="C407" i="9" s="1"/>
  <c r="C408" i="9" s="1"/>
  <c r="C409" i="9" s="1"/>
  <c r="C410" i="9" s="1"/>
  <c r="C411" i="9" s="1"/>
  <c r="C412" i="9" s="1"/>
  <c r="C413" i="9" s="1"/>
  <c r="C414" i="9" s="1"/>
  <c r="C415" i="9" s="1"/>
  <c r="C416" i="9" s="1"/>
  <c r="C417" i="9" s="1"/>
  <c r="C418" i="9" s="1"/>
  <c r="C419" i="9" s="1"/>
  <c r="C420" i="9" s="1"/>
  <c r="C421" i="9" s="1"/>
  <c r="C422" i="9" s="1"/>
  <c r="C423" i="9" s="1"/>
  <c r="C424" i="9" s="1"/>
  <c r="C425" i="9" s="1"/>
  <c r="C426" i="9" s="1"/>
  <c r="C427" i="9" s="1"/>
  <c r="C428" i="9" s="1"/>
  <c r="C429" i="9" s="1"/>
  <c r="C430" i="9" s="1"/>
  <c r="C431" i="9" s="1"/>
  <c r="C432" i="9" s="1"/>
  <c r="C433" i="9" s="1"/>
  <c r="C434" i="9" s="1"/>
  <c r="C435" i="9" s="1"/>
  <c r="C436" i="9" s="1"/>
  <c r="C437" i="9" s="1"/>
  <c r="C438" i="9" s="1"/>
  <c r="C439" i="9" s="1"/>
  <c r="C440" i="9" s="1"/>
  <c r="C441" i="9" s="1"/>
  <c r="C442" i="9" s="1"/>
  <c r="C443" i="9" s="1"/>
  <c r="C444" i="9" s="1"/>
  <c r="C445" i="9" s="1"/>
  <c r="C446" i="9" s="1"/>
  <c r="C447" i="9" s="1"/>
  <c r="C448" i="9" s="1"/>
  <c r="C449" i="9" s="1"/>
  <c r="C450" i="9" s="1"/>
  <c r="C451" i="9" s="1"/>
  <c r="C452" i="9" s="1"/>
  <c r="C453" i="9" s="1"/>
  <c r="C454" i="9" s="1"/>
  <c r="C455" i="9" s="1"/>
  <c r="C456" i="9" s="1"/>
  <c r="C457" i="9" s="1"/>
  <c r="C458" i="9" s="1"/>
  <c r="C459" i="9" s="1"/>
  <c r="C460" i="9" s="1"/>
  <c r="C461" i="9" s="1"/>
  <c r="C462" i="9" s="1"/>
  <c r="C463" i="9" s="1"/>
  <c r="C464" i="9" s="1"/>
  <c r="C465" i="9" s="1"/>
  <c r="C466" i="9" s="1"/>
  <c r="C467" i="9" s="1"/>
  <c r="C468" i="9" s="1"/>
  <c r="C469" i="9" s="1"/>
  <c r="C470" i="9" s="1"/>
  <c r="C471" i="9" s="1"/>
  <c r="C472" i="9" s="1"/>
  <c r="C473" i="9" s="1"/>
  <c r="C474" i="9" s="1"/>
  <c r="C475" i="9" s="1"/>
  <c r="C476" i="9" s="1"/>
  <c r="C477" i="9" s="1"/>
  <c r="C478" i="9" s="1"/>
  <c r="C479" i="9" s="1"/>
  <c r="C480" i="9" s="1"/>
  <c r="C481" i="9" s="1"/>
  <c r="C482" i="9" s="1"/>
  <c r="C483" i="9" s="1"/>
  <c r="C484" i="9" s="1"/>
  <c r="C485" i="9" s="1"/>
  <c r="C486" i="9" s="1"/>
  <c r="C487" i="9" s="1"/>
  <c r="C488" i="9" s="1"/>
  <c r="C489" i="9" s="1"/>
  <c r="C490" i="9" s="1"/>
  <c r="C491" i="9" s="1"/>
  <c r="C492" i="9" s="1"/>
  <c r="C493" i="9" s="1"/>
  <c r="C494" i="9" s="1"/>
  <c r="C495" i="9" s="1"/>
  <c r="C496" i="9" s="1"/>
  <c r="C497" i="9" s="1"/>
  <c r="C498" i="9" s="1"/>
  <c r="C499" i="9" s="1"/>
  <c r="C500" i="9" s="1"/>
  <c r="C501" i="9" s="1"/>
  <c r="C502" i="9" s="1"/>
  <c r="D251" i="9"/>
  <c r="O249" i="9"/>
  <c r="H249" i="9"/>
  <c r="P249" i="9"/>
  <c r="J250" i="9"/>
  <c r="I250" i="9"/>
  <c r="N250" i="9"/>
  <c r="G251" i="9"/>
  <c r="K250" i="9"/>
  <c r="L250" i="9"/>
  <c r="E250" i="9"/>
  <c r="F250" i="9" s="1"/>
  <c r="O250" i="9" s="1"/>
  <c r="M250" i="9"/>
  <c r="F237" i="14"/>
  <c r="H237" i="14" s="1"/>
  <c r="C356" i="8"/>
  <c r="D356" i="8" s="1"/>
  <c r="F356" i="8"/>
  <c r="D252" i="9" l="1"/>
  <c r="J252" i="9" s="1"/>
  <c r="P250" i="9"/>
  <c r="H250" i="9"/>
  <c r="J251" i="9"/>
  <c r="G252" i="9"/>
  <c r="I251" i="9"/>
  <c r="L251" i="9"/>
  <c r="N251" i="9"/>
  <c r="E251" i="9"/>
  <c r="F251" i="9" s="1"/>
  <c r="H251" i="9" s="1"/>
  <c r="M251" i="9"/>
  <c r="K251" i="9"/>
  <c r="O237" i="14"/>
  <c r="H356" i="8"/>
  <c r="E357" i="8"/>
  <c r="G357" i="8" s="1"/>
  <c r="I356" i="8"/>
  <c r="M252" i="9" l="1"/>
  <c r="N252" i="9"/>
  <c r="K252" i="9"/>
  <c r="L252" i="9"/>
  <c r="G253" i="9"/>
  <c r="I252" i="9"/>
  <c r="E252" i="9"/>
  <c r="F252" i="9" s="1"/>
  <c r="H252" i="9" s="1"/>
  <c r="P251" i="9"/>
  <c r="O251" i="9"/>
  <c r="E238" i="14"/>
  <c r="J238" i="14"/>
  <c r="I238" i="14"/>
  <c r="G239" i="14"/>
  <c r="F357" i="8"/>
  <c r="C357" i="8"/>
  <c r="D357" i="8" s="1"/>
  <c r="P252" i="9" l="1"/>
  <c r="O252" i="9"/>
  <c r="D253" i="9"/>
  <c r="J253" i="9" s="1"/>
  <c r="F238" i="14"/>
  <c r="H238" i="14" s="1"/>
  <c r="E358" i="8"/>
  <c r="G358" i="8" s="1"/>
  <c r="I357" i="8"/>
  <c r="H357" i="8"/>
  <c r="I253" i="9" l="1"/>
  <c r="N253" i="9"/>
  <c r="M253" i="9"/>
  <c r="L253" i="9"/>
  <c r="G254" i="9"/>
  <c r="E253" i="9"/>
  <c r="F253" i="9" s="1"/>
  <c r="H253" i="9" s="1"/>
  <c r="O238" i="14"/>
  <c r="C358" i="8"/>
  <c r="D358" i="8" s="1"/>
  <c r="F358" i="8"/>
  <c r="O253" i="9" l="1"/>
  <c r="K253" i="9"/>
  <c r="P253" i="9" s="1"/>
  <c r="E239" i="14"/>
  <c r="J239" i="14"/>
  <c r="I239" i="14"/>
  <c r="G240" i="14"/>
  <c r="H358" i="8"/>
  <c r="E359" i="8"/>
  <c r="G359" i="8" s="1"/>
  <c r="I358" i="8"/>
  <c r="D254" i="9" l="1"/>
  <c r="J254" i="9" s="1"/>
  <c r="F239" i="14"/>
  <c r="H239" i="14" s="1"/>
  <c r="C359" i="8"/>
  <c r="D359" i="8" s="1"/>
  <c r="F359" i="8"/>
  <c r="I254" i="9" l="1"/>
  <c r="N254" i="9"/>
  <c r="M254" i="9"/>
  <c r="L254" i="9"/>
  <c r="E254" i="9"/>
  <c r="F254" i="9" s="1"/>
  <c r="H254" i="9" s="1"/>
  <c r="G255" i="9"/>
  <c r="O239" i="14"/>
  <c r="H359" i="8"/>
  <c r="E360" i="8"/>
  <c r="G360" i="8" s="1"/>
  <c r="I359" i="8"/>
  <c r="O254" i="9" l="1"/>
  <c r="K254" i="9"/>
  <c r="P254" i="9" s="1"/>
  <c r="E240" i="14"/>
  <c r="J240" i="14"/>
  <c r="I240" i="14"/>
  <c r="G241" i="14"/>
  <c r="F360" i="8"/>
  <c r="C360" i="8"/>
  <c r="D360" i="8" s="1"/>
  <c r="D255" i="9" l="1"/>
  <c r="J255" i="9" s="1"/>
  <c r="F240" i="14"/>
  <c r="H240" i="14" s="1"/>
  <c r="E361" i="8"/>
  <c r="G361" i="8" s="1"/>
  <c r="I360" i="8"/>
  <c r="H360" i="8"/>
  <c r="I255" i="9" l="1"/>
  <c r="N255" i="9"/>
  <c r="M255" i="9"/>
  <c r="E255" i="9"/>
  <c r="F255" i="9" s="1"/>
  <c r="H255" i="9" s="1"/>
  <c r="G256" i="9"/>
  <c r="L255" i="9"/>
  <c r="K255" i="9"/>
  <c r="O240" i="14"/>
  <c r="C361" i="8"/>
  <c r="D361" i="8" s="1"/>
  <c r="F361" i="8"/>
  <c r="P255" i="9" l="1"/>
  <c r="O255" i="9"/>
  <c r="E241" i="14"/>
  <c r="J241" i="14"/>
  <c r="I241" i="14"/>
  <c r="G242" i="14"/>
  <c r="H361" i="8"/>
  <c r="E362" i="8"/>
  <c r="G362" i="8" s="1"/>
  <c r="I361" i="8"/>
  <c r="D256" i="9" l="1"/>
  <c r="J256" i="9" s="1"/>
  <c r="F241" i="14"/>
  <c r="H241" i="14" s="1"/>
  <c r="F362" i="8"/>
  <c r="C362" i="8"/>
  <c r="D362" i="8" s="1"/>
  <c r="I256" i="9" l="1"/>
  <c r="N256" i="9"/>
  <c r="M256" i="9"/>
  <c r="E256" i="9"/>
  <c r="F256" i="9" s="1"/>
  <c r="H256" i="9" s="1"/>
  <c r="L256" i="9"/>
  <c r="G257" i="9"/>
  <c r="K256" i="9"/>
  <c r="O241" i="14"/>
  <c r="H362" i="8"/>
  <c r="E363" i="8"/>
  <c r="G363" i="8" s="1"/>
  <c r="I362" i="8"/>
  <c r="P256" i="9" l="1"/>
  <c r="O256" i="9"/>
  <c r="E242" i="14"/>
  <c r="J242" i="14"/>
  <c r="I242" i="14"/>
  <c r="G243" i="14"/>
  <c r="C363" i="8"/>
  <c r="D363" i="8" s="1"/>
  <c r="F363" i="8"/>
  <c r="D257" i="9" l="1"/>
  <c r="J257" i="9" s="1"/>
  <c r="F242" i="14"/>
  <c r="H242" i="14" s="1"/>
  <c r="H363" i="8"/>
  <c r="E364" i="8"/>
  <c r="G364" i="8" s="1"/>
  <c r="I363" i="8"/>
  <c r="I257" i="9" l="1"/>
  <c r="N257" i="9"/>
  <c r="M257" i="9"/>
  <c r="G258" i="9"/>
  <c r="K257" i="9"/>
  <c r="E257" i="9"/>
  <c r="F257" i="9" s="1"/>
  <c r="H257" i="9" s="1"/>
  <c r="L257" i="9"/>
  <c r="O242" i="14"/>
  <c r="F364" i="8"/>
  <c r="C364" i="8"/>
  <c r="D364" i="8" s="1"/>
  <c r="P257" i="9" l="1"/>
  <c r="O257" i="9"/>
  <c r="E243" i="14"/>
  <c r="J243" i="14"/>
  <c r="I243" i="14"/>
  <c r="G244" i="14"/>
  <c r="E365" i="8"/>
  <c r="G365" i="8" s="1"/>
  <c r="I364" i="8"/>
  <c r="H364" i="8"/>
  <c r="D258" i="9" l="1"/>
  <c r="J258" i="9" s="1"/>
  <c r="F243" i="14"/>
  <c r="H243" i="14" s="1"/>
  <c r="F365" i="8"/>
  <c r="C365" i="8"/>
  <c r="D365" i="8" s="1"/>
  <c r="I258" i="9" l="1"/>
  <c r="N258" i="9"/>
  <c r="M258" i="9"/>
  <c r="E258" i="9"/>
  <c r="F258" i="9" s="1"/>
  <c r="H258" i="9" s="1"/>
  <c r="L258" i="9"/>
  <c r="G259" i="9"/>
  <c r="O243" i="14"/>
  <c r="E366" i="8"/>
  <c r="G366" i="8" s="1"/>
  <c r="I365" i="8"/>
  <c r="H365" i="8"/>
  <c r="K258" i="9" l="1"/>
  <c r="P258" i="9" s="1"/>
  <c r="O258" i="9"/>
  <c r="E244" i="14"/>
  <c r="J244" i="14"/>
  <c r="I244" i="14"/>
  <c r="G245" i="14"/>
  <c r="C366" i="8"/>
  <c r="D366" i="8" s="1"/>
  <c r="F366" i="8"/>
  <c r="D259" i="9" l="1"/>
  <c r="J259" i="9" s="1"/>
  <c r="F244" i="14"/>
  <c r="H244" i="14" s="1"/>
  <c r="H366" i="8"/>
  <c r="E367" i="8"/>
  <c r="G367" i="8" s="1"/>
  <c r="I366" i="8"/>
  <c r="I259" i="9" l="1"/>
  <c r="N259" i="9"/>
  <c r="M259" i="9"/>
  <c r="E259" i="9"/>
  <c r="F259" i="9" s="1"/>
  <c r="H259" i="9" s="1"/>
  <c r="L259" i="9"/>
  <c r="G260" i="9"/>
  <c r="K259" i="9"/>
  <c r="O244" i="14"/>
  <c r="F367" i="8"/>
  <c r="C367" i="8"/>
  <c r="D367" i="8" s="1"/>
  <c r="P259" i="9" l="1"/>
  <c r="O259" i="9"/>
  <c r="E245" i="14"/>
  <c r="J245" i="14"/>
  <c r="I245" i="14"/>
  <c r="G246" i="14"/>
  <c r="E368" i="8"/>
  <c r="G368" i="8" s="1"/>
  <c r="I367" i="8"/>
  <c r="H367" i="8"/>
  <c r="D260" i="9" l="1"/>
  <c r="J260" i="9" s="1"/>
  <c r="F245" i="14"/>
  <c r="H245" i="14" s="1"/>
  <c r="F368" i="8"/>
  <c r="C368" i="8"/>
  <c r="D368" i="8" s="1"/>
  <c r="I260" i="9" l="1"/>
  <c r="M260" i="9"/>
  <c r="N260" i="9"/>
  <c r="E260" i="9"/>
  <c r="F260" i="9" s="1"/>
  <c r="H260" i="9" s="1"/>
  <c r="G261" i="9"/>
  <c r="K260" i="9"/>
  <c r="L260" i="9"/>
  <c r="O245" i="14"/>
  <c r="E369" i="8"/>
  <c r="G369" i="8" s="1"/>
  <c r="I368" i="8"/>
  <c r="H368" i="8"/>
  <c r="P260" i="9" l="1"/>
  <c r="O260" i="9"/>
  <c r="E246" i="14"/>
  <c r="J246" i="14"/>
  <c r="I246" i="14"/>
  <c r="G247" i="14"/>
  <c r="C369" i="8"/>
  <c r="D369" i="8" s="1"/>
  <c r="F369" i="8"/>
  <c r="D261" i="9" l="1"/>
  <c r="J261" i="9" s="1"/>
  <c r="F246" i="14"/>
  <c r="H246" i="14" s="1"/>
  <c r="H369" i="8"/>
  <c r="E370" i="8"/>
  <c r="G370" i="8" s="1"/>
  <c r="I369" i="8"/>
  <c r="I261" i="9" l="1"/>
  <c r="N261" i="9"/>
  <c r="M261" i="9"/>
  <c r="E261" i="9"/>
  <c r="F261" i="9" s="1"/>
  <c r="H261" i="9" s="1"/>
  <c r="G262" i="9"/>
  <c r="L261" i="9"/>
  <c r="K261" i="9"/>
  <c r="O246" i="14"/>
  <c r="F370" i="8"/>
  <c r="C370" i="8"/>
  <c r="D370" i="8" s="1"/>
  <c r="P261" i="9" l="1"/>
  <c r="O261" i="9"/>
  <c r="E247" i="14"/>
  <c r="J247" i="14"/>
  <c r="I247" i="14"/>
  <c r="G248" i="14"/>
  <c r="E371" i="8"/>
  <c r="G371" i="8" s="1"/>
  <c r="I370" i="8"/>
  <c r="H370" i="8"/>
  <c r="D262" i="9" l="1"/>
  <c r="J262" i="9" s="1"/>
  <c r="F247" i="14"/>
  <c r="H247" i="14" s="1"/>
  <c r="F371" i="8"/>
  <c r="C371" i="8"/>
  <c r="D371" i="8" s="1"/>
  <c r="I262" i="9" l="1"/>
  <c r="N262" i="9"/>
  <c r="M262" i="9"/>
  <c r="E262" i="9"/>
  <c r="F262" i="9" s="1"/>
  <c r="H262" i="9" s="1"/>
  <c r="K262" i="9"/>
  <c r="L262" i="9"/>
  <c r="G263" i="9"/>
  <c r="O247" i="14"/>
  <c r="E372" i="8"/>
  <c r="G372" i="8" s="1"/>
  <c r="I371" i="8"/>
  <c r="H371" i="8"/>
  <c r="P262" i="9" l="1"/>
  <c r="O262" i="9"/>
  <c r="E248" i="14"/>
  <c r="J248" i="14"/>
  <c r="I248" i="14"/>
  <c r="G249" i="14"/>
  <c r="C372" i="8"/>
  <c r="D372" i="8" s="1"/>
  <c r="F372" i="8"/>
  <c r="D263" i="9" l="1"/>
  <c r="J263" i="9" s="1"/>
  <c r="F248" i="14"/>
  <c r="H248" i="14" s="1"/>
  <c r="H372" i="8"/>
  <c r="E373" i="8"/>
  <c r="G373" i="8" s="1"/>
  <c r="I372" i="8"/>
  <c r="I263" i="9" l="1"/>
  <c r="N263" i="9"/>
  <c r="M263" i="9"/>
  <c r="L263" i="9"/>
  <c r="E263" i="9"/>
  <c r="F263" i="9" s="1"/>
  <c r="H263" i="9" s="1"/>
  <c r="G264" i="9"/>
  <c r="K263" i="9"/>
  <c r="O248" i="14"/>
  <c r="F373" i="8"/>
  <c r="C373" i="8"/>
  <c r="D373" i="8" s="1"/>
  <c r="P263" i="9" l="1"/>
  <c r="O263" i="9"/>
  <c r="E249" i="14"/>
  <c r="J249" i="14"/>
  <c r="I249" i="14"/>
  <c r="G250" i="14"/>
  <c r="H373" i="8"/>
  <c r="E374" i="8"/>
  <c r="G374" i="8" s="1"/>
  <c r="I373" i="8"/>
  <c r="D264" i="9" l="1"/>
  <c r="J264" i="9" s="1"/>
  <c r="F249" i="14"/>
  <c r="H249" i="14" s="1"/>
  <c r="C374" i="8"/>
  <c r="D374" i="8" s="1"/>
  <c r="F374" i="8"/>
  <c r="I264" i="9" l="1"/>
  <c r="M264" i="9"/>
  <c r="N264" i="9"/>
  <c r="E264" i="9"/>
  <c r="F264" i="9" s="1"/>
  <c r="H264" i="9" s="1"/>
  <c r="G265" i="9"/>
  <c r="K264" i="9"/>
  <c r="L264" i="9"/>
  <c r="O249" i="14"/>
  <c r="H374" i="8"/>
  <c r="E375" i="8"/>
  <c r="G375" i="8" s="1"/>
  <c r="I374" i="8"/>
  <c r="P264" i="9" l="1"/>
  <c r="O264" i="9"/>
  <c r="E250" i="14"/>
  <c r="J250" i="14"/>
  <c r="I250" i="14"/>
  <c r="G251" i="14"/>
  <c r="C375" i="8"/>
  <c r="D375" i="8" s="1"/>
  <c r="F375" i="8"/>
  <c r="D265" i="9" l="1"/>
  <c r="J265" i="9" s="1"/>
  <c r="F250" i="14"/>
  <c r="H250" i="14" s="1"/>
  <c r="H375" i="8"/>
  <c r="E376" i="8"/>
  <c r="G376" i="8" s="1"/>
  <c r="I375" i="8"/>
  <c r="I265" i="9" l="1"/>
  <c r="N265" i="9"/>
  <c r="M265" i="9"/>
  <c r="G266" i="9"/>
  <c r="E265" i="9"/>
  <c r="F265" i="9" s="1"/>
  <c r="H265" i="9" s="1"/>
  <c r="L265" i="9"/>
  <c r="O250" i="14"/>
  <c r="F376" i="8"/>
  <c r="C376" i="8"/>
  <c r="D376" i="8" s="1"/>
  <c r="O265" i="9" l="1"/>
  <c r="K265" i="9"/>
  <c r="P265" i="9" s="1"/>
  <c r="E251" i="14"/>
  <c r="J251" i="14"/>
  <c r="I251" i="14"/>
  <c r="G252" i="14"/>
  <c r="E377" i="8"/>
  <c r="G377" i="8" s="1"/>
  <c r="I376" i="8"/>
  <c r="H376" i="8"/>
  <c r="D266" i="9" l="1"/>
  <c r="J266" i="9" s="1"/>
  <c r="F251" i="14"/>
  <c r="H251" i="14" s="1"/>
  <c r="C377" i="8"/>
  <c r="D377" i="8" s="1"/>
  <c r="F377" i="8"/>
  <c r="I266" i="9" l="1"/>
  <c r="N266" i="9"/>
  <c r="M266" i="9"/>
  <c r="G267" i="9"/>
  <c r="E266" i="9"/>
  <c r="F266" i="9" s="1"/>
  <c r="H266" i="9" s="1"/>
  <c r="L266" i="9"/>
  <c r="K266" i="9"/>
  <c r="O251" i="14"/>
  <c r="H377" i="8"/>
  <c r="E378" i="8"/>
  <c r="G378" i="8" s="1"/>
  <c r="I377" i="8"/>
  <c r="P266" i="9" l="1"/>
  <c r="O266" i="9"/>
  <c r="E252" i="14"/>
  <c r="J252" i="14"/>
  <c r="I252" i="14"/>
  <c r="G253" i="14"/>
  <c r="F378" i="8"/>
  <c r="C378" i="8"/>
  <c r="D378" i="8" s="1"/>
  <c r="D267" i="9" l="1"/>
  <c r="J267" i="9" s="1"/>
  <c r="F252" i="14"/>
  <c r="H252" i="14" s="1"/>
  <c r="H378" i="8"/>
  <c r="E379" i="8"/>
  <c r="G379" i="8" s="1"/>
  <c r="I378" i="8"/>
  <c r="I267" i="9" l="1"/>
  <c r="N267" i="9"/>
  <c r="M267" i="9"/>
  <c r="E267" i="9"/>
  <c r="F267" i="9" s="1"/>
  <c r="H267" i="9" s="1"/>
  <c r="G268" i="9"/>
  <c r="L267" i="9"/>
  <c r="K267" i="9"/>
  <c r="O252" i="14"/>
  <c r="C379" i="8"/>
  <c r="D379" i="8" s="1"/>
  <c r="F379" i="8"/>
  <c r="P267" i="9" l="1"/>
  <c r="O267" i="9"/>
  <c r="E253" i="14"/>
  <c r="J253" i="14"/>
  <c r="I253" i="14"/>
  <c r="G254" i="14"/>
  <c r="H379" i="8"/>
  <c r="E380" i="8"/>
  <c r="G380" i="8" s="1"/>
  <c r="I379" i="8"/>
  <c r="D268" i="9" l="1"/>
  <c r="J268" i="9" s="1"/>
  <c r="F253" i="14"/>
  <c r="H253" i="14" s="1"/>
  <c r="C380" i="8"/>
  <c r="D380" i="8" s="1"/>
  <c r="F380" i="8"/>
  <c r="I268" i="9" l="1"/>
  <c r="N268" i="9"/>
  <c r="M268" i="9"/>
  <c r="E268" i="9"/>
  <c r="F268" i="9" s="1"/>
  <c r="H268" i="9" s="1"/>
  <c r="G269" i="9"/>
  <c r="K268" i="9"/>
  <c r="L268" i="9"/>
  <c r="H380" i="8"/>
  <c r="O253" i="14"/>
  <c r="E381" i="8"/>
  <c r="G381" i="8" s="1"/>
  <c r="I380" i="8"/>
  <c r="P268" i="9" l="1"/>
  <c r="O268" i="9"/>
  <c r="E254" i="14"/>
  <c r="J254" i="14"/>
  <c r="I254" i="14"/>
  <c r="G255" i="14"/>
  <c r="F381" i="8"/>
  <c r="C381" i="8"/>
  <c r="D381" i="8" s="1"/>
  <c r="D269" i="9" l="1"/>
  <c r="J269" i="9" s="1"/>
  <c r="F254" i="14"/>
  <c r="H254" i="14" s="1"/>
  <c r="E382" i="8"/>
  <c r="G382" i="8" s="1"/>
  <c r="I381" i="8"/>
  <c r="H381" i="8"/>
  <c r="I269" i="9" l="1"/>
  <c r="N269" i="9"/>
  <c r="M269" i="9"/>
  <c r="E269" i="9"/>
  <c r="F269" i="9" s="1"/>
  <c r="H269" i="9" s="1"/>
  <c r="K269" i="9"/>
  <c r="L269" i="9"/>
  <c r="G270" i="9"/>
  <c r="O254" i="14"/>
  <c r="F382" i="8"/>
  <c r="C382" i="8"/>
  <c r="D382" i="8" s="1"/>
  <c r="P269" i="9" l="1"/>
  <c r="O269" i="9"/>
  <c r="E255" i="14"/>
  <c r="J255" i="14"/>
  <c r="I255" i="14"/>
  <c r="G256" i="14"/>
  <c r="H382" i="8"/>
  <c r="E383" i="8"/>
  <c r="G383" i="8" s="1"/>
  <c r="I382" i="8"/>
  <c r="D270" i="9" l="1"/>
  <c r="J270" i="9" s="1"/>
  <c r="F255" i="14"/>
  <c r="H255" i="14" s="1"/>
  <c r="F383" i="8"/>
  <c r="C383" i="8"/>
  <c r="D383" i="8" s="1"/>
  <c r="I270" i="9" l="1"/>
  <c r="N270" i="9"/>
  <c r="M270" i="9"/>
  <c r="G271" i="9"/>
  <c r="L270" i="9"/>
  <c r="E270" i="9"/>
  <c r="F270" i="9" s="1"/>
  <c r="H270" i="9" s="1"/>
  <c r="O255" i="14"/>
  <c r="E384" i="8"/>
  <c r="G384" i="8" s="1"/>
  <c r="I383" i="8"/>
  <c r="H383" i="8"/>
  <c r="K270" i="9" l="1"/>
  <c r="P270" i="9" s="1"/>
  <c r="O270" i="9"/>
  <c r="E256" i="14"/>
  <c r="J256" i="14"/>
  <c r="I256" i="14"/>
  <c r="G257" i="14"/>
  <c r="C384" i="8"/>
  <c r="D384" i="8" s="1"/>
  <c r="F384" i="8"/>
  <c r="D271" i="9" l="1"/>
  <c r="J271" i="9" s="1"/>
  <c r="F256" i="14"/>
  <c r="H256" i="14" s="1"/>
  <c r="H384" i="8"/>
  <c r="E385" i="8"/>
  <c r="G385" i="8" s="1"/>
  <c r="I384" i="8"/>
  <c r="I271" i="9" l="1"/>
  <c r="N271" i="9"/>
  <c r="M271" i="9"/>
  <c r="L271" i="9"/>
  <c r="G272" i="9"/>
  <c r="E271" i="9"/>
  <c r="F271" i="9" s="1"/>
  <c r="H271" i="9" s="1"/>
  <c r="O256" i="14"/>
  <c r="C385" i="8"/>
  <c r="D385" i="8" s="1"/>
  <c r="F385" i="8"/>
  <c r="K271" i="9" l="1"/>
  <c r="P271" i="9" s="1"/>
  <c r="O271" i="9"/>
  <c r="E257" i="14"/>
  <c r="J257" i="14"/>
  <c r="I257" i="14"/>
  <c r="G258" i="14"/>
  <c r="H385" i="8"/>
  <c r="E386" i="8"/>
  <c r="G386" i="8" s="1"/>
  <c r="I385" i="8"/>
  <c r="D272" i="9" l="1"/>
  <c r="J272" i="9" s="1"/>
  <c r="F257" i="14"/>
  <c r="H257" i="14" s="1"/>
  <c r="C386" i="8"/>
  <c r="D386" i="8" s="1"/>
  <c r="F386" i="8"/>
  <c r="I272" i="9" l="1"/>
  <c r="N272" i="9"/>
  <c r="M272" i="9"/>
  <c r="E272" i="9"/>
  <c r="F272" i="9" s="1"/>
  <c r="H272" i="9" s="1"/>
  <c r="G273" i="9"/>
  <c r="L272" i="9"/>
  <c r="O257" i="14"/>
  <c r="H386" i="8"/>
  <c r="E387" i="8"/>
  <c r="G387" i="8" s="1"/>
  <c r="I386" i="8"/>
  <c r="O272" i="9" l="1"/>
  <c r="K272" i="9"/>
  <c r="P272" i="9" s="1"/>
  <c r="E258" i="14"/>
  <c r="J258" i="14"/>
  <c r="I258" i="14"/>
  <c r="G259" i="14"/>
  <c r="F387" i="8"/>
  <c r="C387" i="8"/>
  <c r="D387" i="8" s="1"/>
  <c r="D273" i="9" l="1"/>
  <c r="J273" i="9" s="1"/>
  <c r="F258" i="14"/>
  <c r="H258" i="14" s="1"/>
  <c r="E388" i="8"/>
  <c r="G388" i="8" s="1"/>
  <c r="I387" i="8"/>
  <c r="H387" i="8"/>
  <c r="I273" i="9" l="1"/>
  <c r="N273" i="9"/>
  <c r="M273" i="9"/>
  <c r="E273" i="9"/>
  <c r="F273" i="9" s="1"/>
  <c r="H273" i="9" s="1"/>
  <c r="K273" i="9"/>
  <c r="L273" i="9"/>
  <c r="G274" i="9"/>
  <c r="O258" i="14"/>
  <c r="F388" i="8"/>
  <c r="C388" i="8"/>
  <c r="D388" i="8" s="1"/>
  <c r="P273" i="9" l="1"/>
  <c r="O273" i="9"/>
  <c r="E259" i="14"/>
  <c r="J259" i="14"/>
  <c r="I259" i="14"/>
  <c r="G260" i="14"/>
  <c r="H388" i="8"/>
  <c r="E389" i="8"/>
  <c r="G389" i="8" s="1"/>
  <c r="I388" i="8"/>
  <c r="D274" i="9" l="1"/>
  <c r="J274" i="9" s="1"/>
  <c r="F259" i="14"/>
  <c r="H259" i="14" s="1"/>
  <c r="C389" i="8"/>
  <c r="D389" i="8" s="1"/>
  <c r="F389" i="8"/>
  <c r="I274" i="9" l="1"/>
  <c r="N274" i="9"/>
  <c r="M274" i="9"/>
  <c r="L274" i="9"/>
  <c r="E274" i="9"/>
  <c r="F274" i="9" s="1"/>
  <c r="H274" i="9" s="1"/>
  <c r="G275" i="9"/>
  <c r="O259" i="14"/>
  <c r="H389" i="8"/>
  <c r="E390" i="8"/>
  <c r="G390" i="8" s="1"/>
  <c r="I389" i="8"/>
  <c r="K274" i="9" l="1"/>
  <c r="P274" i="9" s="1"/>
  <c r="O274" i="9"/>
  <c r="E260" i="14"/>
  <c r="J260" i="14"/>
  <c r="I260" i="14"/>
  <c r="G261" i="14"/>
  <c r="F390" i="8"/>
  <c r="C390" i="8"/>
  <c r="D390" i="8" s="1"/>
  <c r="D275" i="9" l="1"/>
  <c r="J275" i="9" s="1"/>
  <c r="F260" i="14"/>
  <c r="H260" i="14" s="1"/>
  <c r="H390" i="8"/>
  <c r="E391" i="8"/>
  <c r="G391" i="8" s="1"/>
  <c r="I390" i="8"/>
  <c r="I275" i="9" l="1"/>
  <c r="N275" i="9"/>
  <c r="M275" i="9"/>
  <c r="E275" i="9"/>
  <c r="F275" i="9" s="1"/>
  <c r="H275" i="9" s="1"/>
  <c r="L275" i="9"/>
  <c r="G276" i="9"/>
  <c r="O260" i="14"/>
  <c r="F391" i="8"/>
  <c r="C391" i="8"/>
  <c r="D391" i="8" s="1"/>
  <c r="O275" i="9" l="1"/>
  <c r="K275" i="9"/>
  <c r="P275" i="9" s="1"/>
  <c r="E261" i="14"/>
  <c r="J261" i="14"/>
  <c r="I261" i="14"/>
  <c r="G262" i="14"/>
  <c r="E392" i="8"/>
  <c r="G392" i="8" s="1"/>
  <c r="I391" i="8"/>
  <c r="H391" i="8"/>
  <c r="D276" i="9" l="1"/>
  <c r="J276" i="9" s="1"/>
  <c r="F261" i="14"/>
  <c r="H261" i="14" s="1"/>
  <c r="F392" i="8"/>
  <c r="C392" i="8"/>
  <c r="D392" i="8" s="1"/>
  <c r="I276" i="9" l="1"/>
  <c r="M276" i="9"/>
  <c r="N276" i="9"/>
  <c r="L276" i="9"/>
  <c r="E276" i="9"/>
  <c r="F276" i="9" s="1"/>
  <c r="H276" i="9" s="1"/>
  <c r="G277" i="9"/>
  <c r="O261" i="14"/>
  <c r="E393" i="8"/>
  <c r="G393" i="8" s="1"/>
  <c r="I392" i="8"/>
  <c r="H392" i="8"/>
  <c r="K276" i="9" l="1"/>
  <c r="P276" i="9" s="1"/>
  <c r="O276" i="9"/>
  <c r="E262" i="14"/>
  <c r="J262" i="14"/>
  <c r="I262" i="14"/>
  <c r="G263" i="14"/>
  <c r="F393" i="8"/>
  <c r="C393" i="8"/>
  <c r="D393" i="8" s="1"/>
  <c r="D277" i="9" l="1"/>
  <c r="J277" i="9" s="1"/>
  <c r="F262" i="14"/>
  <c r="H262" i="14" s="1"/>
  <c r="H393" i="8"/>
  <c r="E394" i="8"/>
  <c r="G394" i="8" s="1"/>
  <c r="I393" i="8"/>
  <c r="I277" i="9" l="1"/>
  <c r="N277" i="9"/>
  <c r="M277" i="9"/>
  <c r="L277" i="9"/>
  <c r="G278" i="9"/>
  <c r="E277" i="9"/>
  <c r="F277" i="9" s="1"/>
  <c r="H277" i="9" s="1"/>
  <c r="O262" i="14"/>
  <c r="C394" i="8"/>
  <c r="D394" i="8" s="1"/>
  <c r="F394" i="8"/>
  <c r="K277" i="9" l="1"/>
  <c r="P277" i="9" s="1"/>
  <c r="O277" i="9"/>
  <c r="E263" i="14"/>
  <c r="J263" i="14"/>
  <c r="I263" i="14"/>
  <c r="G264" i="14"/>
  <c r="H394" i="8"/>
  <c r="E395" i="8"/>
  <c r="G395" i="8" s="1"/>
  <c r="I394" i="8"/>
  <c r="D278" i="9" l="1"/>
  <c r="J278" i="9" s="1"/>
  <c r="F263" i="14"/>
  <c r="H263" i="14" s="1"/>
  <c r="C395" i="8"/>
  <c r="D395" i="8" s="1"/>
  <c r="F395" i="8"/>
  <c r="I278" i="9" l="1"/>
  <c r="N278" i="9"/>
  <c r="M278" i="9"/>
  <c r="E278" i="9"/>
  <c r="F278" i="9" s="1"/>
  <c r="H278" i="9" s="1"/>
  <c r="L278" i="9"/>
  <c r="K278" i="9"/>
  <c r="G279" i="9"/>
  <c r="O263" i="14"/>
  <c r="H395" i="8"/>
  <c r="E396" i="8"/>
  <c r="G396" i="8" s="1"/>
  <c r="I395" i="8"/>
  <c r="P278" i="9" l="1"/>
  <c r="O278" i="9"/>
  <c r="E264" i="14"/>
  <c r="J264" i="14"/>
  <c r="I264" i="14"/>
  <c r="G265" i="14"/>
  <c r="C396" i="8"/>
  <c r="D396" i="8" s="1"/>
  <c r="F396" i="8"/>
  <c r="D279" i="9" l="1"/>
  <c r="J279" i="9" s="1"/>
  <c r="F264" i="14"/>
  <c r="H264" i="14" s="1"/>
  <c r="H396" i="8"/>
  <c r="E397" i="8"/>
  <c r="G397" i="8" s="1"/>
  <c r="I396" i="8"/>
  <c r="I279" i="9" l="1"/>
  <c r="N279" i="9"/>
  <c r="M279" i="9"/>
  <c r="L279" i="9"/>
  <c r="E279" i="9"/>
  <c r="F279" i="9" s="1"/>
  <c r="H279" i="9" s="1"/>
  <c r="G280" i="9"/>
  <c r="K279" i="9"/>
  <c r="O264" i="14"/>
  <c r="C397" i="8"/>
  <c r="D397" i="8" s="1"/>
  <c r="F397" i="8"/>
  <c r="P279" i="9" l="1"/>
  <c r="O279" i="9"/>
  <c r="E265" i="14"/>
  <c r="J265" i="14"/>
  <c r="I265" i="14"/>
  <c r="H397" i="8"/>
  <c r="G266" i="14"/>
  <c r="E398" i="8"/>
  <c r="G398" i="8" s="1"/>
  <c r="I397" i="8"/>
  <c r="D280" i="9" l="1"/>
  <c r="J280" i="9" s="1"/>
  <c r="F265" i="14"/>
  <c r="H265" i="14" s="1"/>
  <c r="F398" i="8"/>
  <c r="C398" i="8"/>
  <c r="D398" i="8" s="1"/>
  <c r="I280" i="9" l="1"/>
  <c r="M280" i="9"/>
  <c r="N280" i="9"/>
  <c r="E280" i="9"/>
  <c r="F280" i="9" s="1"/>
  <c r="H280" i="9" s="1"/>
  <c r="G281" i="9"/>
  <c r="K280" i="9"/>
  <c r="L280" i="9"/>
  <c r="O265" i="14"/>
  <c r="H398" i="8"/>
  <c r="E399" i="8"/>
  <c r="G399" i="8" s="1"/>
  <c r="I398" i="8"/>
  <c r="P280" i="9" l="1"/>
  <c r="O280" i="9"/>
  <c r="E266" i="14"/>
  <c r="J266" i="14"/>
  <c r="I266" i="14"/>
  <c r="G267" i="14"/>
  <c r="F399" i="8"/>
  <c r="C399" i="8"/>
  <c r="D399" i="8" s="1"/>
  <c r="D281" i="9" l="1"/>
  <c r="J281" i="9" s="1"/>
  <c r="F266" i="14"/>
  <c r="H266" i="14" s="1"/>
  <c r="E400" i="8"/>
  <c r="G400" i="8" s="1"/>
  <c r="I399" i="8"/>
  <c r="H399" i="8"/>
  <c r="I281" i="9" l="1"/>
  <c r="N281" i="9"/>
  <c r="M281" i="9"/>
  <c r="E281" i="9"/>
  <c r="F281" i="9" s="1"/>
  <c r="H281" i="9" s="1"/>
  <c r="G282" i="9"/>
  <c r="L281" i="9"/>
  <c r="K281" i="9"/>
  <c r="O266" i="14"/>
  <c r="F400" i="8"/>
  <c r="C400" i="8"/>
  <c r="D400" i="8" s="1"/>
  <c r="P281" i="9" l="1"/>
  <c r="O281" i="9"/>
  <c r="E267" i="14"/>
  <c r="J267" i="14"/>
  <c r="I267" i="14"/>
  <c r="G268" i="14"/>
  <c r="H400" i="8"/>
  <c r="E401" i="8"/>
  <c r="G401" i="8" s="1"/>
  <c r="I400" i="8"/>
  <c r="D282" i="9" l="1"/>
  <c r="J282" i="9" s="1"/>
  <c r="F267" i="14"/>
  <c r="H267" i="14" s="1"/>
  <c r="C401" i="8"/>
  <c r="D401" i="8" s="1"/>
  <c r="F401" i="8"/>
  <c r="I282" i="9" l="1"/>
  <c r="N282" i="9"/>
  <c r="M282" i="9"/>
  <c r="E282" i="9"/>
  <c r="F282" i="9" s="1"/>
  <c r="H282" i="9" s="1"/>
  <c r="L282" i="9"/>
  <c r="K282" i="9"/>
  <c r="G283" i="9"/>
  <c r="O267" i="14"/>
  <c r="H401" i="8"/>
  <c r="E402" i="8"/>
  <c r="G402" i="8" s="1"/>
  <c r="I401" i="8"/>
  <c r="P282" i="9" l="1"/>
  <c r="O282" i="9"/>
  <c r="E268" i="14"/>
  <c r="J268" i="14"/>
  <c r="I268" i="14"/>
  <c r="G269" i="14"/>
  <c r="F402" i="8"/>
  <c r="C402" i="8"/>
  <c r="D402" i="8" s="1"/>
  <c r="D283" i="9" l="1"/>
  <c r="J283" i="9" s="1"/>
  <c r="F268" i="14"/>
  <c r="H268" i="14" s="1"/>
  <c r="H402" i="8"/>
  <c r="E403" i="8"/>
  <c r="G403" i="8" s="1"/>
  <c r="I402" i="8"/>
  <c r="I283" i="9" l="1"/>
  <c r="N283" i="9"/>
  <c r="M283" i="9"/>
  <c r="L283" i="9"/>
  <c r="G284" i="9"/>
  <c r="E283" i="9"/>
  <c r="F283" i="9" s="1"/>
  <c r="H283" i="9" s="1"/>
  <c r="O268" i="14"/>
  <c r="F403" i="8"/>
  <c r="C403" i="8"/>
  <c r="D403" i="8" s="1"/>
  <c r="O283" i="9" l="1"/>
  <c r="K283" i="9"/>
  <c r="P283" i="9" s="1"/>
  <c r="E269" i="14"/>
  <c r="J269" i="14"/>
  <c r="I269" i="14"/>
  <c r="G270" i="14"/>
  <c r="E404" i="8"/>
  <c r="G404" i="8" s="1"/>
  <c r="I403" i="8"/>
  <c r="H403" i="8"/>
  <c r="D284" i="9" l="1"/>
  <c r="J284" i="9" s="1"/>
  <c r="F269" i="14"/>
  <c r="H269" i="14" s="1"/>
  <c r="C404" i="8"/>
  <c r="D404" i="8" s="1"/>
  <c r="F404" i="8"/>
  <c r="I284" i="9" l="1"/>
  <c r="N284" i="9"/>
  <c r="M284" i="9"/>
  <c r="E284" i="9"/>
  <c r="F284" i="9" s="1"/>
  <c r="H284" i="9" s="1"/>
  <c r="G285" i="9"/>
  <c r="L284" i="9"/>
  <c r="K284" i="9"/>
  <c r="O269" i="14"/>
  <c r="H404" i="8"/>
  <c r="E405" i="8"/>
  <c r="G405" i="8" s="1"/>
  <c r="I404" i="8"/>
  <c r="P284" i="9" l="1"/>
  <c r="O284" i="9"/>
  <c r="E270" i="14"/>
  <c r="J270" i="14"/>
  <c r="I270" i="14"/>
  <c r="G271" i="14"/>
  <c r="F405" i="8"/>
  <c r="C405" i="8"/>
  <c r="D405" i="8" s="1"/>
  <c r="D285" i="9" l="1"/>
  <c r="J285" i="9" s="1"/>
  <c r="F270" i="14"/>
  <c r="H270" i="14" s="1"/>
  <c r="H405" i="8"/>
  <c r="E406" i="8"/>
  <c r="G406" i="8" s="1"/>
  <c r="I405" i="8"/>
  <c r="I285" i="9" l="1"/>
  <c r="N285" i="9"/>
  <c r="M285" i="9"/>
  <c r="G286" i="9"/>
  <c r="L285" i="9"/>
  <c r="E285" i="9"/>
  <c r="F285" i="9" s="1"/>
  <c r="H285" i="9" s="1"/>
  <c r="K285" i="9"/>
  <c r="O270" i="14"/>
  <c r="F406" i="8"/>
  <c r="C406" i="8"/>
  <c r="D406" i="8" s="1"/>
  <c r="P285" i="9" l="1"/>
  <c r="O285" i="9"/>
  <c r="E271" i="14"/>
  <c r="J271" i="14"/>
  <c r="I271" i="14"/>
  <c r="G272" i="14"/>
  <c r="H406" i="8"/>
  <c r="E407" i="8"/>
  <c r="G407" i="8" s="1"/>
  <c r="I406" i="8"/>
  <c r="D286" i="9" l="1"/>
  <c r="J286" i="9" s="1"/>
  <c r="F271" i="14"/>
  <c r="H271" i="14" s="1"/>
  <c r="C407" i="8"/>
  <c r="D407" i="8" s="1"/>
  <c r="F407" i="8"/>
  <c r="I286" i="9" l="1"/>
  <c r="N286" i="9"/>
  <c r="M286" i="9"/>
  <c r="L286" i="9"/>
  <c r="E286" i="9"/>
  <c r="F286" i="9" s="1"/>
  <c r="H286" i="9" s="1"/>
  <c r="G287" i="9"/>
  <c r="O271" i="14"/>
  <c r="H407" i="8"/>
  <c r="E408" i="8"/>
  <c r="G408" i="8" s="1"/>
  <c r="I407" i="8"/>
  <c r="O286" i="9" l="1"/>
  <c r="K286" i="9"/>
  <c r="P286" i="9" s="1"/>
  <c r="E272" i="14"/>
  <c r="J272" i="14"/>
  <c r="I272" i="14"/>
  <c r="G273" i="14"/>
  <c r="C408" i="8"/>
  <c r="D408" i="8" s="1"/>
  <c r="F408" i="8"/>
  <c r="D287" i="9" l="1"/>
  <c r="J287" i="9" s="1"/>
  <c r="F272" i="14"/>
  <c r="H272" i="14" s="1"/>
  <c r="H408" i="8"/>
  <c r="E409" i="8"/>
  <c r="G409" i="8" s="1"/>
  <c r="I408" i="8"/>
  <c r="I287" i="9" l="1"/>
  <c r="N287" i="9"/>
  <c r="M287" i="9"/>
  <c r="L287" i="9"/>
  <c r="E287" i="9"/>
  <c r="F287" i="9" s="1"/>
  <c r="H287" i="9" s="1"/>
  <c r="K287" i="9"/>
  <c r="G288" i="9"/>
  <c r="O272" i="14"/>
  <c r="F409" i="8"/>
  <c r="C409" i="8"/>
  <c r="D409" i="8" s="1"/>
  <c r="P287" i="9" l="1"/>
  <c r="O287" i="9"/>
  <c r="E273" i="14"/>
  <c r="J273" i="14"/>
  <c r="I273" i="14"/>
  <c r="G274" i="14"/>
  <c r="E410" i="8"/>
  <c r="G410" i="8" s="1"/>
  <c r="I409" i="8"/>
  <c r="H409" i="8"/>
  <c r="D288" i="9" l="1"/>
  <c r="J288" i="9" s="1"/>
  <c r="F273" i="14"/>
  <c r="H273" i="14" s="1"/>
  <c r="F410" i="8"/>
  <c r="C410" i="8"/>
  <c r="D410" i="8" s="1"/>
  <c r="I288" i="9" l="1"/>
  <c r="N288" i="9"/>
  <c r="M288" i="9"/>
  <c r="G289" i="9"/>
  <c r="E288" i="9"/>
  <c r="F288" i="9" s="1"/>
  <c r="H288" i="9" s="1"/>
  <c r="L288" i="9"/>
  <c r="O273" i="14"/>
  <c r="H410" i="8"/>
  <c r="E411" i="8"/>
  <c r="G411" i="8" s="1"/>
  <c r="I410" i="8"/>
  <c r="K288" i="9" l="1"/>
  <c r="P288" i="9" s="1"/>
  <c r="O288" i="9"/>
  <c r="E274" i="14"/>
  <c r="J274" i="14"/>
  <c r="I274" i="14"/>
  <c r="G275" i="14"/>
  <c r="C411" i="8"/>
  <c r="D411" i="8" s="1"/>
  <c r="F411" i="8"/>
  <c r="D289" i="9" l="1"/>
  <c r="J289" i="9" s="1"/>
  <c r="F274" i="14"/>
  <c r="H274" i="14" s="1"/>
  <c r="H411" i="8"/>
  <c r="I411" i="8"/>
  <c r="E412" i="8"/>
  <c r="G412" i="8" s="1"/>
  <c r="I289" i="9" l="1"/>
  <c r="N289" i="9"/>
  <c r="M289" i="9"/>
  <c r="E289" i="9"/>
  <c r="F289" i="9" s="1"/>
  <c r="H289" i="9" s="1"/>
  <c r="L289" i="9"/>
  <c r="G290" i="9"/>
  <c r="K289" i="9"/>
  <c r="O274" i="14"/>
  <c r="C412" i="8"/>
  <c r="D412" i="8" s="1"/>
  <c r="F412" i="8"/>
  <c r="P289" i="9" l="1"/>
  <c r="O289" i="9"/>
  <c r="E275" i="14"/>
  <c r="J275" i="14"/>
  <c r="I275" i="14"/>
  <c r="G276" i="14"/>
  <c r="H412" i="8"/>
  <c r="E413" i="8"/>
  <c r="G413" i="8" s="1"/>
  <c r="I412" i="8"/>
  <c r="D290" i="9" l="1"/>
  <c r="J290" i="9" s="1"/>
  <c r="F275" i="14"/>
  <c r="H275" i="14" s="1"/>
  <c r="C413" i="8"/>
  <c r="D413" i="8" s="1"/>
  <c r="F413" i="8"/>
  <c r="I290" i="9" l="1"/>
  <c r="N290" i="9"/>
  <c r="M290" i="9"/>
  <c r="G291" i="9"/>
  <c r="L290" i="9"/>
  <c r="E290" i="9"/>
  <c r="F290" i="9" s="1"/>
  <c r="H290" i="9" s="1"/>
  <c r="O275" i="14"/>
  <c r="H413" i="8"/>
  <c r="E414" i="8"/>
  <c r="G414" i="8" s="1"/>
  <c r="I413" i="8"/>
  <c r="O290" i="9" l="1"/>
  <c r="K290" i="9"/>
  <c r="P290" i="9" s="1"/>
  <c r="E276" i="14"/>
  <c r="J276" i="14"/>
  <c r="I276" i="14"/>
  <c r="G277" i="14"/>
  <c r="F414" i="8"/>
  <c r="C414" i="8"/>
  <c r="D414" i="8" s="1"/>
  <c r="D291" i="9" l="1"/>
  <c r="J291" i="9" s="1"/>
  <c r="F276" i="14"/>
  <c r="H276" i="14" s="1"/>
  <c r="E415" i="8"/>
  <c r="G415" i="8" s="1"/>
  <c r="I414" i="8"/>
  <c r="H414" i="8"/>
  <c r="I291" i="9" l="1"/>
  <c r="N291" i="9"/>
  <c r="M291" i="9"/>
  <c r="L291" i="9"/>
  <c r="G292" i="9"/>
  <c r="E291" i="9"/>
  <c r="F291" i="9" s="1"/>
  <c r="H291" i="9" s="1"/>
  <c r="O276" i="14"/>
  <c r="C415" i="8"/>
  <c r="D415" i="8" s="1"/>
  <c r="F415" i="8"/>
  <c r="O291" i="9" l="1"/>
  <c r="K291" i="9"/>
  <c r="P291" i="9" s="1"/>
  <c r="E277" i="14"/>
  <c r="J277" i="14"/>
  <c r="I277" i="14"/>
  <c r="G278" i="14"/>
  <c r="H415" i="8"/>
  <c r="E416" i="8"/>
  <c r="G416" i="8" s="1"/>
  <c r="I415" i="8"/>
  <c r="D292" i="9" l="1"/>
  <c r="J292" i="9" s="1"/>
  <c r="F277" i="14"/>
  <c r="H277" i="14" s="1"/>
  <c r="C416" i="8"/>
  <c r="D416" i="8" s="1"/>
  <c r="F416" i="8"/>
  <c r="I292" i="9" l="1"/>
  <c r="M292" i="9"/>
  <c r="N292" i="9"/>
  <c r="E292" i="9"/>
  <c r="F292" i="9" s="1"/>
  <c r="H292" i="9" s="1"/>
  <c r="K292" i="9"/>
  <c r="L292" i="9"/>
  <c r="G293" i="9"/>
  <c r="O277" i="14"/>
  <c r="H416" i="8"/>
  <c r="E417" i="8"/>
  <c r="G417" i="8" s="1"/>
  <c r="I416" i="8"/>
  <c r="P292" i="9" l="1"/>
  <c r="O292" i="9"/>
  <c r="E278" i="14"/>
  <c r="J278" i="14"/>
  <c r="I278" i="14"/>
  <c r="G279" i="14"/>
  <c r="C417" i="8"/>
  <c r="D417" i="8" s="1"/>
  <c r="F417" i="8"/>
  <c r="D293" i="9" l="1"/>
  <c r="J293" i="9" s="1"/>
  <c r="F278" i="14"/>
  <c r="H278" i="14" s="1"/>
  <c r="H417" i="8"/>
  <c r="E418" i="8"/>
  <c r="G418" i="8" s="1"/>
  <c r="I417" i="8"/>
  <c r="I293" i="9" l="1"/>
  <c r="N293" i="9"/>
  <c r="M293" i="9"/>
  <c r="G294" i="9"/>
  <c r="K293" i="9"/>
  <c r="E293" i="9"/>
  <c r="F293" i="9" s="1"/>
  <c r="H293" i="9" s="1"/>
  <c r="L293" i="9"/>
  <c r="O278" i="14"/>
  <c r="F418" i="8"/>
  <c r="C418" i="8"/>
  <c r="D418" i="8" s="1"/>
  <c r="P293" i="9" l="1"/>
  <c r="O293" i="9"/>
  <c r="E279" i="14"/>
  <c r="J279" i="14"/>
  <c r="I279" i="14"/>
  <c r="G280" i="14"/>
  <c r="H418" i="8"/>
  <c r="E419" i="8"/>
  <c r="G419" i="8" s="1"/>
  <c r="I418" i="8"/>
  <c r="D294" i="9" l="1"/>
  <c r="J294" i="9" s="1"/>
  <c r="F279" i="14"/>
  <c r="H279" i="14" s="1"/>
  <c r="F419" i="8"/>
  <c r="C419" i="8"/>
  <c r="D419" i="8" s="1"/>
  <c r="I294" i="9" l="1"/>
  <c r="N294" i="9"/>
  <c r="M294" i="9"/>
  <c r="L294" i="9"/>
  <c r="E294" i="9"/>
  <c r="F294" i="9" s="1"/>
  <c r="H294" i="9" s="1"/>
  <c r="G295" i="9"/>
  <c r="O279" i="14"/>
  <c r="E420" i="8"/>
  <c r="G420" i="8" s="1"/>
  <c r="I419" i="8"/>
  <c r="H419" i="8"/>
  <c r="O294" i="9" l="1"/>
  <c r="K294" i="9"/>
  <c r="P294" i="9" s="1"/>
  <c r="E280" i="14"/>
  <c r="J280" i="14"/>
  <c r="I280" i="14"/>
  <c r="G281" i="14"/>
  <c r="C420" i="8"/>
  <c r="D420" i="8" s="1"/>
  <c r="F420" i="8"/>
  <c r="D295" i="9" l="1"/>
  <c r="J295" i="9" s="1"/>
  <c r="F280" i="14"/>
  <c r="H280" i="14" s="1"/>
  <c r="H420" i="8"/>
  <c r="E421" i="8"/>
  <c r="G421" i="8" s="1"/>
  <c r="I420" i="8"/>
  <c r="I295" i="9" l="1"/>
  <c r="N295" i="9"/>
  <c r="M295" i="9"/>
  <c r="E295" i="9"/>
  <c r="F295" i="9" s="1"/>
  <c r="H295" i="9" s="1"/>
  <c r="L295" i="9"/>
  <c r="G296" i="9"/>
  <c r="K295" i="9"/>
  <c r="O280" i="14"/>
  <c r="F421" i="8"/>
  <c r="C421" i="8"/>
  <c r="D421" i="8" s="1"/>
  <c r="P295" i="9" l="1"/>
  <c r="O295" i="9"/>
  <c r="E281" i="14"/>
  <c r="J281" i="14"/>
  <c r="I281" i="14"/>
  <c r="G282" i="14"/>
  <c r="E422" i="8"/>
  <c r="G422" i="8" s="1"/>
  <c r="I421" i="8"/>
  <c r="H421" i="8"/>
  <c r="D296" i="9" l="1"/>
  <c r="J296" i="9" s="1"/>
  <c r="F281" i="14"/>
  <c r="H281" i="14" s="1"/>
  <c r="C422" i="8"/>
  <c r="D422" i="8" s="1"/>
  <c r="F422" i="8"/>
  <c r="I296" i="9" l="1"/>
  <c r="M296" i="9"/>
  <c r="N296" i="9"/>
  <c r="L296" i="9"/>
  <c r="E296" i="9"/>
  <c r="F296" i="9" s="1"/>
  <c r="H296" i="9" s="1"/>
  <c r="G297" i="9"/>
  <c r="O281" i="14"/>
  <c r="H422" i="8"/>
  <c r="E423" i="8"/>
  <c r="G423" i="8" s="1"/>
  <c r="I422" i="8"/>
  <c r="K296" i="9" l="1"/>
  <c r="P296" i="9" s="1"/>
  <c r="O296" i="9"/>
  <c r="E282" i="14"/>
  <c r="J282" i="14"/>
  <c r="I282" i="14"/>
  <c r="G283" i="14"/>
  <c r="C423" i="8"/>
  <c r="D423" i="8" s="1"/>
  <c r="F423" i="8"/>
  <c r="D297" i="9" l="1"/>
  <c r="J297" i="9" s="1"/>
  <c r="F282" i="14"/>
  <c r="H282" i="14" s="1"/>
  <c r="H423" i="8"/>
  <c r="E424" i="8"/>
  <c r="G424" i="8" s="1"/>
  <c r="I423" i="8"/>
  <c r="I297" i="9" l="1"/>
  <c r="N297" i="9"/>
  <c r="M297" i="9"/>
  <c r="G298" i="9"/>
  <c r="E297" i="9"/>
  <c r="F297" i="9" s="1"/>
  <c r="H297" i="9" s="1"/>
  <c r="L297" i="9"/>
  <c r="K297" i="9"/>
  <c r="O282" i="14"/>
  <c r="C424" i="8"/>
  <c r="D424" i="8" s="1"/>
  <c r="F424" i="8"/>
  <c r="P297" i="9" l="1"/>
  <c r="O297" i="9"/>
  <c r="E283" i="14"/>
  <c r="J283" i="14"/>
  <c r="I283" i="14"/>
  <c r="G284" i="14"/>
  <c r="H424" i="8"/>
  <c r="E425" i="8"/>
  <c r="G425" i="8" s="1"/>
  <c r="I424" i="8"/>
  <c r="D298" i="9" l="1"/>
  <c r="J298" i="9" s="1"/>
  <c r="F283" i="14"/>
  <c r="H283" i="14" s="1"/>
  <c r="C425" i="8"/>
  <c r="D425" i="8" s="1"/>
  <c r="F425" i="8"/>
  <c r="I298" i="9" l="1"/>
  <c r="N298" i="9"/>
  <c r="M298" i="9"/>
  <c r="G299" i="9"/>
  <c r="E298" i="9"/>
  <c r="F298" i="9" s="1"/>
  <c r="H298" i="9" s="1"/>
  <c r="L298" i="9"/>
  <c r="O283" i="14"/>
  <c r="H425" i="8"/>
  <c r="E426" i="8"/>
  <c r="G426" i="8" s="1"/>
  <c r="I425" i="8"/>
  <c r="K298" i="9" l="1"/>
  <c r="P298" i="9" s="1"/>
  <c r="O298" i="9"/>
  <c r="E284" i="14"/>
  <c r="J284" i="14"/>
  <c r="I284" i="14"/>
  <c r="G285" i="14"/>
  <c r="C426" i="8"/>
  <c r="D426" i="8" s="1"/>
  <c r="F426" i="8"/>
  <c r="D299" i="9" l="1"/>
  <c r="J299" i="9" s="1"/>
  <c r="F284" i="14"/>
  <c r="H284" i="14" s="1"/>
  <c r="H426" i="8"/>
  <c r="E427" i="8"/>
  <c r="G427" i="8" s="1"/>
  <c r="I426" i="8"/>
  <c r="I299" i="9" l="1"/>
  <c r="N299" i="9"/>
  <c r="M299" i="9"/>
  <c r="G300" i="9"/>
  <c r="L299" i="9"/>
  <c r="E299" i="9"/>
  <c r="F299" i="9" s="1"/>
  <c r="H299" i="9" s="1"/>
  <c r="K299" i="9"/>
  <c r="O284" i="14"/>
  <c r="C427" i="8"/>
  <c r="D427" i="8" s="1"/>
  <c r="F427" i="8"/>
  <c r="P299" i="9" l="1"/>
  <c r="O299" i="9"/>
  <c r="E285" i="14"/>
  <c r="J285" i="14"/>
  <c r="I285" i="14"/>
  <c r="G286" i="14"/>
  <c r="H427" i="8"/>
  <c r="E428" i="8"/>
  <c r="G428" i="8" s="1"/>
  <c r="I427" i="8"/>
  <c r="D300" i="9" l="1"/>
  <c r="J300" i="9" s="1"/>
  <c r="F285" i="14"/>
  <c r="H285" i="14" s="1"/>
  <c r="F428" i="8"/>
  <c r="C428" i="8"/>
  <c r="D428" i="8" s="1"/>
  <c r="I300" i="9" l="1"/>
  <c r="N300" i="9"/>
  <c r="M300" i="9"/>
  <c r="K300" i="9"/>
  <c r="E300" i="9"/>
  <c r="F300" i="9" s="1"/>
  <c r="H300" i="9" s="1"/>
  <c r="G301" i="9"/>
  <c r="L300" i="9"/>
  <c r="O285" i="14"/>
  <c r="E429" i="8"/>
  <c r="G429" i="8" s="1"/>
  <c r="I428" i="8"/>
  <c r="H428" i="8"/>
  <c r="P300" i="9" l="1"/>
  <c r="O300" i="9"/>
  <c r="E286" i="14"/>
  <c r="J286" i="14"/>
  <c r="I286" i="14"/>
  <c r="G287" i="14"/>
  <c r="C429" i="8"/>
  <c r="D429" i="8" s="1"/>
  <c r="F429" i="8"/>
  <c r="D301" i="9" l="1"/>
  <c r="J301" i="9" s="1"/>
  <c r="F286" i="14"/>
  <c r="H286" i="14" s="1"/>
  <c r="H429" i="8"/>
  <c r="E430" i="8"/>
  <c r="G430" i="8" s="1"/>
  <c r="I429" i="8"/>
  <c r="I301" i="9" l="1"/>
  <c r="N301" i="9"/>
  <c r="M301" i="9"/>
  <c r="L301" i="9"/>
  <c r="G302" i="9"/>
  <c r="E301" i="9"/>
  <c r="F301" i="9" s="1"/>
  <c r="H301" i="9" s="1"/>
  <c r="O286" i="14"/>
  <c r="C430" i="8"/>
  <c r="D430" i="8" s="1"/>
  <c r="F430" i="8"/>
  <c r="O301" i="9" l="1"/>
  <c r="K301" i="9"/>
  <c r="P301" i="9" s="1"/>
  <c r="E287" i="14"/>
  <c r="J287" i="14"/>
  <c r="I287" i="14"/>
  <c r="G288" i="14"/>
  <c r="H430" i="8"/>
  <c r="E431" i="8"/>
  <c r="G431" i="8" s="1"/>
  <c r="I430" i="8"/>
  <c r="D302" i="9" l="1"/>
  <c r="J302" i="9" s="1"/>
  <c r="F287" i="14"/>
  <c r="H287" i="14" s="1"/>
  <c r="C431" i="8"/>
  <c r="D431" i="8" s="1"/>
  <c r="F431" i="8"/>
  <c r="I302" i="9" l="1"/>
  <c r="N302" i="9"/>
  <c r="M302" i="9"/>
  <c r="L302" i="9"/>
  <c r="G303" i="9"/>
  <c r="E302" i="9"/>
  <c r="F302" i="9" s="1"/>
  <c r="H302" i="9" s="1"/>
  <c r="O287" i="14"/>
  <c r="H431" i="8"/>
  <c r="E432" i="8"/>
  <c r="G432" i="8" s="1"/>
  <c r="I431" i="8"/>
  <c r="O302" i="9" l="1"/>
  <c r="K302" i="9"/>
  <c r="P302" i="9" s="1"/>
  <c r="E288" i="14"/>
  <c r="J288" i="14"/>
  <c r="I288" i="14"/>
  <c r="G289" i="14"/>
  <c r="F432" i="8"/>
  <c r="C432" i="8"/>
  <c r="D432" i="8" s="1"/>
  <c r="D303" i="9" l="1"/>
  <c r="J303" i="9" s="1"/>
  <c r="F288" i="14"/>
  <c r="H288" i="14" s="1"/>
  <c r="E433" i="8"/>
  <c r="G433" i="8" s="1"/>
  <c r="I432" i="8"/>
  <c r="H432" i="8"/>
  <c r="I303" i="9" l="1"/>
  <c r="N303" i="9"/>
  <c r="M303" i="9"/>
  <c r="L303" i="9"/>
  <c r="K303" i="9"/>
  <c r="G304" i="9"/>
  <c r="E303" i="9"/>
  <c r="F303" i="9" s="1"/>
  <c r="H303" i="9" s="1"/>
  <c r="O288" i="14"/>
  <c r="C433" i="8"/>
  <c r="D433" i="8" s="1"/>
  <c r="F433" i="8"/>
  <c r="P303" i="9" l="1"/>
  <c r="O303" i="9"/>
  <c r="E289" i="14"/>
  <c r="J289" i="14"/>
  <c r="I289" i="14"/>
  <c r="G290" i="14"/>
  <c r="H433" i="8"/>
  <c r="E434" i="8"/>
  <c r="G434" i="8" s="1"/>
  <c r="I433" i="8"/>
  <c r="D304" i="9" l="1"/>
  <c r="J304" i="9" s="1"/>
  <c r="F289" i="14"/>
  <c r="H289" i="14" s="1"/>
  <c r="C434" i="8"/>
  <c r="D434" i="8" s="1"/>
  <c r="F434" i="8"/>
  <c r="I304" i="9" l="1"/>
  <c r="N304" i="9"/>
  <c r="M304" i="9"/>
  <c r="E304" i="9"/>
  <c r="F304" i="9" s="1"/>
  <c r="H304" i="9" s="1"/>
  <c r="G305" i="9"/>
  <c r="L304" i="9"/>
  <c r="K304" i="9"/>
  <c r="O289" i="14"/>
  <c r="H434" i="8"/>
  <c r="E435" i="8"/>
  <c r="G435" i="8" s="1"/>
  <c r="I434" i="8"/>
  <c r="P304" i="9" l="1"/>
  <c r="O304" i="9"/>
  <c r="E290" i="14"/>
  <c r="J290" i="14"/>
  <c r="I290" i="14"/>
  <c r="G291" i="14"/>
  <c r="C435" i="8"/>
  <c r="D435" i="8" s="1"/>
  <c r="F435" i="8"/>
  <c r="D305" i="9" l="1"/>
  <c r="J305" i="9" s="1"/>
  <c r="F290" i="14"/>
  <c r="H290" i="14" s="1"/>
  <c r="H435" i="8"/>
  <c r="E436" i="8"/>
  <c r="G436" i="8" s="1"/>
  <c r="I435" i="8"/>
  <c r="I305" i="9" l="1"/>
  <c r="N305" i="9"/>
  <c r="M305" i="9"/>
  <c r="G306" i="9"/>
  <c r="E305" i="9"/>
  <c r="F305" i="9" s="1"/>
  <c r="H305" i="9" s="1"/>
  <c r="K305" i="9"/>
  <c r="L305" i="9"/>
  <c r="O290" i="14"/>
  <c r="F436" i="8"/>
  <c r="C436" i="8"/>
  <c r="D436" i="8" s="1"/>
  <c r="P305" i="9" l="1"/>
  <c r="O305" i="9"/>
  <c r="E291" i="14"/>
  <c r="J291" i="14"/>
  <c r="I291" i="14"/>
  <c r="G292" i="14"/>
  <c r="H436" i="8"/>
  <c r="E437" i="8"/>
  <c r="G437" i="8" s="1"/>
  <c r="I436" i="8"/>
  <c r="D306" i="9" l="1"/>
  <c r="J306" i="9" s="1"/>
  <c r="F291" i="14"/>
  <c r="H291" i="14" s="1"/>
  <c r="F437" i="8"/>
  <c r="C437" i="8"/>
  <c r="D437" i="8" s="1"/>
  <c r="I306" i="9" l="1"/>
  <c r="N306" i="9"/>
  <c r="M306" i="9"/>
  <c r="G307" i="9"/>
  <c r="E306" i="9"/>
  <c r="F306" i="9" s="1"/>
  <c r="H306" i="9" s="1"/>
  <c r="L306" i="9"/>
  <c r="K306" i="9"/>
  <c r="O291" i="14"/>
  <c r="H437" i="8"/>
  <c r="E438" i="8"/>
  <c r="G438" i="8" s="1"/>
  <c r="I437" i="8"/>
  <c r="P306" i="9" l="1"/>
  <c r="O306" i="9"/>
  <c r="E292" i="14"/>
  <c r="J292" i="14"/>
  <c r="I292" i="14"/>
  <c r="G293" i="14"/>
  <c r="F438" i="8"/>
  <c r="C438" i="8"/>
  <c r="D438" i="8" s="1"/>
  <c r="D307" i="9" l="1"/>
  <c r="J307" i="9" s="1"/>
  <c r="F292" i="14"/>
  <c r="H292" i="14" s="1"/>
  <c r="E439" i="8"/>
  <c r="G439" i="8" s="1"/>
  <c r="I438" i="8"/>
  <c r="H438" i="8"/>
  <c r="I307" i="9" l="1"/>
  <c r="N307" i="9"/>
  <c r="M307" i="9"/>
  <c r="L307" i="9"/>
  <c r="E307" i="9"/>
  <c r="F307" i="9" s="1"/>
  <c r="H307" i="9" s="1"/>
  <c r="G308" i="9"/>
  <c r="K307" i="9"/>
  <c r="O292" i="14"/>
  <c r="C439" i="8"/>
  <c r="D439" i="8" s="1"/>
  <c r="F439" i="8"/>
  <c r="P307" i="9" l="1"/>
  <c r="O307" i="9"/>
  <c r="E293" i="14"/>
  <c r="J293" i="14"/>
  <c r="I293" i="14"/>
  <c r="G294" i="14"/>
  <c r="H439" i="8"/>
  <c r="E440" i="8"/>
  <c r="G440" i="8" s="1"/>
  <c r="I439" i="8"/>
  <c r="D308" i="9" l="1"/>
  <c r="J308" i="9" s="1"/>
  <c r="F293" i="14"/>
  <c r="H293" i="14" s="1"/>
  <c r="C440" i="8"/>
  <c r="D440" i="8" s="1"/>
  <c r="F440" i="8"/>
  <c r="I308" i="9" l="1"/>
  <c r="M308" i="9"/>
  <c r="N308" i="9"/>
  <c r="G309" i="9"/>
  <c r="E308" i="9"/>
  <c r="F308" i="9" s="1"/>
  <c r="H308" i="9" s="1"/>
  <c r="L308" i="9"/>
  <c r="K308" i="9"/>
  <c r="O293" i="14"/>
  <c r="H440" i="8"/>
  <c r="E441" i="8"/>
  <c r="G441" i="8" s="1"/>
  <c r="I440" i="8"/>
  <c r="P308" i="9" l="1"/>
  <c r="O308" i="9"/>
  <c r="E294" i="14"/>
  <c r="J294" i="14"/>
  <c r="I294" i="14"/>
  <c r="G295" i="14"/>
  <c r="F441" i="8"/>
  <c r="C441" i="8"/>
  <c r="D441" i="8" s="1"/>
  <c r="D309" i="9" l="1"/>
  <c r="J309" i="9" s="1"/>
  <c r="F294" i="14"/>
  <c r="H294" i="14" s="1"/>
  <c r="H441" i="8"/>
  <c r="E442" i="8"/>
  <c r="G442" i="8" s="1"/>
  <c r="I441" i="8"/>
  <c r="I309" i="9" l="1"/>
  <c r="N309" i="9"/>
  <c r="M309" i="9"/>
  <c r="L309" i="9"/>
  <c r="E309" i="9"/>
  <c r="F309" i="9" s="1"/>
  <c r="H309" i="9" s="1"/>
  <c r="G310" i="9"/>
  <c r="O294" i="14"/>
  <c r="F442" i="8"/>
  <c r="C442" i="8"/>
  <c r="D442" i="8" s="1"/>
  <c r="K309" i="9" l="1"/>
  <c r="P309" i="9" s="1"/>
  <c r="O309" i="9"/>
  <c r="E295" i="14"/>
  <c r="J295" i="14"/>
  <c r="I295" i="14"/>
  <c r="G296" i="14"/>
  <c r="E443" i="8"/>
  <c r="G443" i="8" s="1"/>
  <c r="I442" i="8"/>
  <c r="H442" i="8"/>
  <c r="D310" i="9" l="1"/>
  <c r="J310" i="9" s="1"/>
  <c r="F295" i="14"/>
  <c r="H295" i="14" s="1"/>
  <c r="C443" i="8"/>
  <c r="D443" i="8" s="1"/>
  <c r="F443" i="8"/>
  <c r="I310" i="9" l="1"/>
  <c r="N310" i="9"/>
  <c r="M310" i="9"/>
  <c r="E310" i="9"/>
  <c r="F310" i="9" s="1"/>
  <c r="H310" i="9" s="1"/>
  <c r="L310" i="9"/>
  <c r="G311" i="9"/>
  <c r="K310" i="9"/>
  <c r="O295" i="14"/>
  <c r="H443" i="8"/>
  <c r="E444" i="8"/>
  <c r="G444" i="8" s="1"/>
  <c r="I443" i="8"/>
  <c r="P310" i="9" l="1"/>
  <c r="O310" i="9"/>
  <c r="E296" i="14"/>
  <c r="J296" i="14"/>
  <c r="I296" i="14"/>
  <c r="G297" i="14"/>
  <c r="F444" i="8"/>
  <c r="C444" i="8"/>
  <c r="D444" i="8" s="1"/>
  <c r="D311" i="9" l="1"/>
  <c r="J311" i="9" s="1"/>
  <c r="F296" i="14"/>
  <c r="H296" i="14" s="1"/>
  <c r="E445" i="8"/>
  <c r="G445" i="8" s="1"/>
  <c r="I444" i="8"/>
  <c r="H444" i="8"/>
  <c r="I311" i="9" l="1"/>
  <c r="N311" i="9"/>
  <c r="M311" i="9"/>
  <c r="G312" i="9"/>
  <c r="L311" i="9"/>
  <c r="E311" i="9"/>
  <c r="F311" i="9" s="1"/>
  <c r="H311" i="9" s="1"/>
  <c r="O296" i="14"/>
  <c r="F445" i="8"/>
  <c r="C445" i="8"/>
  <c r="D445" i="8" s="1"/>
  <c r="O311" i="9" l="1"/>
  <c r="K311" i="9"/>
  <c r="P311" i="9" s="1"/>
  <c r="E297" i="14"/>
  <c r="J297" i="14"/>
  <c r="I297" i="14"/>
  <c r="G298" i="14"/>
  <c r="E446" i="8"/>
  <c r="G446" i="8" s="1"/>
  <c r="I445" i="8"/>
  <c r="H445" i="8"/>
  <c r="D312" i="9" l="1"/>
  <c r="J312" i="9" s="1"/>
  <c r="F297" i="14"/>
  <c r="H297" i="14" s="1"/>
  <c r="C446" i="8"/>
  <c r="D446" i="8" s="1"/>
  <c r="F446" i="8"/>
  <c r="I312" i="9" l="1"/>
  <c r="M312" i="9"/>
  <c r="N312" i="9"/>
  <c r="G313" i="9"/>
  <c r="E312" i="9"/>
  <c r="F312" i="9" s="1"/>
  <c r="H312" i="9" s="1"/>
  <c r="L312" i="9"/>
  <c r="O297" i="14"/>
  <c r="H446" i="8"/>
  <c r="E447" i="8"/>
  <c r="G447" i="8" s="1"/>
  <c r="I446" i="8"/>
  <c r="O312" i="9" l="1"/>
  <c r="K312" i="9"/>
  <c r="P312" i="9" s="1"/>
  <c r="E298" i="14"/>
  <c r="J298" i="14"/>
  <c r="I298" i="14"/>
  <c r="G299" i="14"/>
  <c r="F447" i="8"/>
  <c r="C447" i="8"/>
  <c r="D447" i="8" s="1"/>
  <c r="D313" i="9" l="1"/>
  <c r="J313" i="9" s="1"/>
  <c r="F298" i="14"/>
  <c r="H298" i="14" s="1"/>
  <c r="E448" i="8"/>
  <c r="G448" i="8" s="1"/>
  <c r="I447" i="8"/>
  <c r="H447" i="8"/>
  <c r="I313" i="9" l="1"/>
  <c r="N313" i="9"/>
  <c r="M313" i="9"/>
  <c r="E313" i="9"/>
  <c r="F313" i="9" s="1"/>
  <c r="H313" i="9" s="1"/>
  <c r="G314" i="9"/>
  <c r="L313" i="9"/>
  <c r="O298" i="14"/>
  <c r="C448" i="8"/>
  <c r="D448" i="8" s="1"/>
  <c r="F448" i="8"/>
  <c r="O313" i="9" l="1"/>
  <c r="K313" i="9"/>
  <c r="P313" i="9" s="1"/>
  <c r="E299" i="14"/>
  <c r="J299" i="14"/>
  <c r="I299" i="14"/>
  <c r="G300" i="14"/>
  <c r="H448" i="8"/>
  <c r="E449" i="8"/>
  <c r="G449" i="8" s="1"/>
  <c r="I448" i="8"/>
  <c r="D314" i="9" l="1"/>
  <c r="J314" i="9" s="1"/>
  <c r="F299" i="14"/>
  <c r="H299" i="14" s="1"/>
  <c r="C449" i="8"/>
  <c r="D449" i="8" s="1"/>
  <c r="F449" i="8"/>
  <c r="I314" i="9" l="1"/>
  <c r="N314" i="9"/>
  <c r="M314" i="9"/>
  <c r="L314" i="9"/>
  <c r="G315" i="9"/>
  <c r="E314" i="9"/>
  <c r="F314" i="9" s="1"/>
  <c r="H314" i="9" s="1"/>
  <c r="O299" i="14"/>
  <c r="H449" i="8"/>
  <c r="E450" i="8"/>
  <c r="G450" i="8" s="1"/>
  <c r="I449" i="8"/>
  <c r="O314" i="9" l="1"/>
  <c r="K314" i="9"/>
  <c r="P314" i="9" s="1"/>
  <c r="E300" i="14"/>
  <c r="J300" i="14"/>
  <c r="I300" i="14"/>
  <c r="G301" i="14"/>
  <c r="C450" i="8"/>
  <c r="D450" i="8" s="1"/>
  <c r="F450" i="8"/>
  <c r="D315" i="9" l="1"/>
  <c r="J315" i="9" s="1"/>
  <c r="F300" i="14"/>
  <c r="H300" i="14" s="1"/>
  <c r="H450" i="8"/>
  <c r="E451" i="8"/>
  <c r="G451" i="8" s="1"/>
  <c r="I450" i="8"/>
  <c r="I315" i="9" l="1"/>
  <c r="N315" i="9"/>
  <c r="M315" i="9"/>
  <c r="K315" i="9"/>
  <c r="G316" i="9"/>
  <c r="E315" i="9"/>
  <c r="F315" i="9" s="1"/>
  <c r="H315" i="9" s="1"/>
  <c r="L315" i="9"/>
  <c r="O300" i="14"/>
  <c r="F451" i="8"/>
  <c r="C451" i="8"/>
  <c r="D451" i="8" s="1"/>
  <c r="P315" i="9" l="1"/>
  <c r="O315" i="9"/>
  <c r="E301" i="14"/>
  <c r="J301" i="14"/>
  <c r="I301" i="14"/>
  <c r="G302" i="14"/>
  <c r="E452" i="8"/>
  <c r="G452" i="8" s="1"/>
  <c r="I451" i="8"/>
  <c r="H451" i="8"/>
  <c r="D316" i="9" l="1"/>
  <c r="J316" i="9" s="1"/>
  <c r="F301" i="14"/>
  <c r="H301" i="14" s="1"/>
  <c r="C452" i="8"/>
  <c r="D452" i="8" s="1"/>
  <c r="F452" i="8"/>
  <c r="I316" i="9" l="1"/>
  <c r="N316" i="9"/>
  <c r="M316" i="9"/>
  <c r="L316" i="9"/>
  <c r="G317" i="9"/>
  <c r="E316" i="9"/>
  <c r="F316" i="9" s="1"/>
  <c r="H316" i="9" s="1"/>
  <c r="O301" i="14"/>
  <c r="H452" i="8"/>
  <c r="E453" i="8"/>
  <c r="G453" i="8" s="1"/>
  <c r="I452" i="8"/>
  <c r="O316" i="9" l="1"/>
  <c r="K316" i="9"/>
  <c r="P316" i="9" s="1"/>
  <c r="E302" i="14"/>
  <c r="J302" i="14"/>
  <c r="I302" i="14"/>
  <c r="G303" i="14"/>
  <c r="C453" i="8"/>
  <c r="D453" i="8" s="1"/>
  <c r="F453" i="8"/>
  <c r="D317" i="9" l="1"/>
  <c r="J317" i="9" s="1"/>
  <c r="F302" i="14"/>
  <c r="H302" i="14" s="1"/>
  <c r="H453" i="8"/>
  <c r="E454" i="8"/>
  <c r="G454" i="8" s="1"/>
  <c r="I453" i="8"/>
  <c r="I317" i="9" l="1"/>
  <c r="N317" i="9"/>
  <c r="M317" i="9"/>
  <c r="G318" i="9"/>
  <c r="L317" i="9"/>
  <c r="E317" i="9"/>
  <c r="F317" i="9" s="1"/>
  <c r="H317" i="9" s="1"/>
  <c r="K317" i="9"/>
  <c r="O302" i="14"/>
  <c r="C454" i="8"/>
  <c r="D454" i="8" s="1"/>
  <c r="F454" i="8"/>
  <c r="P317" i="9" l="1"/>
  <c r="O317" i="9"/>
  <c r="E303" i="14"/>
  <c r="J303" i="14"/>
  <c r="I303" i="14"/>
  <c r="G304" i="14"/>
  <c r="H454" i="8"/>
  <c r="E455" i="8"/>
  <c r="G455" i="8" s="1"/>
  <c r="I454" i="8"/>
  <c r="D318" i="9" l="1"/>
  <c r="J318" i="9" s="1"/>
  <c r="F303" i="14"/>
  <c r="H303" i="14" s="1"/>
  <c r="C455" i="8"/>
  <c r="D455" i="8" s="1"/>
  <c r="F455" i="8"/>
  <c r="I318" i="9" l="1"/>
  <c r="N318" i="9"/>
  <c r="M318" i="9"/>
  <c r="L318" i="9"/>
  <c r="E318" i="9"/>
  <c r="F318" i="9" s="1"/>
  <c r="H318" i="9" s="1"/>
  <c r="G319" i="9"/>
  <c r="K318" i="9"/>
  <c r="O303" i="14"/>
  <c r="H455" i="8"/>
  <c r="E456" i="8"/>
  <c r="G456" i="8" s="1"/>
  <c r="I455" i="8"/>
  <c r="P318" i="9" l="1"/>
  <c r="O318" i="9"/>
  <c r="E304" i="14"/>
  <c r="J304" i="14"/>
  <c r="I304" i="14"/>
  <c r="G305" i="14"/>
  <c r="F456" i="8"/>
  <c r="C456" i="8"/>
  <c r="D456" i="8" s="1"/>
  <c r="D319" i="9" l="1"/>
  <c r="J319" i="9" s="1"/>
  <c r="F304" i="14"/>
  <c r="H304" i="14" s="1"/>
  <c r="H456" i="8"/>
  <c r="E457" i="8"/>
  <c r="G457" i="8" s="1"/>
  <c r="I456" i="8"/>
  <c r="I319" i="9" l="1"/>
  <c r="N319" i="9"/>
  <c r="M319" i="9"/>
  <c r="L319" i="9"/>
  <c r="G320" i="9"/>
  <c r="E319" i="9"/>
  <c r="F319" i="9" s="1"/>
  <c r="H319" i="9" s="1"/>
  <c r="O304" i="14"/>
  <c r="C457" i="8"/>
  <c r="D457" i="8" s="1"/>
  <c r="F457" i="8"/>
  <c r="K319" i="9" l="1"/>
  <c r="P319" i="9" s="1"/>
  <c r="O319" i="9"/>
  <c r="E305" i="14"/>
  <c r="I305" i="14"/>
  <c r="J305" i="14"/>
  <c r="G306" i="14"/>
  <c r="H457" i="8"/>
  <c r="E458" i="8"/>
  <c r="G458" i="8" s="1"/>
  <c r="I457" i="8"/>
  <c r="D320" i="9" l="1"/>
  <c r="J320" i="9" s="1"/>
  <c r="F305" i="14"/>
  <c r="H305" i="14" s="1"/>
  <c r="C458" i="8"/>
  <c r="D458" i="8" s="1"/>
  <c r="F458" i="8"/>
  <c r="I320" i="9" l="1"/>
  <c r="N320" i="9"/>
  <c r="M320" i="9"/>
  <c r="G321" i="9"/>
  <c r="L320" i="9"/>
  <c r="E320" i="9"/>
  <c r="F320" i="9" s="1"/>
  <c r="H320" i="9" s="1"/>
  <c r="O305" i="14"/>
  <c r="H458" i="8"/>
  <c r="E459" i="8"/>
  <c r="G459" i="8" s="1"/>
  <c r="I458" i="8"/>
  <c r="O320" i="9" l="1"/>
  <c r="K320" i="9"/>
  <c r="P320" i="9" s="1"/>
  <c r="E306" i="14"/>
  <c r="I306" i="14"/>
  <c r="J306" i="14"/>
  <c r="G307" i="14"/>
  <c r="F459" i="8"/>
  <c r="C459" i="8"/>
  <c r="D459" i="8" s="1"/>
  <c r="D321" i="9" l="1"/>
  <c r="J321" i="9" s="1"/>
  <c r="F306" i="14"/>
  <c r="H306" i="14" s="1"/>
  <c r="E460" i="8"/>
  <c r="G460" i="8" s="1"/>
  <c r="I459" i="8"/>
  <c r="H459" i="8"/>
  <c r="I321" i="9" l="1"/>
  <c r="N321" i="9"/>
  <c r="M321" i="9"/>
  <c r="K321" i="9"/>
  <c r="E321" i="9"/>
  <c r="F321" i="9" s="1"/>
  <c r="H321" i="9" s="1"/>
  <c r="L321" i="9"/>
  <c r="G322" i="9"/>
  <c r="O306" i="14"/>
  <c r="F460" i="8"/>
  <c r="C460" i="8"/>
  <c r="D460" i="8" s="1"/>
  <c r="P321" i="9" l="1"/>
  <c r="O321" i="9"/>
  <c r="E307" i="14"/>
  <c r="I307" i="14"/>
  <c r="J307" i="14"/>
  <c r="G308" i="14"/>
  <c r="E461" i="8"/>
  <c r="G461" i="8" s="1"/>
  <c r="I460" i="8"/>
  <c r="H460" i="8"/>
  <c r="D322" i="9" l="1"/>
  <c r="J322" i="9" s="1"/>
  <c r="F307" i="14"/>
  <c r="H307" i="14" s="1"/>
  <c r="F461" i="8"/>
  <c r="C461" i="8"/>
  <c r="D461" i="8" s="1"/>
  <c r="I322" i="9" l="1"/>
  <c r="N322" i="9"/>
  <c r="M322" i="9"/>
  <c r="L322" i="9"/>
  <c r="G323" i="9"/>
  <c r="E322" i="9"/>
  <c r="F322" i="9" s="1"/>
  <c r="H322" i="9" s="1"/>
  <c r="O307" i="14"/>
  <c r="H461" i="8"/>
  <c r="E462" i="8"/>
  <c r="G462" i="8" s="1"/>
  <c r="I461" i="8"/>
  <c r="O322" i="9" l="1"/>
  <c r="K322" i="9"/>
  <c r="P322" i="9" s="1"/>
  <c r="E308" i="14"/>
  <c r="I308" i="14"/>
  <c r="J308" i="14"/>
  <c r="G309" i="14"/>
  <c r="C462" i="8"/>
  <c r="D462" i="8" s="1"/>
  <c r="F462" i="8"/>
  <c r="D323" i="9" l="1"/>
  <c r="J323" i="9" s="1"/>
  <c r="F308" i="14"/>
  <c r="H308" i="14" s="1"/>
  <c r="H462" i="8"/>
  <c r="E463" i="8"/>
  <c r="G463" i="8" s="1"/>
  <c r="I462" i="8"/>
  <c r="I323" i="9" l="1"/>
  <c r="N323" i="9"/>
  <c r="M323" i="9"/>
  <c r="G324" i="9"/>
  <c r="E323" i="9"/>
  <c r="F323" i="9" s="1"/>
  <c r="H323" i="9" s="1"/>
  <c r="L323" i="9"/>
  <c r="K323" i="9"/>
  <c r="O308" i="14"/>
  <c r="C463" i="8"/>
  <c r="D463" i="8" s="1"/>
  <c r="F463" i="8"/>
  <c r="P323" i="9" l="1"/>
  <c r="O323" i="9"/>
  <c r="E309" i="14"/>
  <c r="I309" i="14"/>
  <c r="J309" i="14"/>
  <c r="G310" i="14"/>
  <c r="H463" i="8"/>
  <c r="E464" i="8"/>
  <c r="G464" i="8" s="1"/>
  <c r="I463" i="8"/>
  <c r="D324" i="9" l="1"/>
  <c r="J324" i="9" s="1"/>
  <c r="F309" i="14"/>
  <c r="H309" i="14" s="1"/>
  <c r="F464" i="8"/>
  <c r="C464" i="8"/>
  <c r="D464" i="8" s="1"/>
  <c r="I324" i="9" l="1"/>
  <c r="M324" i="9"/>
  <c r="N324" i="9"/>
  <c r="L324" i="9"/>
  <c r="G325" i="9"/>
  <c r="E324" i="9"/>
  <c r="F324" i="9" s="1"/>
  <c r="H324" i="9" s="1"/>
  <c r="O309" i="14"/>
  <c r="E465" i="8"/>
  <c r="G465" i="8" s="1"/>
  <c r="I464" i="8"/>
  <c r="H464" i="8"/>
  <c r="O324" i="9" l="1"/>
  <c r="K324" i="9"/>
  <c r="P324" i="9" s="1"/>
  <c r="E310" i="14"/>
  <c r="I310" i="14"/>
  <c r="J310" i="14"/>
  <c r="G311" i="14"/>
  <c r="C465" i="8"/>
  <c r="D465" i="8" s="1"/>
  <c r="F465" i="8"/>
  <c r="D325" i="9" l="1"/>
  <c r="J325" i="9" s="1"/>
  <c r="F310" i="14"/>
  <c r="H310" i="14" s="1"/>
  <c r="H465" i="8"/>
  <c r="E466" i="8"/>
  <c r="G466" i="8" s="1"/>
  <c r="I465" i="8"/>
  <c r="I325" i="9" l="1"/>
  <c r="N325" i="9"/>
  <c r="M325" i="9"/>
  <c r="E325" i="9"/>
  <c r="F325" i="9" s="1"/>
  <c r="H325" i="9" s="1"/>
  <c r="G326" i="9"/>
  <c r="L325" i="9"/>
  <c r="K325" i="9"/>
  <c r="O310" i="14"/>
  <c r="C466" i="8"/>
  <c r="D466" i="8" s="1"/>
  <c r="F466" i="8"/>
  <c r="P325" i="9" l="1"/>
  <c r="O325" i="9"/>
  <c r="E311" i="14"/>
  <c r="I311" i="14"/>
  <c r="J311" i="14"/>
  <c r="G312" i="14"/>
  <c r="H466" i="8"/>
  <c r="E467" i="8"/>
  <c r="G467" i="8" s="1"/>
  <c r="I466" i="8"/>
  <c r="D326" i="9" l="1"/>
  <c r="J326" i="9" s="1"/>
  <c r="F311" i="14"/>
  <c r="H311" i="14" s="1"/>
  <c r="C467" i="8"/>
  <c r="D467" i="8" s="1"/>
  <c r="F467" i="8"/>
  <c r="I326" i="9" l="1"/>
  <c r="N326" i="9"/>
  <c r="M326" i="9"/>
  <c r="G327" i="9"/>
  <c r="E326" i="9"/>
  <c r="F326" i="9" s="1"/>
  <c r="H326" i="9" s="1"/>
  <c r="L326" i="9"/>
  <c r="O311" i="14"/>
  <c r="H467" i="8"/>
  <c r="E468" i="8"/>
  <c r="G468" i="8" s="1"/>
  <c r="I467" i="8"/>
  <c r="O326" i="9" l="1"/>
  <c r="K326" i="9"/>
  <c r="P326" i="9" s="1"/>
  <c r="E312" i="14"/>
  <c r="I312" i="14"/>
  <c r="J312" i="14"/>
  <c r="G313" i="14"/>
  <c r="F468" i="8"/>
  <c r="C468" i="8"/>
  <c r="D468" i="8" s="1"/>
  <c r="D327" i="9" l="1"/>
  <c r="J327" i="9" s="1"/>
  <c r="F312" i="14"/>
  <c r="H312" i="14" s="1"/>
  <c r="E469" i="8"/>
  <c r="G469" i="8" s="1"/>
  <c r="I468" i="8"/>
  <c r="H468" i="8"/>
  <c r="I327" i="9" l="1"/>
  <c r="N327" i="9"/>
  <c r="M327" i="9"/>
  <c r="G328" i="9"/>
  <c r="E327" i="9"/>
  <c r="F327" i="9" s="1"/>
  <c r="H327" i="9" s="1"/>
  <c r="L327" i="9"/>
  <c r="O312" i="14"/>
  <c r="F469" i="8"/>
  <c r="C469" i="8"/>
  <c r="D469" i="8" s="1"/>
  <c r="O327" i="9" l="1"/>
  <c r="K327" i="9"/>
  <c r="P327" i="9" s="1"/>
  <c r="E313" i="14"/>
  <c r="I313" i="14"/>
  <c r="J313" i="14"/>
  <c r="G314" i="14"/>
  <c r="H469" i="8"/>
  <c r="E470" i="8"/>
  <c r="G470" i="8" s="1"/>
  <c r="I469" i="8"/>
  <c r="D328" i="9" l="1"/>
  <c r="J328" i="9" s="1"/>
  <c r="F313" i="14"/>
  <c r="H313" i="14" s="1"/>
  <c r="C470" i="8"/>
  <c r="D470" i="8" s="1"/>
  <c r="F470" i="8"/>
  <c r="I328" i="9" l="1"/>
  <c r="M328" i="9"/>
  <c r="N328" i="9"/>
  <c r="G329" i="9"/>
  <c r="L328" i="9"/>
  <c r="E328" i="9"/>
  <c r="F328" i="9" s="1"/>
  <c r="H328" i="9" s="1"/>
  <c r="O313" i="14"/>
  <c r="H470" i="8"/>
  <c r="E471" i="8"/>
  <c r="G471" i="8" s="1"/>
  <c r="I470" i="8"/>
  <c r="O328" i="9" l="1"/>
  <c r="K328" i="9"/>
  <c r="P328" i="9" s="1"/>
  <c r="E314" i="14"/>
  <c r="I314" i="14"/>
  <c r="J314" i="14"/>
  <c r="G315" i="14"/>
  <c r="C471" i="8"/>
  <c r="D471" i="8" s="1"/>
  <c r="F471" i="8"/>
  <c r="D329" i="9" l="1"/>
  <c r="J329" i="9" s="1"/>
  <c r="F314" i="14"/>
  <c r="H314" i="14" s="1"/>
  <c r="H471" i="8"/>
  <c r="E472" i="8"/>
  <c r="G472" i="8" s="1"/>
  <c r="I471" i="8"/>
  <c r="I329" i="9" l="1"/>
  <c r="N329" i="9"/>
  <c r="M329" i="9"/>
  <c r="G330" i="9"/>
  <c r="E329" i="9"/>
  <c r="F329" i="9" s="1"/>
  <c r="H329" i="9" s="1"/>
  <c r="K329" i="9"/>
  <c r="L329" i="9"/>
  <c r="O314" i="14"/>
  <c r="F472" i="8"/>
  <c r="C472" i="8"/>
  <c r="D472" i="8" s="1"/>
  <c r="P329" i="9" l="1"/>
  <c r="O329" i="9"/>
  <c r="E315" i="14"/>
  <c r="I315" i="14"/>
  <c r="J315" i="14"/>
  <c r="G316" i="14"/>
  <c r="H472" i="8"/>
  <c r="E473" i="8"/>
  <c r="G473" i="8" s="1"/>
  <c r="I472" i="8"/>
  <c r="D330" i="9" l="1"/>
  <c r="J330" i="9" s="1"/>
  <c r="F315" i="14"/>
  <c r="H315" i="14" s="1"/>
  <c r="F473" i="8"/>
  <c r="C473" i="8"/>
  <c r="D473" i="8" s="1"/>
  <c r="I330" i="9" l="1"/>
  <c r="N330" i="9"/>
  <c r="M330" i="9"/>
  <c r="E330" i="9"/>
  <c r="F330" i="9" s="1"/>
  <c r="H330" i="9" s="1"/>
  <c r="L330" i="9"/>
  <c r="G331" i="9"/>
  <c r="K330" i="9"/>
  <c r="O315" i="14"/>
  <c r="E474" i="8"/>
  <c r="G474" i="8" s="1"/>
  <c r="I473" i="8"/>
  <c r="H473" i="8"/>
  <c r="P330" i="9" l="1"/>
  <c r="O330" i="9"/>
  <c r="E316" i="14"/>
  <c r="I316" i="14"/>
  <c r="J316" i="14"/>
  <c r="G317" i="14"/>
  <c r="F474" i="8"/>
  <c r="C474" i="8"/>
  <c r="D474" i="8" s="1"/>
  <c r="D331" i="9" l="1"/>
  <c r="J331" i="9" s="1"/>
  <c r="F316" i="14"/>
  <c r="H316" i="14" s="1"/>
  <c r="E475" i="8"/>
  <c r="G475" i="8" s="1"/>
  <c r="I474" i="8"/>
  <c r="H474" i="8"/>
  <c r="I331" i="9" l="1"/>
  <c r="N331" i="9"/>
  <c r="M331" i="9"/>
  <c r="G332" i="9"/>
  <c r="L331" i="9"/>
  <c r="E331" i="9"/>
  <c r="F331" i="9" s="1"/>
  <c r="H331" i="9" s="1"/>
  <c r="O316" i="14"/>
  <c r="F475" i="8"/>
  <c r="C475" i="8"/>
  <c r="D475" i="8" s="1"/>
  <c r="O331" i="9" l="1"/>
  <c r="K331" i="9"/>
  <c r="P331" i="9" s="1"/>
  <c r="E317" i="14"/>
  <c r="I317" i="14"/>
  <c r="J317" i="14"/>
  <c r="G318" i="14"/>
  <c r="E476" i="8"/>
  <c r="G476" i="8" s="1"/>
  <c r="I475" i="8"/>
  <c r="H475" i="8"/>
  <c r="D332" i="9" l="1"/>
  <c r="J332" i="9" s="1"/>
  <c r="F317" i="14"/>
  <c r="H317" i="14" s="1"/>
  <c r="C476" i="8"/>
  <c r="D476" i="8" s="1"/>
  <c r="F476" i="8"/>
  <c r="I332" i="9" l="1"/>
  <c r="N332" i="9"/>
  <c r="M332" i="9"/>
  <c r="G333" i="9"/>
  <c r="E332" i="9"/>
  <c r="F332" i="9" s="1"/>
  <c r="H332" i="9" s="1"/>
  <c r="L332" i="9"/>
  <c r="O317" i="14"/>
  <c r="H476" i="8"/>
  <c r="E477" i="8"/>
  <c r="G477" i="8" s="1"/>
  <c r="I476" i="8"/>
  <c r="K332" i="9" l="1"/>
  <c r="P332" i="9" s="1"/>
  <c r="O332" i="9"/>
  <c r="E318" i="14"/>
  <c r="I318" i="14"/>
  <c r="J318" i="14"/>
  <c r="G319" i="14"/>
  <c r="F477" i="8"/>
  <c r="C477" i="8"/>
  <c r="D477" i="8" s="1"/>
  <c r="D333" i="9" l="1"/>
  <c r="J333" i="9" s="1"/>
  <c r="F318" i="14"/>
  <c r="H318" i="14" s="1"/>
  <c r="H477" i="8"/>
  <c r="E478" i="8"/>
  <c r="G478" i="8" s="1"/>
  <c r="I477" i="8"/>
  <c r="I333" i="9" l="1"/>
  <c r="N333" i="9"/>
  <c r="M333" i="9"/>
  <c r="G334" i="9"/>
  <c r="K333" i="9"/>
  <c r="E333" i="9"/>
  <c r="F333" i="9" s="1"/>
  <c r="H333" i="9" s="1"/>
  <c r="L333" i="9"/>
  <c r="O318" i="14"/>
  <c r="C478" i="8"/>
  <c r="D478" i="8" s="1"/>
  <c r="F478" i="8"/>
  <c r="P333" i="9" l="1"/>
  <c r="O333" i="9"/>
  <c r="E319" i="14"/>
  <c r="I319" i="14"/>
  <c r="J319" i="14"/>
  <c r="G320" i="14"/>
  <c r="H478" i="8"/>
  <c r="E479" i="8"/>
  <c r="G479" i="8" s="1"/>
  <c r="I478" i="8"/>
  <c r="D334" i="9" l="1"/>
  <c r="J334" i="9" s="1"/>
  <c r="F319" i="14"/>
  <c r="H319" i="14" s="1"/>
  <c r="C479" i="8"/>
  <c r="D479" i="8" s="1"/>
  <c r="F479" i="8"/>
  <c r="I334" i="9" l="1"/>
  <c r="N334" i="9"/>
  <c r="M334" i="9"/>
  <c r="L334" i="9"/>
  <c r="E334" i="9"/>
  <c r="F334" i="9" s="1"/>
  <c r="H334" i="9" s="1"/>
  <c r="G335" i="9"/>
  <c r="O319" i="14"/>
  <c r="H479" i="8"/>
  <c r="E480" i="8"/>
  <c r="G480" i="8" s="1"/>
  <c r="I479" i="8"/>
  <c r="O334" i="9" l="1"/>
  <c r="K334" i="9"/>
  <c r="P334" i="9" s="1"/>
  <c r="E320" i="14"/>
  <c r="I320" i="14"/>
  <c r="J320" i="14"/>
  <c r="G321" i="14"/>
  <c r="C480" i="8"/>
  <c r="D480" i="8" s="1"/>
  <c r="F480" i="8"/>
  <c r="D335" i="9" l="1"/>
  <c r="J335" i="9" s="1"/>
  <c r="F320" i="14"/>
  <c r="H320" i="14" s="1"/>
  <c r="H480" i="8"/>
  <c r="E481" i="8"/>
  <c r="G481" i="8" s="1"/>
  <c r="I480" i="8"/>
  <c r="I335" i="9" l="1"/>
  <c r="N335" i="9"/>
  <c r="M335" i="9"/>
  <c r="L335" i="9"/>
  <c r="G336" i="9"/>
  <c r="E335" i="9"/>
  <c r="F335" i="9" s="1"/>
  <c r="H335" i="9" s="1"/>
  <c r="O320" i="14"/>
  <c r="F481" i="8"/>
  <c r="C481" i="8"/>
  <c r="D481" i="8" s="1"/>
  <c r="O335" i="9" l="1"/>
  <c r="K335" i="9"/>
  <c r="P335" i="9" s="1"/>
  <c r="E321" i="14"/>
  <c r="I321" i="14"/>
  <c r="J321" i="14"/>
  <c r="G322" i="14"/>
  <c r="H481" i="8"/>
  <c r="E482" i="8"/>
  <c r="G482" i="8" s="1"/>
  <c r="I481" i="8"/>
  <c r="D336" i="9" l="1"/>
  <c r="J336" i="9" s="1"/>
  <c r="F321" i="14"/>
  <c r="H321" i="14" s="1"/>
  <c r="C482" i="8"/>
  <c r="D482" i="8" s="1"/>
  <c r="F482" i="8"/>
  <c r="I336" i="9" l="1"/>
  <c r="N336" i="9"/>
  <c r="M336" i="9"/>
  <c r="G337" i="9"/>
  <c r="E336" i="9"/>
  <c r="F336" i="9" s="1"/>
  <c r="H336" i="9" s="1"/>
  <c r="K336" i="9"/>
  <c r="L336" i="9"/>
  <c r="O321" i="14"/>
  <c r="H482" i="8"/>
  <c r="E483" i="8"/>
  <c r="G483" i="8" s="1"/>
  <c r="I482" i="8"/>
  <c r="P336" i="9" l="1"/>
  <c r="O336" i="9"/>
  <c r="E322" i="14"/>
  <c r="I322" i="14"/>
  <c r="J322" i="14"/>
  <c r="G323" i="14"/>
  <c r="C483" i="8"/>
  <c r="D483" i="8" s="1"/>
  <c r="F483" i="8"/>
  <c r="D337" i="9" l="1"/>
  <c r="J337" i="9" s="1"/>
  <c r="F322" i="14"/>
  <c r="H322" i="14" s="1"/>
  <c r="H483" i="8"/>
  <c r="E484" i="8"/>
  <c r="G484" i="8" s="1"/>
  <c r="I483" i="8"/>
  <c r="I337" i="9" l="1"/>
  <c r="N337" i="9"/>
  <c r="M337" i="9"/>
  <c r="E337" i="9"/>
  <c r="F337" i="9" s="1"/>
  <c r="H337" i="9" s="1"/>
  <c r="G338" i="9"/>
  <c r="L337" i="9"/>
  <c r="O322" i="14"/>
  <c r="C484" i="8"/>
  <c r="D484" i="8" s="1"/>
  <c r="F484" i="8"/>
  <c r="O337" i="9" l="1"/>
  <c r="K337" i="9"/>
  <c r="P337" i="9" s="1"/>
  <c r="E323" i="14"/>
  <c r="I323" i="14"/>
  <c r="J323" i="14"/>
  <c r="G324" i="14"/>
  <c r="H484" i="8"/>
  <c r="E485" i="8"/>
  <c r="G485" i="8" s="1"/>
  <c r="I484" i="8"/>
  <c r="D338" i="9" l="1"/>
  <c r="J338" i="9" s="1"/>
  <c r="F323" i="14"/>
  <c r="H323" i="14" s="1"/>
  <c r="F485" i="8"/>
  <c r="C485" i="8"/>
  <c r="D485" i="8" s="1"/>
  <c r="I338" i="9" l="1"/>
  <c r="N338" i="9"/>
  <c r="M338" i="9"/>
  <c r="G339" i="9"/>
  <c r="L338" i="9"/>
  <c r="E338" i="9"/>
  <c r="F338" i="9" s="1"/>
  <c r="H338" i="9" s="1"/>
  <c r="O323" i="14"/>
  <c r="H485" i="8"/>
  <c r="E486" i="8"/>
  <c r="G486" i="8" s="1"/>
  <c r="I485" i="8"/>
  <c r="K338" i="9" l="1"/>
  <c r="P338" i="9" s="1"/>
  <c r="O338" i="9"/>
  <c r="E324" i="14"/>
  <c r="I324" i="14"/>
  <c r="J324" i="14"/>
  <c r="G325" i="14"/>
  <c r="C486" i="8"/>
  <c r="D486" i="8" s="1"/>
  <c r="F486" i="8"/>
  <c r="D339" i="9" l="1"/>
  <c r="J339" i="9" s="1"/>
  <c r="F324" i="14"/>
  <c r="H324" i="14" s="1"/>
  <c r="H486" i="8"/>
  <c r="E487" i="8"/>
  <c r="G487" i="8" s="1"/>
  <c r="I486" i="8"/>
  <c r="I339" i="9" l="1"/>
  <c r="N339" i="9"/>
  <c r="M339" i="9"/>
  <c r="E339" i="9"/>
  <c r="F339" i="9" s="1"/>
  <c r="H339" i="9" s="1"/>
  <c r="G340" i="9"/>
  <c r="K339" i="9"/>
  <c r="L339" i="9"/>
  <c r="O324" i="14"/>
  <c r="C487" i="8"/>
  <c r="D487" i="8" s="1"/>
  <c r="F487" i="8"/>
  <c r="P339" i="9" l="1"/>
  <c r="O339" i="9"/>
  <c r="E325" i="14"/>
  <c r="I325" i="14"/>
  <c r="J325" i="14"/>
  <c r="G326" i="14"/>
  <c r="H487" i="8"/>
  <c r="E488" i="8"/>
  <c r="G488" i="8" s="1"/>
  <c r="I487" i="8"/>
  <c r="D340" i="9" l="1"/>
  <c r="J340" i="9" s="1"/>
  <c r="F325" i="14"/>
  <c r="H325" i="14" s="1"/>
  <c r="C488" i="8"/>
  <c r="D488" i="8" s="1"/>
  <c r="F488" i="8"/>
  <c r="I340" i="9" l="1"/>
  <c r="M340" i="9"/>
  <c r="N340" i="9"/>
  <c r="L340" i="9"/>
  <c r="K340" i="9"/>
  <c r="E340" i="9"/>
  <c r="F340" i="9" s="1"/>
  <c r="H340" i="9" s="1"/>
  <c r="G341" i="9"/>
  <c r="O325" i="14"/>
  <c r="H488" i="8"/>
  <c r="E489" i="8"/>
  <c r="G489" i="8" s="1"/>
  <c r="I488" i="8"/>
  <c r="P340" i="9" l="1"/>
  <c r="O340" i="9"/>
  <c r="E326" i="14"/>
  <c r="I326" i="14"/>
  <c r="J326" i="14"/>
  <c r="G327" i="14"/>
  <c r="F489" i="8"/>
  <c r="C489" i="8"/>
  <c r="D489" i="8" s="1"/>
  <c r="D341" i="9" l="1"/>
  <c r="J341" i="9" s="1"/>
  <c r="F326" i="14"/>
  <c r="H326" i="14" s="1"/>
  <c r="H489" i="8"/>
  <c r="E490" i="8"/>
  <c r="G490" i="8" s="1"/>
  <c r="I489" i="8"/>
  <c r="I341" i="9" l="1"/>
  <c r="N341" i="9"/>
  <c r="M341" i="9"/>
  <c r="L341" i="9"/>
  <c r="G342" i="9"/>
  <c r="E341" i="9"/>
  <c r="F341" i="9" s="1"/>
  <c r="H341" i="9" s="1"/>
  <c r="O326" i="14"/>
  <c r="F490" i="8"/>
  <c r="C490" i="8"/>
  <c r="D490" i="8" s="1"/>
  <c r="K341" i="9" l="1"/>
  <c r="P341" i="9" s="1"/>
  <c r="O341" i="9"/>
  <c r="E327" i="14"/>
  <c r="I327" i="14"/>
  <c r="J327" i="14"/>
  <c r="G328" i="14"/>
  <c r="E491" i="8"/>
  <c r="G491" i="8" s="1"/>
  <c r="I490" i="8"/>
  <c r="H490" i="8"/>
  <c r="D342" i="9" l="1"/>
  <c r="J342" i="9" s="1"/>
  <c r="F327" i="14"/>
  <c r="H327" i="14" s="1"/>
  <c r="F491" i="8"/>
  <c r="C491" i="8"/>
  <c r="D491" i="8" s="1"/>
  <c r="I342" i="9" l="1"/>
  <c r="N342" i="9"/>
  <c r="M342" i="9"/>
  <c r="E342" i="9"/>
  <c r="F342" i="9" s="1"/>
  <c r="H342" i="9" s="1"/>
  <c r="L342" i="9"/>
  <c r="G343" i="9"/>
  <c r="O327" i="14"/>
  <c r="E492" i="8"/>
  <c r="G492" i="8" s="1"/>
  <c r="I491" i="8"/>
  <c r="H491" i="8"/>
  <c r="K342" i="9" l="1"/>
  <c r="P342" i="9" s="1"/>
  <c r="O342" i="9"/>
  <c r="E328" i="14"/>
  <c r="I328" i="14"/>
  <c r="J328" i="14"/>
  <c r="G329" i="14"/>
  <c r="F492" i="8"/>
  <c r="C492" i="8"/>
  <c r="D492" i="8" s="1"/>
  <c r="D343" i="9" l="1"/>
  <c r="J343" i="9" s="1"/>
  <c r="F328" i="14"/>
  <c r="H328" i="14" s="1"/>
  <c r="E493" i="8"/>
  <c r="G493" i="8" s="1"/>
  <c r="I492" i="8"/>
  <c r="H492" i="8"/>
  <c r="I343" i="9" l="1"/>
  <c r="N343" i="9"/>
  <c r="M343" i="9"/>
  <c r="L343" i="9"/>
  <c r="E343" i="9"/>
  <c r="F343" i="9" s="1"/>
  <c r="H343" i="9" s="1"/>
  <c r="G344" i="9"/>
  <c r="O328" i="14"/>
  <c r="F493" i="8"/>
  <c r="C493" i="8"/>
  <c r="D493" i="8" s="1"/>
  <c r="O343" i="9" l="1"/>
  <c r="K343" i="9"/>
  <c r="P343" i="9" s="1"/>
  <c r="E329" i="14"/>
  <c r="I329" i="14"/>
  <c r="J329" i="14"/>
  <c r="G330" i="14"/>
  <c r="H493" i="8"/>
  <c r="E494" i="8"/>
  <c r="G494" i="8" s="1"/>
  <c r="I493" i="8"/>
  <c r="D344" i="9" l="1"/>
  <c r="J344" i="9" s="1"/>
  <c r="F329" i="14"/>
  <c r="H329" i="14" s="1"/>
  <c r="C494" i="8"/>
  <c r="D494" i="8" s="1"/>
  <c r="F494" i="8"/>
  <c r="I344" i="9" l="1"/>
  <c r="M344" i="9"/>
  <c r="N344" i="9"/>
  <c r="E344" i="9"/>
  <c r="F344" i="9" s="1"/>
  <c r="H344" i="9" s="1"/>
  <c r="G345" i="9"/>
  <c r="L344" i="9"/>
  <c r="O329" i="14"/>
  <c r="H494" i="8"/>
  <c r="E495" i="8"/>
  <c r="G495" i="8" s="1"/>
  <c r="I494" i="8"/>
  <c r="K344" i="9" l="1"/>
  <c r="P344" i="9" s="1"/>
  <c r="O344" i="9"/>
  <c r="E330" i="14"/>
  <c r="I330" i="14"/>
  <c r="J330" i="14"/>
  <c r="G331" i="14"/>
  <c r="C495" i="8"/>
  <c r="D495" i="8" s="1"/>
  <c r="F495" i="8"/>
  <c r="D345" i="9" l="1"/>
  <c r="J345" i="9" s="1"/>
  <c r="F330" i="14"/>
  <c r="H330" i="14" s="1"/>
  <c r="H495" i="8"/>
  <c r="E496" i="8"/>
  <c r="G496" i="8" s="1"/>
  <c r="I495" i="8"/>
  <c r="I345" i="9" l="1"/>
  <c r="N345" i="9"/>
  <c r="M345" i="9"/>
  <c r="E345" i="9"/>
  <c r="F345" i="9" s="1"/>
  <c r="H345" i="9" s="1"/>
  <c r="L345" i="9"/>
  <c r="G346" i="9"/>
  <c r="O330" i="14"/>
  <c r="F496" i="8"/>
  <c r="C496" i="8"/>
  <c r="D496" i="8" s="1"/>
  <c r="O345" i="9" l="1"/>
  <c r="K345" i="9"/>
  <c r="P345" i="9" s="1"/>
  <c r="E331" i="14"/>
  <c r="I331" i="14"/>
  <c r="J331" i="14"/>
  <c r="G332" i="14"/>
  <c r="H496" i="8"/>
  <c r="E497" i="8"/>
  <c r="G497" i="8" s="1"/>
  <c r="I496" i="8"/>
  <c r="D346" i="9" l="1"/>
  <c r="J346" i="9" s="1"/>
  <c r="F331" i="14"/>
  <c r="H331" i="14" s="1"/>
  <c r="F497" i="8"/>
  <c r="C497" i="8"/>
  <c r="D497" i="8" s="1"/>
  <c r="I346" i="9" l="1"/>
  <c r="N346" i="9"/>
  <c r="M346" i="9"/>
  <c r="L346" i="9"/>
  <c r="K346" i="9"/>
  <c r="E346" i="9"/>
  <c r="F346" i="9" s="1"/>
  <c r="H346" i="9" s="1"/>
  <c r="G347" i="9"/>
  <c r="O331" i="14"/>
  <c r="H497" i="8"/>
  <c r="E498" i="8"/>
  <c r="G498" i="8" s="1"/>
  <c r="I497" i="8"/>
  <c r="P346" i="9" l="1"/>
  <c r="O346" i="9"/>
  <c r="E332" i="14"/>
  <c r="I332" i="14"/>
  <c r="J332" i="14"/>
  <c r="G333" i="14"/>
  <c r="C498" i="8"/>
  <c r="D498" i="8" s="1"/>
  <c r="F498" i="8"/>
  <c r="D347" i="9" l="1"/>
  <c r="J347" i="9" s="1"/>
  <c r="F332" i="14"/>
  <c r="H332" i="14" s="1"/>
  <c r="H498" i="8"/>
  <c r="E499" i="8"/>
  <c r="G499" i="8" s="1"/>
  <c r="I498" i="8"/>
  <c r="I347" i="9" l="1"/>
  <c r="N347" i="9"/>
  <c r="M347" i="9"/>
  <c r="K347" i="9"/>
  <c r="E347" i="9"/>
  <c r="F347" i="9" s="1"/>
  <c r="H347" i="9" s="1"/>
  <c r="G348" i="9"/>
  <c r="L347" i="9"/>
  <c r="O332" i="14"/>
  <c r="C499" i="8"/>
  <c r="D499" i="8" s="1"/>
  <c r="F499" i="8"/>
  <c r="P347" i="9" l="1"/>
  <c r="O347" i="9"/>
  <c r="E333" i="14"/>
  <c r="I333" i="14"/>
  <c r="J333" i="14"/>
  <c r="G334" i="14"/>
  <c r="H499" i="8"/>
  <c r="E500" i="8"/>
  <c r="G500" i="8" s="1"/>
  <c r="I499" i="8"/>
  <c r="D348" i="9" l="1"/>
  <c r="J348" i="9" s="1"/>
  <c r="F333" i="14"/>
  <c r="H333" i="14" s="1"/>
  <c r="C500" i="8"/>
  <c r="D500" i="8" s="1"/>
  <c r="F500" i="8"/>
  <c r="I348" i="9" l="1"/>
  <c r="N348" i="9"/>
  <c r="M348" i="9"/>
  <c r="E348" i="9"/>
  <c r="F348" i="9" s="1"/>
  <c r="H348" i="9" s="1"/>
  <c r="L348" i="9"/>
  <c r="G349" i="9"/>
  <c r="K348" i="9"/>
  <c r="O333" i="14"/>
  <c r="H500" i="8"/>
  <c r="E501" i="8"/>
  <c r="G501" i="8" s="1"/>
  <c r="I500" i="8"/>
  <c r="P348" i="9" l="1"/>
  <c r="O348" i="9"/>
  <c r="E334" i="14"/>
  <c r="I334" i="14"/>
  <c r="J334" i="14"/>
  <c r="G335" i="14"/>
  <c r="C501" i="8"/>
  <c r="D501" i="8" s="1"/>
  <c r="F501" i="8"/>
  <c r="D349" i="9" l="1"/>
  <c r="J349" i="9" s="1"/>
  <c r="F334" i="14"/>
  <c r="H334" i="14" s="1"/>
  <c r="H501" i="8"/>
  <c r="E502" i="8"/>
  <c r="G502" i="8" s="1"/>
  <c r="I501" i="8"/>
  <c r="I349" i="9" l="1"/>
  <c r="N349" i="9"/>
  <c r="M349" i="9"/>
  <c r="G350" i="9"/>
  <c r="E349" i="9"/>
  <c r="F349" i="9" s="1"/>
  <c r="H349" i="9" s="1"/>
  <c r="L349" i="9"/>
  <c r="O334" i="14"/>
  <c r="F502" i="8"/>
  <c r="C502" i="8"/>
  <c r="D502" i="8" s="1"/>
  <c r="K349" i="9" l="1"/>
  <c r="P349" i="9" s="1"/>
  <c r="O349" i="9"/>
  <c r="E335" i="14"/>
  <c r="I335" i="14"/>
  <c r="J335" i="14"/>
  <c r="G336" i="14"/>
  <c r="E503" i="8"/>
  <c r="G503" i="8" s="1"/>
  <c r="I502" i="8"/>
  <c r="H502" i="8"/>
  <c r="D350" i="9" l="1"/>
  <c r="J350" i="9" s="1"/>
  <c r="F335" i="14"/>
  <c r="H335" i="14" s="1"/>
  <c r="C503" i="8"/>
  <c r="D503" i="8" s="1"/>
  <c r="F503" i="8"/>
  <c r="I350" i="9" l="1"/>
  <c r="N350" i="9"/>
  <c r="M350" i="9"/>
  <c r="G351" i="9"/>
  <c r="E350" i="9"/>
  <c r="F350" i="9" s="1"/>
  <c r="H350" i="9" s="1"/>
  <c r="L350" i="9"/>
  <c r="K350" i="9"/>
  <c r="O335" i="14"/>
  <c r="H503" i="8"/>
  <c r="E504" i="8"/>
  <c r="G504" i="8" s="1"/>
  <c r="I503" i="8"/>
  <c r="P350" i="9" l="1"/>
  <c r="O350" i="9"/>
  <c r="E336" i="14"/>
  <c r="I336" i="14"/>
  <c r="J336" i="14"/>
  <c r="G337" i="14"/>
  <c r="C504" i="8"/>
  <c r="D504" i="8" s="1"/>
  <c r="F504" i="8"/>
  <c r="D351" i="9" l="1"/>
  <c r="J351" i="9" s="1"/>
  <c r="F336" i="14"/>
  <c r="H336" i="14" s="1"/>
  <c r="H504" i="8"/>
  <c r="I504" i="8"/>
  <c r="E505" i="8"/>
  <c r="G505" i="8" s="1"/>
  <c r="I351" i="9" l="1"/>
  <c r="N351" i="9"/>
  <c r="M351" i="9"/>
  <c r="G352" i="9"/>
  <c r="E351" i="9"/>
  <c r="F351" i="9" s="1"/>
  <c r="H351" i="9" s="1"/>
  <c r="L351" i="9"/>
  <c r="O336" i="14"/>
  <c r="F505" i="8"/>
  <c r="C505" i="8"/>
  <c r="D505" i="8" s="1"/>
  <c r="I505" i="8" s="1"/>
  <c r="K351" i="9" l="1"/>
  <c r="P351" i="9" s="1"/>
  <c r="O351" i="9"/>
  <c r="E337" i="14"/>
  <c r="I337" i="14"/>
  <c r="J337" i="14"/>
  <c r="G338" i="14"/>
  <c r="H505" i="8"/>
  <c r="D352" i="9" l="1"/>
  <c r="J352" i="9" s="1"/>
  <c r="F337" i="14"/>
  <c r="H337" i="14" s="1"/>
  <c r="I352" i="9" l="1"/>
  <c r="N352" i="9"/>
  <c r="M352" i="9"/>
  <c r="E352" i="9"/>
  <c r="F352" i="9" s="1"/>
  <c r="H352" i="9" s="1"/>
  <c r="G353" i="9"/>
  <c r="K352" i="9"/>
  <c r="L352" i="9"/>
  <c r="O337" i="14"/>
  <c r="P352" i="9" l="1"/>
  <c r="O352" i="9"/>
  <c r="E338" i="14"/>
  <c r="I338" i="14"/>
  <c r="J338" i="14"/>
  <c r="G339" i="14"/>
  <c r="D353" i="9" l="1"/>
  <c r="J353" i="9" s="1"/>
  <c r="F338" i="14"/>
  <c r="H338" i="14" s="1"/>
  <c r="I353" i="9" l="1"/>
  <c r="N353" i="9"/>
  <c r="M353" i="9"/>
  <c r="E353" i="9"/>
  <c r="F353" i="9" s="1"/>
  <c r="H353" i="9" s="1"/>
  <c r="L353" i="9"/>
  <c r="K353" i="9"/>
  <c r="G354" i="9"/>
  <c r="O338" i="14"/>
  <c r="P353" i="9" l="1"/>
  <c r="O353" i="9"/>
  <c r="E339" i="14"/>
  <c r="I339" i="14"/>
  <c r="J339" i="14"/>
  <c r="G340" i="14"/>
  <c r="D354" i="9" l="1"/>
  <c r="J354" i="9" s="1"/>
  <c r="F339" i="14"/>
  <c r="H339" i="14" s="1"/>
  <c r="I354" i="9" l="1"/>
  <c r="N354" i="9"/>
  <c r="M354" i="9"/>
  <c r="E354" i="9"/>
  <c r="F354" i="9" s="1"/>
  <c r="H354" i="9" s="1"/>
  <c r="G355" i="9"/>
  <c r="L354" i="9"/>
  <c r="K354" i="9"/>
  <c r="O339" i="14"/>
  <c r="P354" i="9" l="1"/>
  <c r="O354" i="9"/>
  <c r="E340" i="14"/>
  <c r="I340" i="14"/>
  <c r="J340" i="14"/>
  <c r="G341" i="14"/>
  <c r="D355" i="9" l="1"/>
  <c r="J355" i="9" s="1"/>
  <c r="F340" i="14"/>
  <c r="H340" i="14" s="1"/>
  <c r="I355" i="9" l="1"/>
  <c r="N355" i="9"/>
  <c r="M355" i="9"/>
  <c r="L355" i="9"/>
  <c r="E355" i="9"/>
  <c r="F355" i="9" s="1"/>
  <c r="H355" i="9" s="1"/>
  <c r="G356" i="9"/>
  <c r="O340" i="14"/>
  <c r="K355" i="9" l="1"/>
  <c r="P355" i="9" s="1"/>
  <c r="O355" i="9"/>
  <c r="E341" i="14"/>
  <c r="I341" i="14"/>
  <c r="J341" i="14"/>
  <c r="G342" i="14"/>
  <c r="D356" i="9" l="1"/>
  <c r="J356" i="9" s="1"/>
  <c r="F341" i="14"/>
  <c r="H341" i="14" s="1"/>
  <c r="I356" i="9" l="1"/>
  <c r="M356" i="9"/>
  <c r="N356" i="9"/>
  <c r="E356" i="9"/>
  <c r="F356" i="9" s="1"/>
  <c r="H356" i="9" s="1"/>
  <c r="L356" i="9"/>
  <c r="G357" i="9"/>
  <c r="O341" i="14"/>
  <c r="O356" i="9" l="1"/>
  <c r="K356" i="9"/>
  <c r="P356" i="9" s="1"/>
  <c r="E342" i="14"/>
  <c r="I342" i="14"/>
  <c r="J342" i="14"/>
  <c r="G343" i="14"/>
  <c r="D357" i="9" l="1"/>
  <c r="J357" i="9" s="1"/>
  <c r="F342" i="14"/>
  <c r="H342" i="14" s="1"/>
  <c r="I357" i="9" l="1"/>
  <c r="N357" i="9"/>
  <c r="M357" i="9"/>
  <c r="E357" i="9"/>
  <c r="F357" i="9" s="1"/>
  <c r="H357" i="9" s="1"/>
  <c r="L357" i="9"/>
  <c r="G358" i="9"/>
  <c r="O342" i="14"/>
  <c r="K357" i="9" l="1"/>
  <c r="P357" i="9" s="1"/>
  <c r="O357" i="9"/>
  <c r="E343" i="14"/>
  <c r="I343" i="14"/>
  <c r="J343" i="14"/>
  <c r="G344" i="14"/>
  <c r="D358" i="9" l="1"/>
  <c r="J358" i="9" s="1"/>
  <c r="F343" i="14"/>
  <c r="H343" i="14" s="1"/>
  <c r="I358" i="9" l="1"/>
  <c r="N358" i="9"/>
  <c r="M358" i="9"/>
  <c r="G359" i="9"/>
  <c r="L358" i="9"/>
  <c r="E358" i="9"/>
  <c r="F358" i="9" s="1"/>
  <c r="H358" i="9" s="1"/>
  <c r="O343" i="14"/>
  <c r="O358" i="9" l="1"/>
  <c r="K358" i="9"/>
  <c r="P358" i="9" s="1"/>
  <c r="E344" i="14"/>
  <c r="I344" i="14"/>
  <c r="J344" i="14"/>
  <c r="G345" i="14"/>
  <c r="D359" i="9" l="1"/>
  <c r="J359" i="9" s="1"/>
  <c r="F344" i="14"/>
  <c r="H344" i="14" s="1"/>
  <c r="I359" i="9" l="1"/>
  <c r="N359" i="9"/>
  <c r="M359" i="9"/>
  <c r="E359" i="9"/>
  <c r="F359" i="9" s="1"/>
  <c r="H359" i="9" s="1"/>
  <c r="G360" i="9"/>
  <c r="L359" i="9"/>
  <c r="O344" i="14"/>
  <c r="O359" i="9" l="1"/>
  <c r="K359" i="9"/>
  <c r="P359" i="9" s="1"/>
  <c r="E345" i="14"/>
  <c r="I345" i="14"/>
  <c r="J345" i="14"/>
  <c r="G346" i="14"/>
  <c r="D360" i="9" l="1"/>
  <c r="J360" i="9" s="1"/>
  <c r="F345" i="14"/>
  <c r="H345" i="14" s="1"/>
  <c r="I360" i="9" l="1"/>
  <c r="M360" i="9"/>
  <c r="N360" i="9"/>
  <c r="E360" i="9"/>
  <c r="F360" i="9" s="1"/>
  <c r="H360" i="9" s="1"/>
  <c r="G361" i="9"/>
  <c r="L360" i="9"/>
  <c r="O345" i="14"/>
  <c r="O360" i="9" l="1"/>
  <c r="K360" i="9"/>
  <c r="P360" i="9" s="1"/>
  <c r="E346" i="14"/>
  <c r="I346" i="14"/>
  <c r="J346" i="14"/>
  <c r="G347" i="14"/>
  <c r="D361" i="9" l="1"/>
  <c r="J361" i="9" s="1"/>
  <c r="F346" i="14"/>
  <c r="H346" i="14" s="1"/>
  <c r="I361" i="9" l="1"/>
  <c r="N361" i="9"/>
  <c r="M361" i="9"/>
  <c r="G362" i="9"/>
  <c r="E361" i="9"/>
  <c r="F361" i="9" s="1"/>
  <c r="H361" i="9" s="1"/>
  <c r="L361" i="9"/>
  <c r="K361" i="9"/>
  <c r="O346" i="14"/>
  <c r="P361" i="9" l="1"/>
  <c r="O361" i="9"/>
  <c r="E347" i="14"/>
  <c r="I347" i="14"/>
  <c r="J347" i="14"/>
  <c r="G348" i="14"/>
  <c r="D362" i="9" l="1"/>
  <c r="J362" i="9" s="1"/>
  <c r="F347" i="14"/>
  <c r="H347" i="14" s="1"/>
  <c r="I362" i="9" l="1"/>
  <c r="N362" i="9"/>
  <c r="M362" i="9"/>
  <c r="G363" i="9"/>
  <c r="L362" i="9"/>
  <c r="E362" i="9"/>
  <c r="F362" i="9" s="1"/>
  <c r="H362" i="9" s="1"/>
  <c r="O347" i="14"/>
  <c r="O362" i="9" l="1"/>
  <c r="K362" i="9"/>
  <c r="P362" i="9" s="1"/>
  <c r="E348" i="14"/>
  <c r="I348" i="14"/>
  <c r="J348" i="14"/>
  <c r="G349" i="14"/>
  <c r="D363" i="9" l="1"/>
  <c r="J363" i="9" s="1"/>
  <c r="F348" i="14"/>
  <c r="H348" i="14" s="1"/>
  <c r="I363" i="9" l="1"/>
  <c r="N363" i="9"/>
  <c r="M363" i="9"/>
  <c r="E363" i="9"/>
  <c r="F363" i="9" s="1"/>
  <c r="H363" i="9" s="1"/>
  <c r="K363" i="9"/>
  <c r="G364" i="9"/>
  <c r="L363" i="9"/>
  <c r="O348" i="14"/>
  <c r="P363" i="9" l="1"/>
  <c r="O363" i="9"/>
  <c r="E349" i="14"/>
  <c r="I349" i="14"/>
  <c r="J349" i="14"/>
  <c r="G350" i="14"/>
  <c r="D364" i="9" l="1"/>
  <c r="J364" i="9" s="1"/>
  <c r="F349" i="14"/>
  <c r="H349" i="14" s="1"/>
  <c r="I364" i="9" l="1"/>
  <c r="N364" i="9"/>
  <c r="M364" i="9"/>
  <c r="G365" i="9"/>
  <c r="E364" i="9"/>
  <c r="F364" i="9" s="1"/>
  <c r="H364" i="9" s="1"/>
  <c r="L364" i="9"/>
  <c r="O349" i="14"/>
  <c r="K364" i="9" l="1"/>
  <c r="P364" i="9" s="1"/>
  <c r="O364" i="9"/>
  <c r="E350" i="14"/>
  <c r="I350" i="14"/>
  <c r="J350" i="14"/>
  <c r="G351" i="14"/>
  <c r="D365" i="9" l="1"/>
  <c r="J365" i="9" s="1"/>
  <c r="F350" i="14"/>
  <c r="H350" i="14" s="1"/>
  <c r="I365" i="9" l="1"/>
  <c r="N365" i="9"/>
  <c r="M365" i="9"/>
  <c r="G366" i="9"/>
  <c r="E365" i="9"/>
  <c r="F365" i="9" s="1"/>
  <c r="H365" i="9" s="1"/>
  <c r="L365" i="9"/>
  <c r="O350" i="14"/>
  <c r="O365" i="9" l="1"/>
  <c r="K365" i="9"/>
  <c r="P365" i="9" s="1"/>
  <c r="E351" i="14"/>
  <c r="I351" i="14"/>
  <c r="J351" i="14"/>
  <c r="G352" i="14"/>
  <c r="D366" i="9" l="1"/>
  <c r="J366" i="9" s="1"/>
  <c r="F351" i="14"/>
  <c r="H351" i="14" s="1"/>
  <c r="I366" i="9" l="1"/>
  <c r="N366" i="9"/>
  <c r="M366" i="9"/>
  <c r="G367" i="9"/>
  <c r="K366" i="9"/>
  <c r="E366" i="9"/>
  <c r="F366" i="9" s="1"/>
  <c r="H366" i="9" s="1"/>
  <c r="L366" i="9"/>
  <c r="O351" i="14"/>
  <c r="P366" i="9" l="1"/>
  <c r="O366" i="9"/>
  <c r="E352" i="14"/>
  <c r="I352" i="14"/>
  <c r="J352" i="14"/>
  <c r="G353" i="14"/>
  <c r="D367" i="9" l="1"/>
  <c r="J367" i="9" s="1"/>
  <c r="F352" i="14"/>
  <c r="H352" i="14" s="1"/>
  <c r="I367" i="9" l="1"/>
  <c r="N367" i="9"/>
  <c r="M367" i="9"/>
  <c r="L367" i="9"/>
  <c r="E367" i="9"/>
  <c r="F367" i="9" s="1"/>
  <c r="H367" i="9" s="1"/>
  <c r="K367" i="9"/>
  <c r="G368" i="9"/>
  <c r="O352" i="14"/>
  <c r="P367" i="9" l="1"/>
  <c r="O367" i="9"/>
  <c r="E353" i="14"/>
  <c r="I353" i="14"/>
  <c r="J353" i="14"/>
  <c r="G354" i="14"/>
  <c r="D368" i="9" l="1"/>
  <c r="J368" i="9" s="1"/>
  <c r="F353" i="14"/>
  <c r="H353" i="14" s="1"/>
  <c r="I368" i="9" l="1"/>
  <c r="N368" i="9"/>
  <c r="M368" i="9"/>
  <c r="E368" i="9"/>
  <c r="F368" i="9" s="1"/>
  <c r="H368" i="9" s="1"/>
  <c r="K368" i="9"/>
  <c r="L368" i="9"/>
  <c r="G369" i="9"/>
  <c r="O353" i="14"/>
  <c r="P368" i="9" l="1"/>
  <c r="O368" i="9"/>
  <c r="E354" i="14"/>
  <c r="I354" i="14"/>
  <c r="J354" i="14"/>
  <c r="G355" i="14"/>
  <c r="D369" i="9" l="1"/>
  <c r="J369" i="9" s="1"/>
  <c r="F354" i="14"/>
  <c r="H354" i="14" s="1"/>
  <c r="I369" i="9" l="1"/>
  <c r="N369" i="9"/>
  <c r="M369" i="9"/>
  <c r="L369" i="9"/>
  <c r="E369" i="9"/>
  <c r="F369" i="9" s="1"/>
  <c r="H369" i="9" s="1"/>
  <c r="K369" i="9"/>
  <c r="G370" i="9"/>
  <c r="O354" i="14"/>
  <c r="P369" i="9" l="1"/>
  <c r="O369" i="9"/>
  <c r="E355" i="14"/>
  <c r="I355" i="14"/>
  <c r="J355" i="14"/>
  <c r="G356" i="14"/>
  <c r="D370" i="9" l="1"/>
  <c r="J370" i="9" s="1"/>
  <c r="F355" i="14"/>
  <c r="H355" i="14" s="1"/>
  <c r="I370" i="9" l="1"/>
  <c r="N370" i="9"/>
  <c r="M370" i="9"/>
  <c r="G371" i="9"/>
  <c r="L370" i="9"/>
  <c r="E370" i="9"/>
  <c r="F370" i="9" s="1"/>
  <c r="H370" i="9" s="1"/>
  <c r="O355" i="14"/>
  <c r="K370" i="9" l="1"/>
  <c r="P370" i="9" s="1"/>
  <c r="O370" i="9"/>
  <c r="E356" i="14"/>
  <c r="I356" i="14"/>
  <c r="J356" i="14"/>
  <c r="G357" i="14"/>
  <c r="D371" i="9" l="1"/>
  <c r="J371" i="9" s="1"/>
  <c r="F356" i="14"/>
  <c r="H356" i="14" s="1"/>
  <c r="I371" i="9" l="1"/>
  <c r="N371" i="9"/>
  <c r="M371" i="9"/>
  <c r="L371" i="9"/>
  <c r="E371" i="9"/>
  <c r="F371" i="9" s="1"/>
  <c r="H371" i="9" s="1"/>
  <c r="G372" i="9"/>
  <c r="K371" i="9"/>
  <c r="O356" i="14"/>
  <c r="P371" i="9" l="1"/>
  <c r="O371" i="9"/>
  <c r="E357" i="14"/>
  <c r="I357" i="14"/>
  <c r="J357" i="14"/>
  <c r="G358" i="14"/>
  <c r="D372" i="9" l="1"/>
  <c r="J372" i="9" s="1"/>
  <c r="F357" i="14"/>
  <c r="H357" i="14" s="1"/>
  <c r="I372" i="9" l="1"/>
  <c r="M372" i="9"/>
  <c r="N372" i="9"/>
  <c r="E372" i="9"/>
  <c r="F372" i="9" s="1"/>
  <c r="H372" i="9" s="1"/>
  <c r="G373" i="9"/>
  <c r="L372" i="9"/>
  <c r="O357" i="14"/>
  <c r="O372" i="9" l="1"/>
  <c r="K372" i="9"/>
  <c r="P372" i="9" s="1"/>
  <c r="E358" i="14"/>
  <c r="I358" i="14"/>
  <c r="J358" i="14"/>
  <c r="G359" i="14"/>
  <c r="D373" i="9" l="1"/>
  <c r="J373" i="9" s="1"/>
  <c r="F358" i="14"/>
  <c r="H358" i="14" s="1"/>
  <c r="I373" i="9" l="1"/>
  <c r="N373" i="9"/>
  <c r="M373" i="9"/>
  <c r="G374" i="9"/>
  <c r="E373" i="9"/>
  <c r="F373" i="9" s="1"/>
  <c r="H373" i="9" s="1"/>
  <c r="K373" i="9"/>
  <c r="L373" i="9"/>
  <c r="O358" i="14"/>
  <c r="P373" i="9" l="1"/>
  <c r="O373" i="9"/>
  <c r="E359" i="14"/>
  <c r="I359" i="14"/>
  <c r="J359" i="14"/>
  <c r="G360" i="14"/>
  <c r="D374" i="9" l="1"/>
  <c r="J374" i="9" s="1"/>
  <c r="F359" i="14"/>
  <c r="H359" i="14" s="1"/>
  <c r="I374" i="9" l="1"/>
  <c r="N374" i="9"/>
  <c r="M374" i="9"/>
  <c r="E374" i="9"/>
  <c r="F374" i="9" s="1"/>
  <c r="H374" i="9" s="1"/>
  <c r="G375" i="9"/>
  <c r="K374" i="9"/>
  <c r="L374" i="9"/>
  <c r="O359" i="14"/>
  <c r="P374" i="9" l="1"/>
  <c r="O374" i="9"/>
  <c r="E360" i="14"/>
  <c r="I360" i="14"/>
  <c r="J360" i="14"/>
  <c r="G361" i="14"/>
  <c r="D375" i="9" l="1"/>
  <c r="J375" i="9" s="1"/>
  <c r="F360" i="14"/>
  <c r="H360" i="14" s="1"/>
  <c r="I375" i="9" l="1"/>
  <c r="N375" i="9"/>
  <c r="M375" i="9"/>
  <c r="L375" i="9"/>
  <c r="G376" i="9"/>
  <c r="E375" i="9"/>
  <c r="F375" i="9" s="1"/>
  <c r="H375" i="9" s="1"/>
  <c r="K375" i="9"/>
  <c r="O360" i="14"/>
  <c r="P375" i="9" l="1"/>
  <c r="O375" i="9"/>
  <c r="E361" i="14"/>
  <c r="I361" i="14"/>
  <c r="J361" i="14"/>
  <c r="G362" i="14"/>
  <c r="D376" i="9" l="1"/>
  <c r="J376" i="9" s="1"/>
  <c r="F361" i="14"/>
  <c r="H361" i="14" s="1"/>
  <c r="I376" i="9" l="1"/>
  <c r="M376" i="9"/>
  <c r="N376" i="9"/>
  <c r="L376" i="9"/>
  <c r="K376" i="9"/>
  <c r="E376" i="9"/>
  <c r="F376" i="9" s="1"/>
  <c r="H376" i="9" s="1"/>
  <c r="G377" i="9"/>
  <c r="O361" i="14"/>
  <c r="P376" i="9" l="1"/>
  <c r="O376" i="9"/>
  <c r="E362" i="14"/>
  <c r="I362" i="14"/>
  <c r="J362" i="14"/>
  <c r="G363" i="14"/>
  <c r="D377" i="9" l="1"/>
  <c r="J377" i="9" s="1"/>
  <c r="F362" i="14"/>
  <c r="H362" i="14" s="1"/>
  <c r="I377" i="9" l="1"/>
  <c r="N377" i="9"/>
  <c r="M377" i="9"/>
  <c r="L377" i="9"/>
  <c r="G378" i="9"/>
  <c r="E377" i="9"/>
  <c r="F377" i="9" s="1"/>
  <c r="H377" i="9" s="1"/>
  <c r="O362" i="14"/>
  <c r="O377" i="9" l="1"/>
  <c r="K377" i="9"/>
  <c r="P377" i="9" s="1"/>
  <c r="E363" i="14"/>
  <c r="I363" i="14"/>
  <c r="J363" i="14"/>
  <c r="G364" i="14"/>
  <c r="D378" i="9" l="1"/>
  <c r="J378" i="9" s="1"/>
  <c r="F363" i="14"/>
  <c r="H363" i="14" s="1"/>
  <c r="I378" i="9" l="1"/>
  <c r="N378" i="9"/>
  <c r="M378" i="9"/>
  <c r="G379" i="9"/>
  <c r="L378" i="9"/>
  <c r="E378" i="9"/>
  <c r="F378" i="9" s="1"/>
  <c r="H378" i="9" s="1"/>
  <c r="K378" i="9"/>
  <c r="O363" i="14"/>
  <c r="P378" i="9" l="1"/>
  <c r="O378" i="9"/>
  <c r="E364" i="14"/>
  <c r="I364" i="14"/>
  <c r="J364" i="14"/>
  <c r="G365" i="14"/>
  <c r="D379" i="9" l="1"/>
  <c r="J379" i="9" s="1"/>
  <c r="F364" i="14"/>
  <c r="H364" i="14" s="1"/>
  <c r="I379" i="9" l="1"/>
  <c r="N379" i="9"/>
  <c r="M379" i="9"/>
  <c r="E379" i="9"/>
  <c r="F379" i="9" s="1"/>
  <c r="H379" i="9" s="1"/>
  <c r="L379" i="9"/>
  <c r="K379" i="9"/>
  <c r="G380" i="9"/>
  <c r="O364" i="14"/>
  <c r="P379" i="9" l="1"/>
  <c r="O379" i="9"/>
  <c r="E365" i="14"/>
  <c r="I365" i="14"/>
  <c r="J365" i="14"/>
  <c r="G366" i="14"/>
  <c r="D380" i="9" l="1"/>
  <c r="J380" i="9" s="1"/>
  <c r="F365" i="14"/>
  <c r="H365" i="14" s="1"/>
  <c r="I380" i="9" l="1"/>
  <c r="N380" i="9"/>
  <c r="M380" i="9"/>
  <c r="E380" i="9"/>
  <c r="F380" i="9" s="1"/>
  <c r="H380" i="9" s="1"/>
  <c r="L380" i="9"/>
  <c r="G381" i="9"/>
  <c r="O365" i="14"/>
  <c r="O380" i="9" l="1"/>
  <c r="K380" i="9"/>
  <c r="P380" i="9" s="1"/>
  <c r="E366" i="14"/>
  <c r="I366" i="14"/>
  <c r="J366" i="14"/>
  <c r="G367" i="14"/>
  <c r="D381" i="9" l="1"/>
  <c r="J381" i="9" s="1"/>
  <c r="F366" i="14"/>
  <c r="H366" i="14" s="1"/>
  <c r="I381" i="9" l="1"/>
  <c r="N381" i="9"/>
  <c r="M381" i="9"/>
  <c r="G382" i="9"/>
  <c r="L381" i="9"/>
  <c r="E381" i="9"/>
  <c r="F381" i="9" s="1"/>
  <c r="H381" i="9" s="1"/>
  <c r="O366" i="14"/>
  <c r="K381" i="9" l="1"/>
  <c r="P381" i="9" s="1"/>
  <c r="O381" i="9"/>
  <c r="E367" i="14"/>
  <c r="I367" i="14"/>
  <c r="J367" i="14"/>
  <c r="G368" i="14"/>
  <c r="D382" i="9" l="1"/>
  <c r="J382" i="9" s="1"/>
  <c r="F367" i="14"/>
  <c r="H367" i="14" s="1"/>
  <c r="I382" i="9" l="1"/>
  <c r="N382" i="9"/>
  <c r="M382" i="9"/>
  <c r="E382" i="9"/>
  <c r="F382" i="9" s="1"/>
  <c r="H382" i="9" s="1"/>
  <c r="L382" i="9"/>
  <c r="G383" i="9"/>
  <c r="O367" i="14"/>
  <c r="O382" i="9" l="1"/>
  <c r="K382" i="9"/>
  <c r="P382" i="9" s="1"/>
  <c r="E368" i="14"/>
  <c r="I368" i="14"/>
  <c r="J368" i="14"/>
  <c r="G369" i="14"/>
  <c r="D383" i="9" l="1"/>
  <c r="J383" i="9" s="1"/>
  <c r="F368" i="14"/>
  <c r="H368" i="14" s="1"/>
  <c r="I383" i="9" l="1"/>
  <c r="N383" i="9"/>
  <c r="M383" i="9"/>
  <c r="K383" i="9"/>
  <c r="E383" i="9"/>
  <c r="F383" i="9" s="1"/>
  <c r="H383" i="9" s="1"/>
  <c r="G384" i="9"/>
  <c r="L383" i="9"/>
  <c r="O368" i="14"/>
  <c r="P383" i="9" l="1"/>
  <c r="O383" i="9"/>
  <c r="E369" i="14"/>
  <c r="I369" i="14"/>
  <c r="J369" i="14"/>
  <c r="G370" i="14"/>
  <c r="D384" i="9" l="1"/>
  <c r="J384" i="9" s="1"/>
  <c r="F369" i="14"/>
  <c r="H369" i="14" s="1"/>
  <c r="I384" i="9" l="1"/>
  <c r="N384" i="9"/>
  <c r="M384" i="9"/>
  <c r="E384" i="9"/>
  <c r="F384" i="9" s="1"/>
  <c r="H384" i="9" s="1"/>
  <c r="L384" i="9"/>
  <c r="K384" i="9"/>
  <c r="G385" i="9"/>
  <c r="O369" i="14"/>
  <c r="P384" i="9" l="1"/>
  <c r="O384" i="9"/>
  <c r="E370" i="14"/>
  <c r="I370" i="14"/>
  <c r="J370" i="14"/>
  <c r="G371" i="14"/>
  <c r="D385" i="9" l="1"/>
  <c r="J385" i="9" s="1"/>
  <c r="F370" i="14"/>
  <c r="H370" i="14" s="1"/>
  <c r="I385" i="9" l="1"/>
  <c r="N385" i="9"/>
  <c r="M385" i="9"/>
  <c r="G386" i="9"/>
  <c r="L385" i="9"/>
  <c r="E385" i="9"/>
  <c r="F385" i="9" s="1"/>
  <c r="H385" i="9" s="1"/>
  <c r="O370" i="14"/>
  <c r="O385" i="9" l="1"/>
  <c r="K385" i="9"/>
  <c r="P385" i="9" s="1"/>
  <c r="E371" i="14"/>
  <c r="I371" i="14"/>
  <c r="J371" i="14"/>
  <c r="G372" i="14"/>
  <c r="D386" i="9" l="1"/>
  <c r="J386" i="9" s="1"/>
  <c r="F371" i="14"/>
  <c r="H371" i="14" s="1"/>
  <c r="I386" i="9" l="1"/>
  <c r="N386" i="9"/>
  <c r="M386" i="9"/>
  <c r="G387" i="9"/>
  <c r="E386" i="9"/>
  <c r="F386" i="9" s="1"/>
  <c r="H386" i="9" s="1"/>
  <c r="K386" i="9"/>
  <c r="L386" i="9"/>
  <c r="O371" i="14"/>
  <c r="P386" i="9" l="1"/>
  <c r="O386" i="9"/>
  <c r="E372" i="14"/>
  <c r="I372" i="14"/>
  <c r="J372" i="14"/>
  <c r="G373" i="14"/>
  <c r="D387" i="9" l="1"/>
  <c r="J387" i="9" s="1"/>
  <c r="F372" i="14"/>
  <c r="H372" i="14" s="1"/>
  <c r="I387" i="9" l="1"/>
  <c r="N387" i="9"/>
  <c r="M387" i="9"/>
  <c r="G388" i="9"/>
  <c r="E387" i="9"/>
  <c r="F387" i="9" s="1"/>
  <c r="H387" i="9" s="1"/>
  <c r="K387" i="9"/>
  <c r="L387" i="9"/>
  <c r="O372" i="14"/>
  <c r="P387" i="9" l="1"/>
  <c r="O387" i="9"/>
  <c r="E373" i="14"/>
  <c r="I373" i="14"/>
  <c r="J373" i="14"/>
  <c r="G374" i="14"/>
  <c r="D388" i="9" l="1"/>
  <c r="J388" i="9" s="1"/>
  <c r="F373" i="14"/>
  <c r="H373" i="14" s="1"/>
  <c r="I388" i="9" l="1"/>
  <c r="M388" i="9"/>
  <c r="N388" i="9"/>
  <c r="E388" i="9"/>
  <c r="F388" i="9" s="1"/>
  <c r="H388" i="9" s="1"/>
  <c r="G389" i="9"/>
  <c r="L388" i="9"/>
  <c r="K388" i="9"/>
  <c r="O373" i="14"/>
  <c r="P388" i="9" l="1"/>
  <c r="O388" i="9"/>
  <c r="E374" i="14"/>
  <c r="I374" i="14"/>
  <c r="J374" i="14"/>
  <c r="G375" i="14"/>
  <c r="D389" i="9" l="1"/>
  <c r="J389" i="9" s="1"/>
  <c r="F374" i="14"/>
  <c r="H374" i="14" s="1"/>
  <c r="I389" i="9" l="1"/>
  <c r="N389" i="9"/>
  <c r="M389" i="9"/>
  <c r="E389" i="9"/>
  <c r="F389" i="9" s="1"/>
  <c r="H389" i="9" s="1"/>
  <c r="L389" i="9"/>
  <c r="G390" i="9"/>
  <c r="K389" i="9"/>
  <c r="O374" i="14"/>
  <c r="P389" i="9" l="1"/>
  <c r="O389" i="9"/>
  <c r="E375" i="14"/>
  <c r="I375" i="14"/>
  <c r="J375" i="14"/>
  <c r="G376" i="14"/>
  <c r="D390" i="9" l="1"/>
  <c r="J390" i="9" s="1"/>
  <c r="F375" i="14"/>
  <c r="H375" i="14" s="1"/>
  <c r="I390" i="9" l="1"/>
  <c r="N390" i="9"/>
  <c r="M390" i="9"/>
  <c r="L390" i="9"/>
  <c r="G391" i="9"/>
  <c r="E390" i="9"/>
  <c r="F390" i="9" s="1"/>
  <c r="H390" i="9" s="1"/>
  <c r="O375" i="14"/>
  <c r="K390" i="9" l="1"/>
  <c r="P390" i="9" s="1"/>
  <c r="O390" i="9"/>
  <c r="E376" i="14"/>
  <c r="I376" i="14"/>
  <c r="J376" i="14"/>
  <c r="G377" i="14"/>
  <c r="D391" i="9" l="1"/>
  <c r="J391" i="9" s="1"/>
  <c r="F376" i="14"/>
  <c r="H376" i="14" s="1"/>
  <c r="I391" i="9" l="1"/>
  <c r="N391" i="9"/>
  <c r="M391" i="9"/>
  <c r="L391" i="9"/>
  <c r="E391" i="9"/>
  <c r="F391" i="9" s="1"/>
  <c r="H391" i="9" s="1"/>
  <c r="K391" i="9"/>
  <c r="G392" i="9"/>
  <c r="O376" i="14"/>
  <c r="P391" i="9" l="1"/>
  <c r="O391" i="9"/>
  <c r="E377" i="14"/>
  <c r="I377" i="14"/>
  <c r="J377" i="14"/>
  <c r="G378" i="14"/>
  <c r="D392" i="9" l="1"/>
  <c r="J392" i="9" s="1"/>
  <c r="F377" i="14"/>
  <c r="H377" i="14" s="1"/>
  <c r="I392" i="9" l="1"/>
  <c r="M392" i="9"/>
  <c r="N392" i="9"/>
  <c r="L392" i="9"/>
  <c r="G393" i="9"/>
  <c r="E392" i="9"/>
  <c r="F392" i="9" s="1"/>
  <c r="H392" i="9" s="1"/>
  <c r="O377" i="14"/>
  <c r="K392" i="9" l="1"/>
  <c r="P392" i="9" s="1"/>
  <c r="O392" i="9"/>
  <c r="E378" i="14"/>
  <c r="I378" i="14"/>
  <c r="J378" i="14"/>
  <c r="G379" i="14"/>
  <c r="D393" i="9" l="1"/>
  <c r="J393" i="9" s="1"/>
  <c r="F378" i="14"/>
  <c r="H378" i="14" s="1"/>
  <c r="I393" i="9" l="1"/>
  <c r="N393" i="9"/>
  <c r="M393" i="9"/>
  <c r="G394" i="9"/>
  <c r="E393" i="9"/>
  <c r="F393" i="9" s="1"/>
  <c r="H393" i="9" s="1"/>
  <c r="L393" i="9"/>
  <c r="O378" i="14"/>
  <c r="O393" i="9" l="1"/>
  <c r="K393" i="9"/>
  <c r="P393" i="9" s="1"/>
  <c r="E379" i="14"/>
  <c r="I379" i="14"/>
  <c r="J379" i="14"/>
  <c r="G380" i="14"/>
  <c r="D394" i="9" l="1"/>
  <c r="J394" i="9" s="1"/>
  <c r="F379" i="14"/>
  <c r="H379" i="14" s="1"/>
  <c r="I394" i="9" l="1"/>
  <c r="N394" i="9"/>
  <c r="M394" i="9"/>
  <c r="E394" i="9"/>
  <c r="F394" i="9" s="1"/>
  <c r="H394" i="9" s="1"/>
  <c r="G395" i="9"/>
  <c r="L394" i="9"/>
  <c r="K394" i="9"/>
  <c r="O379" i="14"/>
  <c r="P394" i="9" l="1"/>
  <c r="O394" i="9"/>
  <c r="E380" i="14"/>
  <c r="I380" i="14"/>
  <c r="J380" i="14"/>
  <c r="G381" i="14"/>
  <c r="D395" i="9" l="1"/>
  <c r="J395" i="9" s="1"/>
  <c r="F380" i="14"/>
  <c r="H380" i="14" s="1"/>
  <c r="I395" i="9" l="1"/>
  <c r="N395" i="9"/>
  <c r="M395" i="9"/>
  <c r="L395" i="9"/>
  <c r="G396" i="9"/>
  <c r="E395" i="9"/>
  <c r="F395" i="9" s="1"/>
  <c r="H395" i="9" s="1"/>
  <c r="O380" i="14"/>
  <c r="K395" i="9" l="1"/>
  <c r="P395" i="9" s="1"/>
  <c r="O395" i="9"/>
  <c r="E381" i="14"/>
  <c r="I381" i="14"/>
  <c r="J381" i="14"/>
  <c r="G382" i="14"/>
  <c r="D396" i="9" l="1"/>
  <c r="J396" i="9" s="1"/>
  <c r="F381" i="14"/>
  <c r="H381" i="14" s="1"/>
  <c r="I396" i="9" l="1"/>
  <c r="N396" i="9"/>
  <c r="M396" i="9"/>
  <c r="G397" i="9"/>
  <c r="L396" i="9"/>
  <c r="E396" i="9"/>
  <c r="F396" i="9" s="1"/>
  <c r="H396" i="9" s="1"/>
  <c r="O381" i="14"/>
  <c r="K396" i="9" l="1"/>
  <c r="P396" i="9" s="1"/>
  <c r="O396" i="9"/>
  <c r="E382" i="14"/>
  <c r="I382" i="14"/>
  <c r="J382" i="14"/>
  <c r="G383" i="14"/>
  <c r="D397" i="9" l="1"/>
  <c r="J397" i="9" s="1"/>
  <c r="F382" i="14"/>
  <c r="H382" i="14" s="1"/>
  <c r="I397" i="9" l="1"/>
  <c r="N397" i="9"/>
  <c r="M397" i="9"/>
  <c r="L397" i="9"/>
  <c r="E397" i="9"/>
  <c r="F397" i="9" s="1"/>
  <c r="H397" i="9" s="1"/>
  <c r="K397" i="9"/>
  <c r="G398" i="9"/>
  <c r="O382" i="14"/>
  <c r="P397" i="9" l="1"/>
  <c r="O397" i="9"/>
  <c r="E383" i="14"/>
  <c r="I383" i="14"/>
  <c r="J383" i="14"/>
  <c r="G384" i="14"/>
  <c r="D398" i="9" l="1"/>
  <c r="J398" i="9" s="1"/>
  <c r="F383" i="14"/>
  <c r="H383" i="14" s="1"/>
  <c r="I398" i="9" l="1"/>
  <c r="N398" i="9"/>
  <c r="M398" i="9"/>
  <c r="E398" i="9"/>
  <c r="F398" i="9" s="1"/>
  <c r="H398" i="9" s="1"/>
  <c r="K398" i="9"/>
  <c r="L398" i="9"/>
  <c r="G399" i="9"/>
  <c r="O383" i="14"/>
  <c r="P398" i="9" l="1"/>
  <c r="O398" i="9"/>
  <c r="E384" i="14"/>
  <c r="I384" i="14"/>
  <c r="J384" i="14"/>
  <c r="G385" i="14"/>
  <c r="D399" i="9" l="1"/>
  <c r="J399" i="9" s="1"/>
  <c r="F384" i="14"/>
  <c r="H384" i="14" s="1"/>
  <c r="I399" i="9" l="1"/>
  <c r="N399" i="9"/>
  <c r="M399" i="9"/>
  <c r="L399" i="9"/>
  <c r="G400" i="9"/>
  <c r="E399" i="9"/>
  <c r="F399" i="9" s="1"/>
  <c r="H399" i="9" s="1"/>
  <c r="K399" i="9"/>
  <c r="O384" i="14"/>
  <c r="P399" i="9" l="1"/>
  <c r="O399" i="9"/>
  <c r="E385" i="14"/>
  <c r="I385" i="14"/>
  <c r="J385" i="14"/>
  <c r="G386" i="14"/>
  <c r="D400" i="9" l="1"/>
  <c r="J400" i="9" s="1"/>
  <c r="F385" i="14"/>
  <c r="H385" i="14" s="1"/>
  <c r="I400" i="9" l="1"/>
  <c r="N400" i="9"/>
  <c r="M400" i="9"/>
  <c r="L400" i="9"/>
  <c r="G401" i="9"/>
  <c r="E400" i="9"/>
  <c r="F400" i="9" s="1"/>
  <c r="H400" i="9" s="1"/>
  <c r="O385" i="14"/>
  <c r="O400" i="9" l="1"/>
  <c r="K400" i="9"/>
  <c r="P400" i="9" s="1"/>
  <c r="E386" i="14"/>
  <c r="I386" i="14"/>
  <c r="J386" i="14"/>
  <c r="G387" i="14"/>
  <c r="D401" i="9" l="1"/>
  <c r="J401" i="9" s="1"/>
  <c r="F386" i="14"/>
  <c r="H386" i="14" s="1"/>
  <c r="I401" i="9" l="1"/>
  <c r="N401" i="9"/>
  <c r="M401" i="9"/>
  <c r="E401" i="9"/>
  <c r="F401" i="9" s="1"/>
  <c r="H401" i="9" s="1"/>
  <c r="G402" i="9"/>
  <c r="L401" i="9"/>
  <c r="O386" i="14"/>
  <c r="K401" i="9" l="1"/>
  <c r="P401" i="9" s="1"/>
  <c r="O401" i="9"/>
  <c r="E387" i="14"/>
  <c r="I387" i="14"/>
  <c r="J387" i="14"/>
  <c r="G388" i="14"/>
  <c r="D402" i="9" l="1"/>
  <c r="J402" i="9" s="1"/>
  <c r="F387" i="14"/>
  <c r="H387" i="14" s="1"/>
  <c r="I402" i="9" l="1"/>
  <c r="N402" i="9"/>
  <c r="M402" i="9"/>
  <c r="L402" i="9"/>
  <c r="G403" i="9"/>
  <c r="E402" i="9"/>
  <c r="F402" i="9" s="1"/>
  <c r="H402" i="9" s="1"/>
  <c r="O387" i="14"/>
  <c r="O402" i="9" l="1"/>
  <c r="K402" i="9"/>
  <c r="P402" i="9" s="1"/>
  <c r="E388" i="14"/>
  <c r="I388" i="14"/>
  <c r="J388" i="14"/>
  <c r="G389" i="14"/>
  <c r="D403" i="9" l="1"/>
  <c r="J403" i="9" s="1"/>
  <c r="F388" i="14"/>
  <c r="H388" i="14" s="1"/>
  <c r="I403" i="9" l="1"/>
  <c r="N403" i="9"/>
  <c r="M403" i="9"/>
  <c r="K403" i="9"/>
  <c r="E403" i="9"/>
  <c r="F403" i="9" s="1"/>
  <c r="H403" i="9" s="1"/>
  <c r="G404" i="9"/>
  <c r="L403" i="9"/>
  <c r="O388" i="14"/>
  <c r="P403" i="9" l="1"/>
  <c r="O403" i="9"/>
  <c r="E389" i="14"/>
  <c r="I389" i="14"/>
  <c r="J389" i="14"/>
  <c r="G390" i="14"/>
  <c r="D404" i="9" l="1"/>
  <c r="J404" i="9" s="1"/>
  <c r="F389" i="14"/>
  <c r="H389" i="14" s="1"/>
  <c r="I404" i="9" l="1"/>
  <c r="M404" i="9"/>
  <c r="N404" i="9"/>
  <c r="G405" i="9"/>
  <c r="K404" i="9"/>
  <c r="L404" i="9"/>
  <c r="E404" i="9"/>
  <c r="F404" i="9" s="1"/>
  <c r="H404" i="9" s="1"/>
  <c r="O389" i="14"/>
  <c r="P404" i="9" l="1"/>
  <c r="O404" i="9"/>
  <c r="E390" i="14"/>
  <c r="I390" i="14"/>
  <c r="J390" i="14"/>
  <c r="G391" i="14"/>
  <c r="D405" i="9" l="1"/>
  <c r="J405" i="9" s="1"/>
  <c r="F390" i="14"/>
  <c r="H390" i="14" s="1"/>
  <c r="I405" i="9" l="1"/>
  <c r="N405" i="9"/>
  <c r="M405" i="9"/>
  <c r="G406" i="9"/>
  <c r="L405" i="9"/>
  <c r="E405" i="9"/>
  <c r="F405" i="9" s="1"/>
  <c r="H405" i="9" s="1"/>
  <c r="O390" i="14"/>
  <c r="K405" i="9" l="1"/>
  <c r="P405" i="9" s="1"/>
  <c r="O405" i="9"/>
  <c r="E391" i="14"/>
  <c r="I391" i="14"/>
  <c r="J391" i="14"/>
  <c r="G392" i="14"/>
  <c r="D406" i="9" l="1"/>
  <c r="J406" i="9" s="1"/>
  <c r="F391" i="14"/>
  <c r="H391" i="14" s="1"/>
  <c r="I406" i="9" l="1"/>
  <c r="N406" i="9"/>
  <c r="M406" i="9"/>
  <c r="E406" i="9"/>
  <c r="F406" i="9" s="1"/>
  <c r="H406" i="9" s="1"/>
  <c r="L406" i="9"/>
  <c r="G407" i="9"/>
  <c r="O391" i="14"/>
  <c r="K406" i="9" l="1"/>
  <c r="P406" i="9" s="1"/>
  <c r="O406" i="9"/>
  <c r="E392" i="14"/>
  <c r="I392" i="14"/>
  <c r="J392" i="14"/>
  <c r="G393" i="14"/>
  <c r="D407" i="9" l="1"/>
  <c r="J407" i="9" s="1"/>
  <c r="F392" i="14"/>
  <c r="H392" i="14" s="1"/>
  <c r="I407" i="9" l="1"/>
  <c r="N407" i="9"/>
  <c r="M407" i="9"/>
  <c r="E407" i="9"/>
  <c r="F407" i="9" s="1"/>
  <c r="H407" i="9" s="1"/>
  <c r="L407" i="9"/>
  <c r="G408" i="9"/>
  <c r="K407" i="9"/>
  <c r="O392" i="14"/>
  <c r="P407" i="9" l="1"/>
  <c r="O407" i="9"/>
  <c r="E393" i="14"/>
  <c r="I393" i="14"/>
  <c r="J393" i="14"/>
  <c r="G394" i="14"/>
  <c r="D408" i="9" l="1"/>
  <c r="J408" i="9" s="1"/>
  <c r="F393" i="14"/>
  <c r="H393" i="14" s="1"/>
  <c r="I408" i="9" l="1"/>
  <c r="M408" i="9"/>
  <c r="N408" i="9"/>
  <c r="E408" i="9"/>
  <c r="F408" i="9" s="1"/>
  <c r="H408" i="9" s="1"/>
  <c r="G409" i="9"/>
  <c r="K408" i="9"/>
  <c r="L408" i="9"/>
  <c r="O393" i="14"/>
  <c r="P408" i="9" l="1"/>
  <c r="O408" i="9"/>
  <c r="E394" i="14"/>
  <c r="I394" i="14"/>
  <c r="J394" i="14"/>
  <c r="G395" i="14"/>
  <c r="D409" i="9" l="1"/>
  <c r="J409" i="9" s="1"/>
  <c r="F394" i="14"/>
  <c r="H394" i="14" s="1"/>
  <c r="I409" i="9" l="1"/>
  <c r="N409" i="9"/>
  <c r="M409" i="9"/>
  <c r="G410" i="9"/>
  <c r="L409" i="9"/>
  <c r="E409" i="9"/>
  <c r="F409" i="9" s="1"/>
  <c r="H409" i="9" s="1"/>
  <c r="O394" i="14"/>
  <c r="O409" i="9" l="1"/>
  <c r="K409" i="9"/>
  <c r="P409" i="9" s="1"/>
  <c r="E395" i="14"/>
  <c r="I395" i="14"/>
  <c r="J395" i="14"/>
  <c r="G396" i="14"/>
  <c r="D410" i="9" l="1"/>
  <c r="J410" i="9" s="1"/>
  <c r="F395" i="14"/>
  <c r="H395" i="14" s="1"/>
  <c r="I410" i="9" l="1"/>
  <c r="N410" i="9"/>
  <c r="M410" i="9"/>
  <c r="G411" i="9"/>
  <c r="K410" i="9"/>
  <c r="L410" i="9"/>
  <c r="E410" i="9"/>
  <c r="F410" i="9" s="1"/>
  <c r="H410" i="9" s="1"/>
  <c r="O395" i="14"/>
  <c r="P410" i="9" l="1"/>
  <c r="O410" i="9"/>
  <c r="E396" i="14"/>
  <c r="I396" i="14"/>
  <c r="J396" i="14"/>
  <c r="G397" i="14"/>
  <c r="D411" i="9" l="1"/>
  <c r="J411" i="9" s="1"/>
  <c r="F396" i="14"/>
  <c r="H396" i="14" s="1"/>
  <c r="I411" i="9" l="1"/>
  <c r="N411" i="9"/>
  <c r="M411" i="9"/>
  <c r="L411" i="9"/>
  <c r="K411" i="9"/>
  <c r="E411" i="9"/>
  <c r="F411" i="9" s="1"/>
  <c r="H411" i="9" s="1"/>
  <c r="G412" i="9"/>
  <c r="O396" i="14"/>
  <c r="P411" i="9" l="1"/>
  <c r="O411" i="9"/>
  <c r="E397" i="14"/>
  <c r="I397" i="14"/>
  <c r="J397" i="14"/>
  <c r="G398" i="14"/>
  <c r="D412" i="9" l="1"/>
  <c r="J412" i="9" s="1"/>
  <c r="F397" i="14"/>
  <c r="H397" i="14" s="1"/>
  <c r="I412" i="9" l="1"/>
  <c r="N412" i="9"/>
  <c r="M412" i="9"/>
  <c r="K412" i="9"/>
  <c r="G413" i="9"/>
  <c r="E412" i="9"/>
  <c r="F412" i="9" s="1"/>
  <c r="H412" i="9" s="1"/>
  <c r="L412" i="9"/>
  <c r="O397" i="14"/>
  <c r="P412" i="9" l="1"/>
  <c r="O412" i="9"/>
  <c r="E398" i="14"/>
  <c r="I398" i="14"/>
  <c r="J398" i="14"/>
  <c r="G399" i="14"/>
  <c r="D413" i="9" l="1"/>
  <c r="J413" i="9" s="1"/>
  <c r="F398" i="14"/>
  <c r="H398" i="14" s="1"/>
  <c r="I413" i="9" l="1"/>
  <c r="N413" i="9"/>
  <c r="M413" i="9"/>
  <c r="L413" i="9"/>
  <c r="E413" i="9"/>
  <c r="F413" i="9" s="1"/>
  <c r="H413" i="9" s="1"/>
  <c r="G414" i="9"/>
  <c r="O398" i="14"/>
  <c r="K413" i="9" l="1"/>
  <c r="P413" i="9" s="1"/>
  <c r="O413" i="9"/>
  <c r="E399" i="14"/>
  <c r="I399" i="14"/>
  <c r="J399" i="14"/>
  <c r="G400" i="14"/>
  <c r="D414" i="9" l="1"/>
  <c r="J414" i="9" s="1"/>
  <c r="F399" i="14"/>
  <c r="H399" i="14" s="1"/>
  <c r="I414" i="9" l="1"/>
  <c r="N414" i="9"/>
  <c r="M414" i="9"/>
  <c r="E414" i="9"/>
  <c r="F414" i="9" s="1"/>
  <c r="H414" i="9" s="1"/>
  <c r="L414" i="9"/>
  <c r="G415" i="9"/>
  <c r="K414" i="9"/>
  <c r="O399" i="14"/>
  <c r="P414" i="9" l="1"/>
  <c r="O414" i="9"/>
  <c r="E400" i="14"/>
  <c r="I400" i="14"/>
  <c r="J400" i="14"/>
  <c r="G401" i="14"/>
  <c r="D415" i="9" l="1"/>
  <c r="J415" i="9" s="1"/>
  <c r="F400" i="14"/>
  <c r="H400" i="14" s="1"/>
  <c r="I415" i="9" l="1"/>
  <c r="N415" i="9"/>
  <c r="M415" i="9"/>
  <c r="E415" i="9"/>
  <c r="F415" i="9" s="1"/>
  <c r="H415" i="9" s="1"/>
  <c r="K415" i="9"/>
  <c r="L415" i="9"/>
  <c r="G416" i="9"/>
  <c r="O400" i="14"/>
  <c r="P415" i="9" l="1"/>
  <c r="O415" i="9"/>
  <c r="E401" i="14"/>
  <c r="I401" i="14"/>
  <c r="J401" i="14"/>
  <c r="G402" i="14"/>
  <c r="D416" i="9" l="1"/>
  <c r="J416" i="9" s="1"/>
  <c r="F401" i="14"/>
  <c r="H401" i="14" s="1"/>
  <c r="I416" i="9" l="1"/>
  <c r="N416" i="9"/>
  <c r="M416" i="9"/>
  <c r="L416" i="9"/>
  <c r="G417" i="9"/>
  <c r="K416" i="9"/>
  <c r="E416" i="9"/>
  <c r="F416" i="9" s="1"/>
  <c r="H416" i="9" s="1"/>
  <c r="O401" i="14"/>
  <c r="P416" i="9" l="1"/>
  <c r="O416" i="9"/>
  <c r="E402" i="14"/>
  <c r="I402" i="14"/>
  <c r="J402" i="14"/>
  <c r="G403" i="14"/>
  <c r="D417" i="9" l="1"/>
  <c r="J417" i="9" s="1"/>
  <c r="F402" i="14"/>
  <c r="H402" i="14" s="1"/>
  <c r="I417" i="9" l="1"/>
  <c r="N417" i="9"/>
  <c r="M417" i="9"/>
  <c r="E417" i="9"/>
  <c r="F417" i="9" s="1"/>
  <c r="H417" i="9" s="1"/>
  <c r="G418" i="9"/>
  <c r="L417" i="9"/>
  <c r="K417" i="9"/>
  <c r="O402" i="14"/>
  <c r="P417" i="9" l="1"/>
  <c r="O417" i="9"/>
  <c r="E403" i="14"/>
  <c r="I403" i="14"/>
  <c r="J403" i="14"/>
  <c r="G404" i="14"/>
  <c r="D418" i="9" l="1"/>
  <c r="J418" i="9" s="1"/>
  <c r="F403" i="14"/>
  <c r="H403" i="14" s="1"/>
  <c r="I418" i="9" l="1"/>
  <c r="N418" i="9"/>
  <c r="M418" i="9"/>
  <c r="G419" i="9"/>
  <c r="L418" i="9"/>
  <c r="E418" i="9"/>
  <c r="F418" i="9" s="1"/>
  <c r="H418" i="9" s="1"/>
  <c r="O403" i="14"/>
  <c r="O418" i="9" l="1"/>
  <c r="K418" i="9"/>
  <c r="P418" i="9" s="1"/>
  <c r="E404" i="14"/>
  <c r="I404" i="14"/>
  <c r="J404" i="14"/>
  <c r="G405" i="14"/>
  <c r="D419" i="9" l="1"/>
  <c r="J419" i="9" s="1"/>
  <c r="F404" i="14"/>
  <c r="H404" i="14" s="1"/>
  <c r="I419" i="9" l="1"/>
  <c r="N419" i="9"/>
  <c r="M419" i="9"/>
  <c r="G420" i="9"/>
  <c r="E419" i="9"/>
  <c r="F419" i="9" s="1"/>
  <c r="H419" i="9" s="1"/>
  <c r="L419" i="9"/>
  <c r="O404" i="14"/>
  <c r="O419" i="9" l="1"/>
  <c r="K419" i="9"/>
  <c r="P419" i="9" s="1"/>
  <c r="E405" i="14"/>
  <c r="I405" i="14"/>
  <c r="J405" i="14"/>
  <c r="G406" i="14"/>
  <c r="D420" i="9" l="1"/>
  <c r="J420" i="9" s="1"/>
  <c r="F405" i="14"/>
  <c r="H405" i="14" s="1"/>
  <c r="I420" i="9" l="1"/>
  <c r="M420" i="9"/>
  <c r="N420" i="9"/>
  <c r="G421" i="9"/>
  <c r="E420" i="9"/>
  <c r="F420" i="9" s="1"/>
  <c r="H420" i="9" s="1"/>
  <c r="K420" i="9"/>
  <c r="L420" i="9"/>
  <c r="O405" i="14"/>
  <c r="P420" i="9" l="1"/>
  <c r="O420" i="9"/>
  <c r="E406" i="14"/>
  <c r="I406" i="14"/>
  <c r="J406" i="14"/>
  <c r="G407" i="14"/>
  <c r="D421" i="9" l="1"/>
  <c r="J421" i="9" s="1"/>
  <c r="F406" i="14"/>
  <c r="H406" i="14" s="1"/>
  <c r="I421" i="9" l="1"/>
  <c r="N421" i="9"/>
  <c r="M421" i="9"/>
  <c r="G422" i="9"/>
  <c r="K421" i="9"/>
  <c r="E421" i="9"/>
  <c r="F421" i="9" s="1"/>
  <c r="H421" i="9" s="1"/>
  <c r="L421" i="9"/>
  <c r="O406" i="14"/>
  <c r="P421" i="9" l="1"/>
  <c r="O421" i="9"/>
  <c r="E407" i="14"/>
  <c r="I407" i="14"/>
  <c r="J407" i="14"/>
  <c r="G408" i="14"/>
  <c r="D422" i="9" l="1"/>
  <c r="J422" i="9" s="1"/>
  <c r="F407" i="14"/>
  <c r="H407" i="14" s="1"/>
  <c r="I422" i="9" l="1"/>
  <c r="N422" i="9"/>
  <c r="M422" i="9"/>
  <c r="L422" i="9"/>
  <c r="E422" i="9"/>
  <c r="F422" i="9" s="1"/>
  <c r="H422" i="9" s="1"/>
  <c r="K422" i="9"/>
  <c r="G423" i="9"/>
  <c r="O407" i="14"/>
  <c r="P422" i="9" l="1"/>
  <c r="O422" i="9"/>
  <c r="E408" i="14"/>
  <c r="I408" i="14"/>
  <c r="J408" i="14"/>
  <c r="G409" i="14"/>
  <c r="D423" i="9" l="1"/>
  <c r="J423" i="9" s="1"/>
  <c r="F408" i="14"/>
  <c r="H408" i="14" s="1"/>
  <c r="I423" i="9" l="1"/>
  <c r="N423" i="9"/>
  <c r="M423" i="9"/>
  <c r="E423" i="9"/>
  <c r="F423" i="9" s="1"/>
  <c r="H423" i="9" s="1"/>
  <c r="L423" i="9"/>
  <c r="G424" i="9"/>
  <c r="O408" i="14"/>
  <c r="K423" i="9" l="1"/>
  <c r="P423" i="9" s="1"/>
  <c r="O423" i="9"/>
  <c r="E409" i="14"/>
  <c r="I409" i="14"/>
  <c r="J409" i="14"/>
  <c r="G410" i="14"/>
  <c r="D424" i="9" l="1"/>
  <c r="J424" i="9" s="1"/>
  <c r="F409" i="14"/>
  <c r="H409" i="14" s="1"/>
  <c r="I424" i="9" l="1"/>
  <c r="M424" i="9"/>
  <c r="N424" i="9"/>
  <c r="L424" i="9"/>
  <c r="G425" i="9"/>
  <c r="E424" i="9"/>
  <c r="F424" i="9" s="1"/>
  <c r="H424" i="9" s="1"/>
  <c r="O409" i="14"/>
  <c r="O424" i="9" l="1"/>
  <c r="K424" i="9"/>
  <c r="P424" i="9" s="1"/>
  <c r="E410" i="14"/>
  <c r="I410" i="14"/>
  <c r="J410" i="14"/>
  <c r="G411" i="14"/>
  <c r="D425" i="9" l="1"/>
  <c r="J425" i="9" s="1"/>
  <c r="F410" i="14"/>
  <c r="H410" i="14" s="1"/>
  <c r="I425" i="9" l="1"/>
  <c r="N425" i="9"/>
  <c r="M425" i="9"/>
  <c r="L425" i="9"/>
  <c r="G426" i="9"/>
  <c r="E425" i="9"/>
  <c r="F425" i="9" s="1"/>
  <c r="H425" i="9" s="1"/>
  <c r="O410" i="14"/>
  <c r="O425" i="9" l="1"/>
  <c r="K425" i="9"/>
  <c r="P425" i="9" s="1"/>
  <c r="E411" i="14"/>
  <c r="I411" i="14"/>
  <c r="J411" i="14"/>
  <c r="G412" i="14"/>
  <c r="D426" i="9" l="1"/>
  <c r="J426" i="9" s="1"/>
  <c r="F411" i="14"/>
  <c r="H411" i="14" s="1"/>
  <c r="I426" i="9" l="1"/>
  <c r="N426" i="9"/>
  <c r="M426" i="9"/>
  <c r="L426" i="9"/>
  <c r="G427" i="9"/>
  <c r="E426" i="9"/>
  <c r="F426" i="9" s="1"/>
  <c r="H426" i="9" s="1"/>
  <c r="O411" i="14"/>
  <c r="K426" i="9" l="1"/>
  <c r="P426" i="9" s="1"/>
  <c r="O426" i="9"/>
  <c r="E412" i="14"/>
  <c r="I412" i="14"/>
  <c r="J412" i="14"/>
  <c r="G413" i="14"/>
  <c r="D427" i="9" l="1"/>
  <c r="J427" i="9" s="1"/>
  <c r="F412" i="14"/>
  <c r="H412" i="14" s="1"/>
  <c r="I427" i="9" l="1"/>
  <c r="N427" i="9"/>
  <c r="M427" i="9"/>
  <c r="E427" i="9"/>
  <c r="F427" i="9" s="1"/>
  <c r="H427" i="9" s="1"/>
  <c r="L427" i="9"/>
  <c r="G428" i="9"/>
  <c r="K427" i="9"/>
  <c r="O412" i="14"/>
  <c r="P427" i="9" l="1"/>
  <c r="O427" i="9"/>
  <c r="E413" i="14"/>
  <c r="I413" i="14"/>
  <c r="J413" i="14"/>
  <c r="G414" i="14"/>
  <c r="D428" i="9" l="1"/>
  <c r="J428" i="9" s="1"/>
  <c r="F413" i="14"/>
  <c r="H413" i="14" s="1"/>
  <c r="I428" i="9" l="1"/>
  <c r="N428" i="9"/>
  <c r="M428" i="9"/>
  <c r="G429" i="9"/>
  <c r="E428" i="9"/>
  <c r="F428" i="9" s="1"/>
  <c r="H428" i="9" s="1"/>
  <c r="L428" i="9"/>
  <c r="O413" i="14"/>
  <c r="O428" i="9" l="1"/>
  <c r="K428" i="9"/>
  <c r="P428" i="9" s="1"/>
  <c r="E414" i="14"/>
  <c r="I414" i="14"/>
  <c r="J414" i="14"/>
  <c r="G415" i="14"/>
  <c r="D429" i="9" l="1"/>
  <c r="J429" i="9" s="1"/>
  <c r="F414" i="14"/>
  <c r="H414" i="14" s="1"/>
  <c r="I429" i="9" l="1"/>
  <c r="N429" i="9"/>
  <c r="M429" i="9"/>
  <c r="E429" i="9"/>
  <c r="F429" i="9" s="1"/>
  <c r="H429" i="9" s="1"/>
  <c r="L429" i="9"/>
  <c r="G430" i="9"/>
  <c r="O414" i="14"/>
  <c r="O429" i="9" l="1"/>
  <c r="K429" i="9"/>
  <c r="P429" i="9" s="1"/>
  <c r="E415" i="14"/>
  <c r="I415" i="14"/>
  <c r="J415" i="14"/>
  <c r="G416" i="14"/>
  <c r="D430" i="9" l="1"/>
  <c r="J430" i="9" s="1"/>
  <c r="F415" i="14"/>
  <c r="H415" i="14" s="1"/>
  <c r="I430" i="9" l="1"/>
  <c r="N430" i="9"/>
  <c r="M430" i="9"/>
  <c r="L430" i="9"/>
  <c r="G431" i="9"/>
  <c r="E430" i="9"/>
  <c r="F430" i="9" s="1"/>
  <c r="H430" i="9" s="1"/>
  <c r="K430" i="9"/>
  <c r="O415" i="14"/>
  <c r="P430" i="9" l="1"/>
  <c r="O430" i="9"/>
  <c r="E416" i="14"/>
  <c r="I416" i="14"/>
  <c r="J416" i="14"/>
  <c r="G417" i="14"/>
  <c r="D431" i="9" l="1"/>
  <c r="J431" i="9" s="1"/>
  <c r="F416" i="14"/>
  <c r="H416" i="14" s="1"/>
  <c r="I431" i="9" l="1"/>
  <c r="N431" i="9"/>
  <c r="M431" i="9"/>
  <c r="G432" i="9"/>
  <c r="L431" i="9"/>
  <c r="E431" i="9"/>
  <c r="F431" i="9" s="1"/>
  <c r="H431" i="9" s="1"/>
  <c r="O416" i="14"/>
  <c r="O431" i="9" l="1"/>
  <c r="K431" i="9"/>
  <c r="P431" i="9" s="1"/>
  <c r="E417" i="14"/>
  <c r="I417" i="14"/>
  <c r="J417" i="14"/>
  <c r="G418" i="14"/>
  <c r="D432" i="9" l="1"/>
  <c r="J432" i="9" s="1"/>
  <c r="F417" i="14"/>
  <c r="H417" i="14" s="1"/>
  <c r="I432" i="9" l="1"/>
  <c r="N432" i="9"/>
  <c r="M432" i="9"/>
  <c r="G433" i="9"/>
  <c r="E432" i="9"/>
  <c r="F432" i="9" s="1"/>
  <c r="H432" i="9" s="1"/>
  <c r="L432" i="9"/>
  <c r="K432" i="9"/>
  <c r="O417" i="14"/>
  <c r="P432" i="9" l="1"/>
  <c r="O432" i="9"/>
  <c r="E418" i="14"/>
  <c r="I418" i="14"/>
  <c r="J418" i="14"/>
  <c r="G419" i="14"/>
  <c r="D433" i="9" l="1"/>
  <c r="J433" i="9" s="1"/>
  <c r="F418" i="14"/>
  <c r="H418" i="14" s="1"/>
  <c r="I433" i="9" l="1"/>
  <c r="N433" i="9"/>
  <c r="M433" i="9"/>
  <c r="E433" i="9"/>
  <c r="F433" i="9" s="1"/>
  <c r="H433" i="9" s="1"/>
  <c r="K433" i="9"/>
  <c r="G434" i="9"/>
  <c r="L433" i="9"/>
  <c r="O418" i="14"/>
  <c r="P433" i="9" l="1"/>
  <c r="O433" i="9"/>
  <c r="E419" i="14"/>
  <c r="I419" i="14"/>
  <c r="J419" i="14"/>
  <c r="G420" i="14"/>
  <c r="D434" i="9" l="1"/>
  <c r="J434" i="9" s="1"/>
  <c r="F419" i="14"/>
  <c r="H419" i="14" s="1"/>
  <c r="I434" i="9" l="1"/>
  <c r="N434" i="9"/>
  <c r="M434" i="9"/>
  <c r="E434" i="9"/>
  <c r="F434" i="9" s="1"/>
  <c r="H434" i="9" s="1"/>
  <c r="G435" i="9"/>
  <c r="L434" i="9"/>
  <c r="O419" i="14"/>
  <c r="O434" i="9" l="1"/>
  <c r="K434" i="9"/>
  <c r="P434" i="9" s="1"/>
  <c r="E420" i="14"/>
  <c r="I420" i="14"/>
  <c r="J420" i="14"/>
  <c r="G421" i="14"/>
  <c r="D435" i="9" l="1"/>
  <c r="J435" i="9" s="1"/>
  <c r="F420" i="14"/>
  <c r="H420" i="14" s="1"/>
  <c r="I435" i="9" l="1"/>
  <c r="N435" i="9"/>
  <c r="M435" i="9"/>
  <c r="G436" i="9"/>
  <c r="E435" i="9"/>
  <c r="F435" i="9" s="1"/>
  <c r="H435" i="9" s="1"/>
  <c r="L435" i="9"/>
  <c r="O420" i="14"/>
  <c r="K435" i="9" l="1"/>
  <c r="P435" i="9" s="1"/>
  <c r="O435" i="9"/>
  <c r="E421" i="14"/>
  <c r="I421" i="14"/>
  <c r="J421" i="14"/>
  <c r="G422" i="14"/>
  <c r="D436" i="9" l="1"/>
  <c r="J436" i="9" s="1"/>
  <c r="F421" i="14"/>
  <c r="H421" i="14" s="1"/>
  <c r="I436" i="9" l="1"/>
  <c r="M436" i="9"/>
  <c r="N436" i="9"/>
  <c r="G437" i="9"/>
  <c r="L436" i="9"/>
  <c r="E436" i="9"/>
  <c r="F436" i="9" s="1"/>
  <c r="H436" i="9" s="1"/>
  <c r="O421" i="14"/>
  <c r="K436" i="9" l="1"/>
  <c r="P436" i="9" s="1"/>
  <c r="O436" i="9"/>
  <c r="E422" i="14"/>
  <c r="I422" i="14"/>
  <c r="J422" i="14"/>
  <c r="G423" i="14"/>
  <c r="D437" i="9" l="1"/>
  <c r="J437" i="9" s="1"/>
  <c r="F422" i="14"/>
  <c r="H422" i="14" s="1"/>
  <c r="I437" i="9" l="1"/>
  <c r="N437" i="9"/>
  <c r="M437" i="9"/>
  <c r="E437" i="9"/>
  <c r="F437" i="9" s="1"/>
  <c r="H437" i="9" s="1"/>
  <c r="L437" i="9"/>
  <c r="G438" i="9"/>
  <c r="K437" i="9"/>
  <c r="O422" i="14"/>
  <c r="P437" i="9" l="1"/>
  <c r="O437" i="9"/>
  <c r="E423" i="14"/>
  <c r="I423" i="14"/>
  <c r="J423" i="14"/>
  <c r="G424" i="14"/>
  <c r="D438" i="9" l="1"/>
  <c r="J438" i="9" s="1"/>
  <c r="F423" i="14"/>
  <c r="H423" i="14" s="1"/>
  <c r="I438" i="9" l="1"/>
  <c r="N438" i="9"/>
  <c r="M438" i="9"/>
  <c r="E438" i="9"/>
  <c r="F438" i="9" s="1"/>
  <c r="H438" i="9" s="1"/>
  <c r="L438" i="9"/>
  <c r="G439" i="9"/>
  <c r="O423" i="14"/>
  <c r="O438" i="9" l="1"/>
  <c r="K438" i="9"/>
  <c r="P438" i="9" s="1"/>
  <c r="E424" i="14"/>
  <c r="I424" i="14"/>
  <c r="J424" i="14"/>
  <c r="G425" i="14"/>
  <c r="D439" i="9" l="1"/>
  <c r="J439" i="9" s="1"/>
  <c r="F424" i="14"/>
  <c r="H424" i="14" s="1"/>
  <c r="I439" i="9" l="1"/>
  <c r="N439" i="9"/>
  <c r="M439" i="9"/>
  <c r="K439" i="9"/>
  <c r="E439" i="9"/>
  <c r="F439" i="9" s="1"/>
  <c r="H439" i="9" s="1"/>
  <c r="L439" i="9"/>
  <c r="G440" i="9"/>
  <c r="O424" i="14"/>
  <c r="P439" i="9" l="1"/>
  <c r="O439" i="9"/>
  <c r="E425" i="14"/>
  <c r="I425" i="14"/>
  <c r="J425" i="14"/>
  <c r="G426" i="14"/>
  <c r="D440" i="9" l="1"/>
  <c r="J440" i="9" s="1"/>
  <c r="F425" i="14"/>
  <c r="H425" i="14" s="1"/>
  <c r="I440" i="9" l="1"/>
  <c r="M440" i="9"/>
  <c r="N440" i="9"/>
  <c r="E440" i="9"/>
  <c r="F440" i="9" s="1"/>
  <c r="H440" i="9" s="1"/>
  <c r="G441" i="9"/>
  <c r="L440" i="9"/>
  <c r="K440" i="9"/>
  <c r="O425" i="14"/>
  <c r="P440" i="9" l="1"/>
  <c r="O440" i="9"/>
  <c r="E426" i="14"/>
  <c r="I426" i="14"/>
  <c r="J426" i="14"/>
  <c r="G427" i="14"/>
  <c r="D441" i="9" l="1"/>
  <c r="J441" i="9" s="1"/>
  <c r="F426" i="14"/>
  <c r="H426" i="14" s="1"/>
  <c r="I441" i="9" l="1"/>
  <c r="N441" i="9"/>
  <c r="M441" i="9"/>
  <c r="L441" i="9"/>
  <c r="E441" i="9"/>
  <c r="F441" i="9" s="1"/>
  <c r="H441" i="9" s="1"/>
  <c r="G442" i="9"/>
  <c r="O426" i="14"/>
  <c r="O441" i="9" l="1"/>
  <c r="K441" i="9"/>
  <c r="P441" i="9" s="1"/>
  <c r="E427" i="14"/>
  <c r="I427" i="14"/>
  <c r="J427" i="14"/>
  <c r="G428" i="14"/>
  <c r="D442" i="9" l="1"/>
  <c r="J442" i="9" s="1"/>
  <c r="F427" i="14"/>
  <c r="H427" i="14" s="1"/>
  <c r="I442" i="9" l="1"/>
  <c r="N442" i="9"/>
  <c r="M442" i="9"/>
  <c r="L442" i="9"/>
  <c r="K442" i="9"/>
  <c r="G443" i="9"/>
  <c r="E442" i="9"/>
  <c r="F442" i="9" s="1"/>
  <c r="H442" i="9" s="1"/>
  <c r="O427" i="14"/>
  <c r="P442" i="9" l="1"/>
  <c r="O442" i="9"/>
  <c r="E428" i="14"/>
  <c r="I428" i="14"/>
  <c r="J428" i="14"/>
  <c r="G429" i="14"/>
  <c r="D443" i="9" l="1"/>
  <c r="J443" i="9" s="1"/>
  <c r="F428" i="14"/>
  <c r="H428" i="14" s="1"/>
  <c r="I443" i="9" l="1"/>
  <c r="N443" i="9"/>
  <c r="M443" i="9"/>
  <c r="G444" i="9"/>
  <c r="E443" i="9"/>
  <c r="F443" i="9" s="1"/>
  <c r="H443" i="9" s="1"/>
  <c r="L443" i="9"/>
  <c r="O428" i="14"/>
  <c r="K443" i="9" l="1"/>
  <c r="P443" i="9" s="1"/>
  <c r="O443" i="9"/>
  <c r="E429" i="14"/>
  <c r="I429" i="14"/>
  <c r="J429" i="14"/>
  <c r="G430" i="14"/>
  <c r="D444" i="9" l="1"/>
  <c r="J444" i="9" s="1"/>
  <c r="F429" i="14"/>
  <c r="H429" i="14" s="1"/>
  <c r="I444" i="9" l="1"/>
  <c r="N444" i="9"/>
  <c r="M444" i="9"/>
  <c r="L444" i="9"/>
  <c r="E444" i="9"/>
  <c r="F444" i="9" s="1"/>
  <c r="H444" i="9" s="1"/>
  <c r="G445" i="9"/>
  <c r="K444" i="9"/>
  <c r="O429" i="14"/>
  <c r="P444" i="9" l="1"/>
  <c r="O444" i="9"/>
  <c r="E430" i="14"/>
  <c r="I430" i="14"/>
  <c r="J430" i="14"/>
  <c r="G431" i="14"/>
  <c r="D445" i="9" l="1"/>
  <c r="J445" i="9" s="1"/>
  <c r="F430" i="14"/>
  <c r="H430" i="14" s="1"/>
  <c r="I445" i="9" l="1"/>
  <c r="N445" i="9"/>
  <c r="M445" i="9"/>
  <c r="E445" i="9"/>
  <c r="F445" i="9" s="1"/>
  <c r="H445" i="9" s="1"/>
  <c r="G446" i="9"/>
  <c r="L445" i="9"/>
  <c r="O430" i="14"/>
  <c r="O445" i="9" l="1"/>
  <c r="K445" i="9"/>
  <c r="P445" i="9" s="1"/>
  <c r="E431" i="14"/>
  <c r="I431" i="14"/>
  <c r="J431" i="14"/>
  <c r="G432" i="14"/>
  <c r="D446" i="9" l="1"/>
  <c r="J446" i="9" s="1"/>
  <c r="F431" i="14"/>
  <c r="H431" i="14" s="1"/>
  <c r="I446" i="9" l="1"/>
  <c r="N446" i="9"/>
  <c r="M446" i="9"/>
  <c r="G447" i="9"/>
  <c r="L446" i="9"/>
  <c r="E446" i="9"/>
  <c r="F446" i="9" s="1"/>
  <c r="H446" i="9" s="1"/>
  <c r="O431" i="14"/>
  <c r="K446" i="9" l="1"/>
  <c r="P446" i="9" s="1"/>
  <c r="O446" i="9"/>
  <c r="E432" i="14"/>
  <c r="I432" i="14"/>
  <c r="J432" i="14"/>
  <c r="G433" i="14"/>
  <c r="D447" i="9" l="1"/>
  <c r="J447" i="9" s="1"/>
  <c r="F432" i="14"/>
  <c r="H432" i="14" s="1"/>
  <c r="I447" i="9" l="1"/>
  <c r="N447" i="9"/>
  <c r="M447" i="9"/>
  <c r="L447" i="9"/>
  <c r="G448" i="9"/>
  <c r="E447" i="9"/>
  <c r="F447" i="9" s="1"/>
  <c r="H447" i="9" s="1"/>
  <c r="O432" i="14"/>
  <c r="O447" i="9" l="1"/>
  <c r="K447" i="9"/>
  <c r="P447" i="9" s="1"/>
  <c r="E433" i="14"/>
  <c r="I433" i="14"/>
  <c r="J433" i="14"/>
  <c r="G434" i="14"/>
  <c r="D448" i="9" l="1"/>
  <c r="J448" i="9" s="1"/>
  <c r="F433" i="14"/>
  <c r="H433" i="14" s="1"/>
  <c r="I448" i="9" l="1"/>
  <c r="M448" i="9"/>
  <c r="N448" i="9"/>
  <c r="E448" i="9"/>
  <c r="F448" i="9" s="1"/>
  <c r="H448" i="9" s="1"/>
  <c r="L448" i="9"/>
  <c r="K448" i="9"/>
  <c r="G449" i="9"/>
  <c r="O433" i="14"/>
  <c r="P448" i="9" l="1"/>
  <c r="O448" i="9"/>
  <c r="E434" i="14"/>
  <c r="I434" i="14"/>
  <c r="J434" i="14"/>
  <c r="G435" i="14"/>
  <c r="D449" i="9" l="1"/>
  <c r="J449" i="9" s="1"/>
  <c r="F434" i="14"/>
  <c r="H434" i="14" s="1"/>
  <c r="I449" i="9" l="1"/>
  <c r="N449" i="9"/>
  <c r="M449" i="9"/>
  <c r="E449" i="9"/>
  <c r="F449" i="9" s="1"/>
  <c r="H449" i="9" s="1"/>
  <c r="L449" i="9"/>
  <c r="G450" i="9"/>
  <c r="O434" i="14"/>
  <c r="O449" i="9" l="1"/>
  <c r="K449" i="9"/>
  <c r="P449" i="9" s="1"/>
  <c r="E435" i="14"/>
  <c r="I435" i="14"/>
  <c r="J435" i="14"/>
  <c r="G436" i="14"/>
  <c r="D450" i="9" l="1"/>
  <c r="J450" i="9" s="1"/>
  <c r="F435" i="14"/>
  <c r="H435" i="14" s="1"/>
  <c r="I450" i="9" l="1"/>
  <c r="N450" i="9"/>
  <c r="M450" i="9"/>
  <c r="E450" i="9"/>
  <c r="F450" i="9" s="1"/>
  <c r="H450" i="9" s="1"/>
  <c r="G451" i="9"/>
  <c r="L450" i="9"/>
  <c r="O435" i="14"/>
  <c r="O450" i="9" l="1"/>
  <c r="K450" i="9"/>
  <c r="P450" i="9" s="1"/>
  <c r="E436" i="14"/>
  <c r="I436" i="14"/>
  <c r="J436" i="14"/>
  <c r="G437" i="14"/>
  <c r="D451" i="9" l="1"/>
  <c r="J451" i="9" s="1"/>
  <c r="F436" i="14"/>
  <c r="H436" i="14" s="1"/>
  <c r="I451" i="9" l="1"/>
  <c r="N451" i="9"/>
  <c r="M451" i="9"/>
  <c r="E451" i="9"/>
  <c r="F451" i="9" s="1"/>
  <c r="H451" i="9" s="1"/>
  <c r="K451" i="9"/>
  <c r="G452" i="9"/>
  <c r="L451" i="9"/>
  <c r="O436" i="14"/>
  <c r="P451" i="9" l="1"/>
  <c r="O451" i="9"/>
  <c r="E437" i="14"/>
  <c r="I437" i="14"/>
  <c r="J437" i="14"/>
  <c r="G438" i="14"/>
  <c r="D452" i="9" l="1"/>
  <c r="J452" i="9" s="1"/>
  <c r="F437" i="14"/>
  <c r="H437" i="14" s="1"/>
  <c r="I452" i="9" l="1"/>
  <c r="N452" i="9"/>
  <c r="M452" i="9"/>
  <c r="E452" i="9"/>
  <c r="F452" i="9" s="1"/>
  <c r="H452" i="9" s="1"/>
  <c r="G453" i="9"/>
  <c r="L452" i="9"/>
  <c r="O437" i="14"/>
  <c r="O452" i="9" l="1"/>
  <c r="K452" i="9"/>
  <c r="P452" i="9" s="1"/>
  <c r="E438" i="14"/>
  <c r="I438" i="14"/>
  <c r="J438" i="14"/>
  <c r="G439" i="14"/>
  <c r="D453" i="9" l="1"/>
  <c r="J453" i="9" s="1"/>
  <c r="F438" i="14"/>
  <c r="H438" i="14" s="1"/>
  <c r="I453" i="9" l="1"/>
  <c r="N453" i="9"/>
  <c r="M453" i="9"/>
  <c r="L453" i="9"/>
  <c r="E453" i="9"/>
  <c r="F453" i="9" s="1"/>
  <c r="H453" i="9" s="1"/>
  <c r="G454" i="9"/>
  <c r="O438" i="14"/>
  <c r="K453" i="9" l="1"/>
  <c r="P453" i="9" s="1"/>
  <c r="O453" i="9"/>
  <c r="E439" i="14"/>
  <c r="I439" i="14"/>
  <c r="J439" i="14"/>
  <c r="G440" i="14"/>
  <c r="D454" i="9" l="1"/>
  <c r="J454" i="9" s="1"/>
  <c r="F439" i="14"/>
  <c r="H439" i="14" s="1"/>
  <c r="I454" i="9" l="1"/>
  <c r="N454" i="9"/>
  <c r="M454" i="9"/>
  <c r="L454" i="9"/>
  <c r="E454" i="9"/>
  <c r="F454" i="9" s="1"/>
  <c r="H454" i="9" s="1"/>
  <c r="G455" i="9"/>
  <c r="K454" i="9"/>
  <c r="O439" i="14"/>
  <c r="P454" i="9" l="1"/>
  <c r="O454" i="9"/>
  <c r="E440" i="14"/>
  <c r="I440" i="14"/>
  <c r="J440" i="14"/>
  <c r="G441" i="14"/>
  <c r="D455" i="9" l="1"/>
  <c r="J455" i="9" s="1"/>
  <c r="F440" i="14"/>
  <c r="H440" i="14" s="1"/>
  <c r="I455" i="9" l="1"/>
  <c r="N455" i="9"/>
  <c r="M455" i="9"/>
  <c r="G456" i="9"/>
  <c r="E455" i="9"/>
  <c r="F455" i="9" s="1"/>
  <c r="H455" i="9" s="1"/>
  <c r="K455" i="9"/>
  <c r="L455" i="9"/>
  <c r="O440" i="14"/>
  <c r="P455" i="9" l="1"/>
  <c r="O455" i="9"/>
  <c r="E441" i="14"/>
  <c r="I441" i="14"/>
  <c r="J441" i="14"/>
  <c r="G442" i="14"/>
  <c r="D456" i="9" l="1"/>
  <c r="J456" i="9" s="1"/>
  <c r="F441" i="14"/>
  <c r="H441" i="14" s="1"/>
  <c r="I456" i="9" l="1"/>
  <c r="M456" i="9"/>
  <c r="N456" i="9"/>
  <c r="L456" i="9"/>
  <c r="G457" i="9"/>
  <c r="E456" i="9"/>
  <c r="F456" i="9" s="1"/>
  <c r="H456" i="9" s="1"/>
  <c r="K456" i="9"/>
  <c r="O441" i="14"/>
  <c r="P456" i="9" l="1"/>
  <c r="O456" i="9"/>
  <c r="E442" i="14"/>
  <c r="I442" i="14"/>
  <c r="J442" i="14"/>
  <c r="G443" i="14"/>
  <c r="D457" i="9" l="1"/>
  <c r="J457" i="9" s="1"/>
  <c r="F442" i="14"/>
  <c r="H442" i="14" s="1"/>
  <c r="I457" i="9" l="1"/>
  <c r="N457" i="9"/>
  <c r="M457" i="9"/>
  <c r="E457" i="9"/>
  <c r="F457" i="9" s="1"/>
  <c r="H457" i="9" s="1"/>
  <c r="L457" i="9"/>
  <c r="G458" i="9"/>
  <c r="K457" i="9"/>
  <c r="O442" i="14"/>
  <c r="P457" i="9" l="1"/>
  <c r="O457" i="9"/>
  <c r="E443" i="14"/>
  <c r="I443" i="14"/>
  <c r="J443" i="14"/>
  <c r="G444" i="14"/>
  <c r="D458" i="9" l="1"/>
  <c r="J458" i="9" s="1"/>
  <c r="F443" i="14"/>
  <c r="H443" i="14" s="1"/>
  <c r="I458" i="9" l="1"/>
  <c r="N458" i="9"/>
  <c r="M458" i="9"/>
  <c r="E458" i="9"/>
  <c r="F458" i="9" s="1"/>
  <c r="H458" i="9" s="1"/>
  <c r="G459" i="9"/>
  <c r="L458" i="9"/>
  <c r="K458" i="9"/>
  <c r="O443" i="14"/>
  <c r="P458" i="9" l="1"/>
  <c r="O458" i="9"/>
  <c r="E444" i="14"/>
  <c r="I444" i="14"/>
  <c r="J444" i="14"/>
  <c r="G445" i="14"/>
  <c r="D459" i="9" l="1"/>
  <c r="J459" i="9" s="1"/>
  <c r="F444" i="14"/>
  <c r="H444" i="14" s="1"/>
  <c r="I459" i="9" l="1"/>
  <c r="N459" i="9"/>
  <c r="M459" i="9"/>
  <c r="E459" i="9"/>
  <c r="F459" i="9" s="1"/>
  <c r="H459" i="9" s="1"/>
  <c r="L459" i="9"/>
  <c r="G460" i="9"/>
  <c r="O444" i="14"/>
  <c r="O459" i="9" l="1"/>
  <c r="K459" i="9"/>
  <c r="P459" i="9" s="1"/>
  <c r="E445" i="14"/>
  <c r="I445" i="14"/>
  <c r="J445" i="14"/>
  <c r="G446" i="14"/>
  <c r="D460" i="9" l="1"/>
  <c r="J460" i="9" s="1"/>
  <c r="F445" i="14"/>
  <c r="H445" i="14" s="1"/>
  <c r="I460" i="9" l="1"/>
  <c r="N460" i="9"/>
  <c r="M460" i="9"/>
  <c r="L460" i="9"/>
  <c r="G461" i="9"/>
  <c r="E460" i="9"/>
  <c r="F460" i="9" s="1"/>
  <c r="H460" i="9" s="1"/>
  <c r="O445" i="14"/>
  <c r="K460" i="9" l="1"/>
  <c r="P460" i="9" s="1"/>
  <c r="O460" i="9"/>
  <c r="E446" i="14"/>
  <c r="I446" i="14"/>
  <c r="J446" i="14"/>
  <c r="G447" i="14"/>
  <c r="D461" i="9" l="1"/>
  <c r="J461" i="9" s="1"/>
  <c r="F446" i="14"/>
  <c r="H446" i="14" s="1"/>
  <c r="I461" i="9" l="1"/>
  <c r="N461" i="9"/>
  <c r="M461" i="9"/>
  <c r="E461" i="9"/>
  <c r="F461" i="9" s="1"/>
  <c r="H461" i="9" s="1"/>
  <c r="L461" i="9"/>
  <c r="K461" i="9"/>
  <c r="G462" i="9"/>
  <c r="O446" i="14"/>
  <c r="P461" i="9" l="1"/>
  <c r="O461" i="9"/>
  <c r="E447" i="14"/>
  <c r="I447" i="14"/>
  <c r="J447" i="14"/>
  <c r="G448" i="14"/>
  <c r="D462" i="9" l="1"/>
  <c r="J462" i="9" s="1"/>
  <c r="F447" i="14"/>
  <c r="H447" i="14" s="1"/>
  <c r="I462" i="9" l="1"/>
  <c r="N462" i="9"/>
  <c r="M462" i="9"/>
  <c r="L462" i="9"/>
  <c r="G463" i="9"/>
  <c r="E462" i="9"/>
  <c r="F462" i="9" s="1"/>
  <c r="H462" i="9" s="1"/>
  <c r="O447" i="14"/>
  <c r="K462" i="9" l="1"/>
  <c r="P462" i="9" s="1"/>
  <c r="O462" i="9"/>
  <c r="E448" i="14"/>
  <c r="I448" i="14"/>
  <c r="J448" i="14"/>
  <c r="G449" i="14"/>
  <c r="D463" i="9" l="1"/>
  <c r="J463" i="9" s="1"/>
  <c r="F448" i="14"/>
  <c r="H448" i="14" s="1"/>
  <c r="I463" i="9" l="1"/>
  <c r="N463" i="9"/>
  <c r="M463" i="9"/>
  <c r="G464" i="9"/>
  <c r="E463" i="9"/>
  <c r="F463" i="9" s="1"/>
  <c r="H463" i="9" s="1"/>
  <c r="L463" i="9"/>
  <c r="O448" i="14"/>
  <c r="O463" i="9" l="1"/>
  <c r="K463" i="9"/>
  <c r="P463" i="9" s="1"/>
  <c r="E449" i="14"/>
  <c r="I449" i="14"/>
  <c r="J449" i="14"/>
  <c r="G450" i="14"/>
  <c r="D464" i="9" l="1"/>
  <c r="J464" i="9" s="1"/>
  <c r="F449" i="14"/>
  <c r="H449" i="14" s="1"/>
  <c r="I464" i="9" l="1"/>
  <c r="M464" i="9"/>
  <c r="N464" i="9"/>
  <c r="E464" i="9"/>
  <c r="F464" i="9" s="1"/>
  <c r="H464" i="9" s="1"/>
  <c r="K464" i="9"/>
  <c r="L464" i="9"/>
  <c r="G465" i="9"/>
  <c r="O449" i="14"/>
  <c r="P464" i="9" l="1"/>
  <c r="O464" i="9"/>
  <c r="E450" i="14"/>
  <c r="I450" i="14"/>
  <c r="J450" i="14"/>
  <c r="G451" i="14"/>
  <c r="D465" i="9" l="1"/>
  <c r="J465" i="9" s="1"/>
  <c r="F450" i="14"/>
  <c r="H450" i="14" s="1"/>
  <c r="I465" i="9" l="1"/>
  <c r="N465" i="9"/>
  <c r="M465" i="9"/>
  <c r="L465" i="9"/>
  <c r="E465" i="9"/>
  <c r="F465" i="9" s="1"/>
  <c r="H465" i="9" s="1"/>
  <c r="K465" i="9"/>
  <c r="G466" i="9"/>
  <c r="O450" i="14"/>
  <c r="P465" i="9" l="1"/>
  <c r="O465" i="9"/>
  <c r="E451" i="14"/>
  <c r="I451" i="14"/>
  <c r="J451" i="14"/>
  <c r="G452" i="14"/>
  <c r="D466" i="9" l="1"/>
  <c r="J466" i="9" s="1"/>
  <c r="F451" i="14"/>
  <c r="H451" i="14" s="1"/>
  <c r="I466" i="9" l="1"/>
  <c r="N466" i="9"/>
  <c r="M466" i="9"/>
  <c r="L466" i="9"/>
  <c r="G467" i="9"/>
  <c r="E466" i="9"/>
  <c r="F466" i="9" s="1"/>
  <c r="H466" i="9" s="1"/>
  <c r="O451" i="14"/>
  <c r="K466" i="9" l="1"/>
  <c r="P466" i="9" s="1"/>
  <c r="O466" i="9"/>
  <c r="E452" i="14"/>
  <c r="I452" i="14"/>
  <c r="J452" i="14"/>
  <c r="G453" i="14"/>
  <c r="D467" i="9" l="1"/>
  <c r="J467" i="9" s="1"/>
  <c r="F452" i="14"/>
  <c r="H452" i="14" s="1"/>
  <c r="I467" i="9" l="1"/>
  <c r="N467" i="9"/>
  <c r="M467" i="9"/>
  <c r="E467" i="9"/>
  <c r="F467" i="9" s="1"/>
  <c r="H467" i="9" s="1"/>
  <c r="G468" i="9"/>
  <c r="L467" i="9"/>
  <c r="K467" i="9"/>
  <c r="O452" i="14"/>
  <c r="P467" i="9" l="1"/>
  <c r="O467" i="9"/>
  <c r="E453" i="14"/>
  <c r="I453" i="14"/>
  <c r="J453" i="14"/>
  <c r="G454" i="14"/>
  <c r="D468" i="9" l="1"/>
  <c r="J468" i="9" s="1"/>
  <c r="F453" i="14"/>
  <c r="H453" i="14" s="1"/>
  <c r="I468" i="9" l="1"/>
  <c r="N468" i="9"/>
  <c r="M468" i="9"/>
  <c r="L468" i="9"/>
  <c r="G469" i="9"/>
  <c r="E468" i="9"/>
  <c r="F468" i="9" s="1"/>
  <c r="H468" i="9" s="1"/>
  <c r="O453" i="14"/>
  <c r="O468" i="9" l="1"/>
  <c r="K468" i="9"/>
  <c r="P468" i="9" s="1"/>
  <c r="E454" i="14"/>
  <c r="I454" i="14"/>
  <c r="J454" i="14"/>
  <c r="G455" i="14"/>
  <c r="D469" i="9" l="1"/>
  <c r="J469" i="9" s="1"/>
  <c r="F454" i="14"/>
  <c r="H454" i="14" s="1"/>
  <c r="I469" i="9" l="1"/>
  <c r="N469" i="9"/>
  <c r="M469" i="9"/>
  <c r="E469" i="9"/>
  <c r="F469" i="9" s="1"/>
  <c r="H469" i="9" s="1"/>
  <c r="G470" i="9"/>
  <c r="L469" i="9"/>
  <c r="O454" i="14"/>
  <c r="K469" i="9" l="1"/>
  <c r="P469" i="9" s="1"/>
  <c r="O469" i="9"/>
  <c r="E455" i="14"/>
  <c r="I455" i="14"/>
  <c r="J455" i="14"/>
  <c r="G456" i="14"/>
  <c r="D470" i="9" l="1"/>
  <c r="J470" i="9" s="1"/>
  <c r="F455" i="14"/>
  <c r="H455" i="14" s="1"/>
  <c r="I470" i="9" l="1"/>
  <c r="N470" i="9"/>
  <c r="M470" i="9"/>
  <c r="L470" i="9"/>
  <c r="K470" i="9"/>
  <c r="G471" i="9"/>
  <c r="E470" i="9"/>
  <c r="F470" i="9" s="1"/>
  <c r="H470" i="9" s="1"/>
  <c r="O455" i="14"/>
  <c r="P470" i="9" l="1"/>
  <c r="O470" i="9"/>
  <c r="E456" i="14"/>
  <c r="I456" i="14"/>
  <c r="J456" i="14"/>
  <c r="G457" i="14"/>
  <c r="D471" i="9" l="1"/>
  <c r="J471" i="9" s="1"/>
  <c r="F456" i="14"/>
  <c r="H456" i="14" s="1"/>
  <c r="I471" i="9" l="1"/>
  <c r="N471" i="9"/>
  <c r="M471" i="9"/>
  <c r="G472" i="9"/>
  <c r="L471" i="9"/>
  <c r="E471" i="9"/>
  <c r="F471" i="9" s="1"/>
  <c r="H471" i="9" s="1"/>
  <c r="O456" i="14"/>
  <c r="O471" i="9" l="1"/>
  <c r="K471" i="9"/>
  <c r="P471" i="9" s="1"/>
  <c r="E457" i="14"/>
  <c r="I457" i="14"/>
  <c r="J457" i="14"/>
  <c r="G458" i="14"/>
  <c r="D472" i="9" l="1"/>
  <c r="J472" i="9" s="1"/>
  <c r="F457" i="14"/>
  <c r="H457" i="14" s="1"/>
  <c r="I472" i="9" l="1"/>
  <c r="M472" i="9"/>
  <c r="N472" i="9"/>
  <c r="L472" i="9"/>
  <c r="E472" i="9"/>
  <c r="F472" i="9" s="1"/>
  <c r="H472" i="9" s="1"/>
  <c r="G473" i="9"/>
  <c r="K472" i="9"/>
  <c r="O457" i="14"/>
  <c r="P472" i="9" l="1"/>
  <c r="O472" i="9"/>
  <c r="E458" i="14"/>
  <c r="I458" i="14"/>
  <c r="J458" i="14"/>
  <c r="G459" i="14"/>
  <c r="D473" i="9" l="1"/>
  <c r="J473" i="9" s="1"/>
  <c r="F458" i="14"/>
  <c r="H458" i="14" s="1"/>
  <c r="I473" i="9" l="1"/>
  <c r="N473" i="9"/>
  <c r="M473" i="9"/>
  <c r="G474" i="9"/>
  <c r="L473" i="9"/>
  <c r="E473" i="9"/>
  <c r="F473" i="9" s="1"/>
  <c r="H473" i="9" s="1"/>
  <c r="O458" i="14"/>
  <c r="O473" i="9" l="1"/>
  <c r="K473" i="9"/>
  <c r="P473" i="9" s="1"/>
  <c r="E459" i="14"/>
  <c r="I459" i="14"/>
  <c r="J459" i="14"/>
  <c r="G460" i="14"/>
  <c r="D474" i="9" l="1"/>
  <c r="J474" i="9" s="1"/>
  <c r="F459" i="14"/>
  <c r="H459" i="14" s="1"/>
  <c r="I474" i="9" l="1"/>
  <c r="N474" i="9"/>
  <c r="M474" i="9"/>
  <c r="K474" i="9"/>
  <c r="L474" i="9"/>
  <c r="E474" i="9"/>
  <c r="F474" i="9" s="1"/>
  <c r="H474" i="9" s="1"/>
  <c r="G475" i="9"/>
  <c r="O459" i="14"/>
  <c r="P474" i="9" l="1"/>
  <c r="O474" i="9"/>
  <c r="E460" i="14"/>
  <c r="I460" i="14"/>
  <c r="J460" i="14"/>
  <c r="G461" i="14"/>
  <c r="D475" i="9" l="1"/>
  <c r="J475" i="9" s="1"/>
  <c r="F460" i="14"/>
  <c r="H460" i="14" s="1"/>
  <c r="I475" i="9" l="1"/>
  <c r="N475" i="9"/>
  <c r="M475" i="9"/>
  <c r="G476" i="9"/>
  <c r="E475" i="9"/>
  <c r="F475" i="9" s="1"/>
  <c r="H475" i="9" s="1"/>
  <c r="L475" i="9"/>
  <c r="O460" i="14"/>
  <c r="K475" i="9" l="1"/>
  <c r="P475" i="9" s="1"/>
  <c r="O475" i="9"/>
  <c r="E461" i="14"/>
  <c r="I461" i="14"/>
  <c r="J461" i="14"/>
  <c r="G462" i="14"/>
  <c r="D476" i="9" l="1"/>
  <c r="J476" i="9" s="1"/>
  <c r="F461" i="14"/>
  <c r="H461" i="14" s="1"/>
  <c r="I476" i="9" l="1"/>
  <c r="N476" i="9"/>
  <c r="M476" i="9"/>
  <c r="G477" i="9"/>
  <c r="E476" i="9"/>
  <c r="F476" i="9" s="1"/>
  <c r="H476" i="9" s="1"/>
  <c r="L476" i="9"/>
  <c r="O461" i="14"/>
  <c r="K476" i="9" l="1"/>
  <c r="P476" i="9" s="1"/>
  <c r="O476" i="9"/>
  <c r="E462" i="14"/>
  <c r="I462" i="14"/>
  <c r="J462" i="14"/>
  <c r="G463" i="14"/>
  <c r="D477" i="9" l="1"/>
  <c r="J477" i="9" s="1"/>
  <c r="F462" i="14"/>
  <c r="H462" i="14" s="1"/>
  <c r="I477" i="9" l="1"/>
  <c r="N477" i="9"/>
  <c r="M477" i="9"/>
  <c r="G478" i="9"/>
  <c r="L477" i="9"/>
  <c r="E477" i="9"/>
  <c r="F477" i="9" s="1"/>
  <c r="H477" i="9" s="1"/>
  <c r="O462" i="14"/>
  <c r="K477" i="9" l="1"/>
  <c r="P477" i="9" s="1"/>
  <c r="O477" i="9"/>
  <c r="E463" i="14"/>
  <c r="I463" i="14"/>
  <c r="J463" i="14"/>
  <c r="G464" i="14"/>
  <c r="D478" i="9" l="1"/>
  <c r="J478" i="9" s="1"/>
  <c r="F463" i="14"/>
  <c r="H463" i="14" s="1"/>
  <c r="I478" i="9" l="1"/>
  <c r="N478" i="9"/>
  <c r="M478" i="9"/>
  <c r="E478" i="9"/>
  <c r="F478" i="9" s="1"/>
  <c r="H478" i="9" s="1"/>
  <c r="G479" i="9"/>
  <c r="L478" i="9"/>
  <c r="O463" i="14"/>
  <c r="K478" i="9" l="1"/>
  <c r="P478" i="9" s="1"/>
  <c r="O478" i="9"/>
  <c r="E464" i="14"/>
  <c r="I464" i="14"/>
  <c r="J464" i="14"/>
  <c r="G465" i="14"/>
  <c r="D479" i="9" l="1"/>
  <c r="J479" i="9" s="1"/>
  <c r="F464" i="14"/>
  <c r="H464" i="14" s="1"/>
  <c r="I479" i="9" l="1"/>
  <c r="N479" i="9"/>
  <c r="M479" i="9"/>
  <c r="G480" i="9"/>
  <c r="L479" i="9"/>
  <c r="E479" i="9"/>
  <c r="F479" i="9" s="1"/>
  <c r="H479" i="9" s="1"/>
  <c r="K479" i="9"/>
  <c r="O464" i="14"/>
  <c r="P479" i="9" l="1"/>
  <c r="O479" i="9"/>
  <c r="E465" i="14"/>
  <c r="I465" i="14"/>
  <c r="J465" i="14"/>
  <c r="G466" i="14"/>
  <c r="D480" i="9" l="1"/>
  <c r="J480" i="9" s="1"/>
  <c r="F465" i="14"/>
  <c r="H465" i="14" s="1"/>
  <c r="I480" i="9" l="1"/>
  <c r="N480" i="9"/>
  <c r="M480" i="9"/>
  <c r="L480" i="9"/>
  <c r="G481" i="9"/>
  <c r="E480" i="9"/>
  <c r="F480" i="9" s="1"/>
  <c r="H480" i="9" s="1"/>
  <c r="O465" i="14"/>
  <c r="K480" i="9" l="1"/>
  <c r="P480" i="9" s="1"/>
  <c r="O480" i="9"/>
  <c r="E466" i="14"/>
  <c r="I466" i="14"/>
  <c r="J466" i="14"/>
  <c r="G467" i="14"/>
  <c r="D481" i="9" l="1"/>
  <c r="J481" i="9" s="1"/>
  <c r="F466" i="14"/>
  <c r="H466" i="14" s="1"/>
  <c r="I481" i="9" l="1"/>
  <c r="N481" i="9"/>
  <c r="M481" i="9"/>
  <c r="E481" i="9"/>
  <c r="F481" i="9" s="1"/>
  <c r="H481" i="9" s="1"/>
  <c r="L481" i="9"/>
  <c r="G482" i="9"/>
  <c r="K481" i="9"/>
  <c r="O466" i="14"/>
  <c r="P481" i="9" l="1"/>
  <c r="O481" i="9"/>
  <c r="E467" i="14"/>
  <c r="I467" i="14"/>
  <c r="J467" i="14"/>
  <c r="G468" i="14"/>
  <c r="D482" i="9" l="1"/>
  <c r="J482" i="9" s="1"/>
  <c r="F467" i="14"/>
  <c r="H467" i="14" s="1"/>
  <c r="I482" i="9" l="1"/>
  <c r="N482" i="9"/>
  <c r="M482" i="9"/>
  <c r="L482" i="9"/>
  <c r="E482" i="9"/>
  <c r="F482" i="9" s="1"/>
  <c r="H482" i="9" s="1"/>
  <c r="K482" i="9"/>
  <c r="G483" i="9"/>
  <c r="O467" i="14"/>
  <c r="P482" i="9" l="1"/>
  <c r="O482" i="9"/>
  <c r="E468" i="14"/>
  <c r="I468" i="14"/>
  <c r="J468" i="14"/>
  <c r="G469" i="14"/>
  <c r="D483" i="9" l="1"/>
  <c r="J483" i="9" s="1"/>
  <c r="F468" i="14"/>
  <c r="H468" i="14" s="1"/>
  <c r="I483" i="9" l="1"/>
  <c r="N483" i="9"/>
  <c r="M483" i="9"/>
  <c r="E483" i="9"/>
  <c r="F483" i="9" s="1"/>
  <c r="H483" i="9" s="1"/>
  <c r="G484" i="9"/>
  <c r="K483" i="9"/>
  <c r="L483" i="9"/>
  <c r="O468" i="14"/>
  <c r="P483" i="9" l="1"/>
  <c r="O483" i="9"/>
  <c r="E469" i="14"/>
  <c r="I469" i="14"/>
  <c r="J469" i="14"/>
  <c r="G470" i="14"/>
  <c r="D484" i="9" l="1"/>
  <c r="J484" i="9" s="1"/>
  <c r="F469" i="14"/>
  <c r="H469" i="14" s="1"/>
  <c r="I484" i="9" l="1"/>
  <c r="N484" i="9"/>
  <c r="M484" i="9"/>
  <c r="G485" i="9"/>
  <c r="L484" i="9"/>
  <c r="E484" i="9"/>
  <c r="F484" i="9" s="1"/>
  <c r="H484" i="9" s="1"/>
  <c r="O469" i="14"/>
  <c r="O484" i="9" l="1"/>
  <c r="K484" i="9"/>
  <c r="P484" i="9" s="1"/>
  <c r="E470" i="14"/>
  <c r="I470" i="14"/>
  <c r="J470" i="14"/>
  <c r="G471" i="14"/>
  <c r="D485" i="9" l="1"/>
  <c r="J485" i="9" s="1"/>
  <c r="F470" i="14"/>
  <c r="H470" i="14" s="1"/>
  <c r="I485" i="9" l="1"/>
  <c r="N485" i="9"/>
  <c r="M485" i="9"/>
  <c r="G486" i="9"/>
  <c r="L485" i="9"/>
  <c r="E485" i="9"/>
  <c r="F485" i="9" s="1"/>
  <c r="H485" i="9" s="1"/>
  <c r="O470" i="14"/>
  <c r="K485" i="9" l="1"/>
  <c r="P485" i="9" s="1"/>
  <c r="O485" i="9"/>
  <c r="E471" i="14"/>
  <c r="I471" i="14"/>
  <c r="J471" i="14"/>
  <c r="G472" i="14"/>
  <c r="D486" i="9" l="1"/>
  <c r="J486" i="9" s="1"/>
  <c r="F471" i="14"/>
  <c r="H471" i="14" s="1"/>
  <c r="I486" i="9" l="1"/>
  <c r="N486" i="9"/>
  <c r="M486" i="9"/>
  <c r="E486" i="9"/>
  <c r="F486" i="9" s="1"/>
  <c r="H486" i="9" s="1"/>
  <c r="G487" i="9"/>
  <c r="K486" i="9"/>
  <c r="L486" i="9"/>
  <c r="O471" i="14"/>
  <c r="P486" i="9" l="1"/>
  <c r="O486" i="9"/>
  <c r="E472" i="14"/>
  <c r="I472" i="14"/>
  <c r="J472" i="14"/>
  <c r="G473" i="14"/>
  <c r="D487" i="9" l="1"/>
  <c r="J487" i="9" s="1"/>
  <c r="F472" i="14"/>
  <c r="H472" i="14" s="1"/>
  <c r="I487" i="9" l="1"/>
  <c r="N487" i="9"/>
  <c r="M487" i="9"/>
  <c r="K487" i="9"/>
  <c r="E487" i="9"/>
  <c r="F487" i="9" s="1"/>
  <c r="H487" i="9" s="1"/>
  <c r="G488" i="9"/>
  <c r="L487" i="9"/>
  <c r="O472" i="14"/>
  <c r="P487" i="9" l="1"/>
  <c r="O487" i="9"/>
  <c r="E473" i="14"/>
  <c r="I473" i="14"/>
  <c r="J473" i="14"/>
  <c r="G474" i="14"/>
  <c r="D488" i="9" l="1"/>
  <c r="J488" i="9" s="1"/>
  <c r="F473" i="14"/>
  <c r="H473" i="14" s="1"/>
  <c r="I488" i="9" l="1"/>
  <c r="N488" i="9"/>
  <c r="M488" i="9"/>
  <c r="G489" i="9"/>
  <c r="L488" i="9"/>
  <c r="E488" i="9"/>
  <c r="F488" i="9" s="1"/>
  <c r="H488" i="9" s="1"/>
  <c r="O473" i="14"/>
  <c r="O488" i="9" l="1"/>
  <c r="K488" i="9"/>
  <c r="P488" i="9" s="1"/>
  <c r="E474" i="14"/>
  <c r="I474" i="14"/>
  <c r="J474" i="14"/>
  <c r="G475" i="14"/>
  <c r="D489" i="9" l="1"/>
  <c r="J489" i="9" s="1"/>
  <c r="F474" i="14"/>
  <c r="H474" i="14" s="1"/>
  <c r="I489" i="9" l="1"/>
  <c r="N489" i="9"/>
  <c r="M489" i="9"/>
  <c r="G490" i="9"/>
  <c r="L489" i="9"/>
  <c r="E489" i="9"/>
  <c r="F489" i="9" s="1"/>
  <c r="H489" i="9" s="1"/>
  <c r="O474" i="14"/>
  <c r="O489" i="9" l="1"/>
  <c r="K489" i="9"/>
  <c r="P489" i="9" s="1"/>
  <c r="E475" i="14"/>
  <c r="I475" i="14"/>
  <c r="J475" i="14"/>
  <c r="G476" i="14"/>
  <c r="D490" i="9" l="1"/>
  <c r="J490" i="9" s="1"/>
  <c r="F475" i="14"/>
  <c r="H475" i="14" s="1"/>
  <c r="I490" i="9" l="1"/>
  <c r="N490" i="9"/>
  <c r="M490" i="9"/>
  <c r="E490" i="9"/>
  <c r="F490" i="9" s="1"/>
  <c r="H490" i="9" s="1"/>
  <c r="K490" i="9"/>
  <c r="L490" i="9"/>
  <c r="G491" i="9"/>
  <c r="O475" i="14"/>
  <c r="P490" i="9" l="1"/>
  <c r="O490" i="9"/>
  <c r="E476" i="14"/>
  <c r="I476" i="14"/>
  <c r="J476" i="14"/>
  <c r="G477" i="14"/>
  <c r="D491" i="9" l="1"/>
  <c r="J491" i="9" s="1"/>
  <c r="F476" i="14"/>
  <c r="H476" i="14" s="1"/>
  <c r="I491" i="9" l="1"/>
  <c r="N491" i="9"/>
  <c r="M491" i="9"/>
  <c r="L491" i="9"/>
  <c r="G492" i="9"/>
  <c r="E491" i="9"/>
  <c r="F491" i="9" s="1"/>
  <c r="H491" i="9" s="1"/>
  <c r="O476" i="14"/>
  <c r="O491" i="9" l="1"/>
  <c r="K491" i="9"/>
  <c r="P491" i="9" s="1"/>
  <c r="E477" i="14"/>
  <c r="I477" i="14"/>
  <c r="J477" i="14"/>
  <c r="G478" i="14"/>
  <c r="D492" i="9" l="1"/>
  <c r="J492" i="9" s="1"/>
  <c r="F477" i="14"/>
  <c r="H477" i="14" s="1"/>
  <c r="I492" i="9" l="1"/>
  <c r="N492" i="9"/>
  <c r="M492" i="9"/>
  <c r="G493" i="9"/>
  <c r="E492" i="9"/>
  <c r="F492" i="9" s="1"/>
  <c r="H492" i="9" s="1"/>
  <c r="L492" i="9"/>
  <c r="O477" i="14"/>
  <c r="K492" i="9" l="1"/>
  <c r="P492" i="9" s="1"/>
  <c r="O492" i="9"/>
  <c r="E478" i="14"/>
  <c r="I478" i="14"/>
  <c r="J478" i="14"/>
  <c r="G479" i="14"/>
  <c r="D493" i="9" l="1"/>
  <c r="J493" i="9" s="1"/>
  <c r="F478" i="14"/>
  <c r="H478" i="14" s="1"/>
  <c r="I493" i="9" l="1"/>
  <c r="N493" i="9"/>
  <c r="M493" i="9"/>
  <c r="G494" i="9"/>
  <c r="E493" i="9"/>
  <c r="F493" i="9" s="1"/>
  <c r="H493" i="9" s="1"/>
  <c r="L493" i="9"/>
  <c r="O478" i="14"/>
  <c r="O493" i="9" l="1"/>
  <c r="K493" i="9"/>
  <c r="P493" i="9" s="1"/>
  <c r="E479" i="14"/>
  <c r="I479" i="14"/>
  <c r="J479" i="14"/>
  <c r="G480" i="14"/>
  <c r="D494" i="9" l="1"/>
  <c r="J494" i="9" s="1"/>
  <c r="F479" i="14"/>
  <c r="H479" i="14" s="1"/>
  <c r="I494" i="9" l="1"/>
  <c r="N494" i="9"/>
  <c r="M494" i="9"/>
  <c r="K494" i="9"/>
  <c r="E494" i="9"/>
  <c r="F494" i="9" s="1"/>
  <c r="H494" i="9" s="1"/>
  <c r="G495" i="9"/>
  <c r="L494" i="9"/>
  <c r="O479" i="14"/>
  <c r="P494" i="9" l="1"/>
  <c r="O494" i="9"/>
  <c r="E480" i="14"/>
  <c r="I480" i="14"/>
  <c r="J480" i="14"/>
  <c r="G481" i="14"/>
  <c r="D495" i="9" l="1"/>
  <c r="J495" i="9" s="1"/>
  <c r="F480" i="14"/>
  <c r="H480" i="14" s="1"/>
  <c r="I495" i="9" l="1"/>
  <c r="N495" i="9"/>
  <c r="M495" i="9"/>
  <c r="G496" i="9"/>
  <c r="L495" i="9"/>
  <c r="E495" i="9"/>
  <c r="F495" i="9" s="1"/>
  <c r="H495" i="9" s="1"/>
  <c r="O480" i="14"/>
  <c r="K495" i="9" l="1"/>
  <c r="P495" i="9" s="1"/>
  <c r="O495" i="9"/>
  <c r="E481" i="14"/>
  <c r="I481" i="14"/>
  <c r="J481" i="14"/>
  <c r="G482" i="14"/>
  <c r="D496" i="9" l="1"/>
  <c r="J496" i="9" s="1"/>
  <c r="F481" i="14"/>
  <c r="H481" i="14" s="1"/>
  <c r="I496" i="9" l="1"/>
  <c r="N496" i="9"/>
  <c r="M496" i="9"/>
  <c r="L496" i="9"/>
  <c r="G497" i="9"/>
  <c r="E496" i="9"/>
  <c r="F496" i="9" s="1"/>
  <c r="H496" i="9" s="1"/>
  <c r="O481" i="14"/>
  <c r="K496" i="9" l="1"/>
  <c r="P496" i="9" s="1"/>
  <c r="O496" i="9"/>
  <c r="E482" i="14"/>
  <c r="I482" i="14"/>
  <c r="J482" i="14"/>
  <c r="G483" i="14"/>
  <c r="D497" i="9" l="1"/>
  <c r="J497" i="9" s="1"/>
  <c r="F482" i="14"/>
  <c r="H482" i="14" s="1"/>
  <c r="I497" i="9" l="1"/>
  <c r="N497" i="9"/>
  <c r="M497" i="9"/>
  <c r="G498" i="9"/>
  <c r="E497" i="9"/>
  <c r="F497" i="9" s="1"/>
  <c r="H497" i="9" s="1"/>
  <c r="L497" i="9"/>
  <c r="O482" i="14"/>
  <c r="O497" i="9" l="1"/>
  <c r="K497" i="9"/>
  <c r="P497" i="9" s="1"/>
  <c r="E483" i="14"/>
  <c r="I483" i="14"/>
  <c r="J483" i="14"/>
  <c r="G484" i="14"/>
  <c r="D498" i="9" l="1"/>
  <c r="J498" i="9" s="1"/>
  <c r="F483" i="14"/>
  <c r="H483" i="14" s="1"/>
  <c r="I498" i="9" l="1"/>
  <c r="N498" i="9"/>
  <c r="M498" i="9"/>
  <c r="E498" i="9"/>
  <c r="F498" i="9" s="1"/>
  <c r="H498" i="9" s="1"/>
  <c r="G499" i="9"/>
  <c r="L498" i="9"/>
  <c r="O483" i="14"/>
  <c r="O498" i="9" l="1"/>
  <c r="K498" i="9"/>
  <c r="P498" i="9" s="1"/>
  <c r="E484" i="14"/>
  <c r="I484" i="14"/>
  <c r="J484" i="14"/>
  <c r="G485" i="14"/>
  <c r="D499" i="9" l="1"/>
  <c r="J499" i="9" s="1"/>
  <c r="F484" i="14"/>
  <c r="H484" i="14" s="1"/>
  <c r="I499" i="9" l="1"/>
  <c r="N499" i="9"/>
  <c r="M499" i="9"/>
  <c r="G500" i="9"/>
  <c r="L499" i="9"/>
  <c r="E499" i="9"/>
  <c r="F499" i="9" s="1"/>
  <c r="H499" i="9" s="1"/>
  <c r="O484" i="14"/>
  <c r="K499" i="9" l="1"/>
  <c r="P499" i="9" s="1"/>
  <c r="O499" i="9"/>
  <c r="E485" i="14"/>
  <c r="I485" i="14"/>
  <c r="J485" i="14"/>
  <c r="G486" i="14"/>
  <c r="D500" i="9" l="1"/>
  <c r="J500" i="9" s="1"/>
  <c r="F485" i="14"/>
  <c r="H485" i="14" s="1"/>
  <c r="I500" i="9" l="1"/>
  <c r="N500" i="9"/>
  <c r="M500" i="9"/>
  <c r="L500" i="9"/>
  <c r="G501" i="9"/>
  <c r="E500" i="9"/>
  <c r="F500" i="9" s="1"/>
  <c r="H500" i="9" s="1"/>
  <c r="O485" i="14"/>
  <c r="O500" i="9" l="1"/>
  <c r="K500" i="9"/>
  <c r="P500" i="9" s="1"/>
  <c r="E486" i="14"/>
  <c r="I486" i="14"/>
  <c r="J486" i="14"/>
  <c r="G487" i="14"/>
  <c r="D501" i="9" l="1"/>
  <c r="J501" i="9" s="1"/>
  <c r="F486" i="14"/>
  <c r="H486" i="14" s="1"/>
  <c r="I501" i="9" l="1"/>
  <c r="N501" i="9"/>
  <c r="M501" i="9"/>
  <c r="L501" i="9"/>
  <c r="G502" i="9"/>
  <c r="E501" i="9"/>
  <c r="F501" i="9" s="1"/>
  <c r="H501" i="9" s="1"/>
  <c r="O486" i="14"/>
  <c r="D502" i="9" l="1"/>
  <c r="J502" i="9" s="1"/>
  <c r="O501" i="9"/>
  <c r="K501" i="9"/>
  <c r="P501" i="9" s="1"/>
  <c r="E487" i="14"/>
  <c r="I487" i="14"/>
  <c r="J487" i="14"/>
  <c r="G488" i="14"/>
  <c r="I502" i="9" l="1"/>
  <c r="N502" i="9"/>
  <c r="M502" i="9"/>
  <c r="L502" i="9"/>
  <c r="E502" i="9"/>
  <c r="F502" i="9" s="1"/>
  <c r="H502" i="9" s="1"/>
  <c r="F487" i="14"/>
  <c r="H487" i="14" s="1"/>
  <c r="O502" i="9" l="1"/>
  <c r="R6" i="16" s="1"/>
  <c r="K502" i="9"/>
  <c r="P502" i="9" s="1"/>
  <c r="O487" i="14"/>
  <c r="E488" i="14" l="1"/>
  <c r="I488" i="14"/>
  <c r="J488" i="14"/>
  <c r="G489" i="14"/>
  <c r="F488" i="14" l="1"/>
  <c r="H488" i="14" s="1"/>
  <c r="O488" i="14" l="1"/>
  <c r="E489" i="14" l="1"/>
  <c r="I489" i="14"/>
  <c r="J489" i="14"/>
  <c r="G490" i="14"/>
  <c r="F489" i="14" l="1"/>
  <c r="H489" i="14" s="1"/>
  <c r="O489" i="14" l="1"/>
  <c r="E490" i="14" l="1"/>
  <c r="I490" i="14"/>
  <c r="J490" i="14"/>
  <c r="G491" i="14"/>
  <c r="F490" i="14" l="1"/>
  <c r="H490" i="14" s="1"/>
  <c r="O490" i="14" l="1"/>
  <c r="E491" i="14" l="1"/>
  <c r="I491" i="14"/>
  <c r="J491" i="14"/>
  <c r="G492" i="14"/>
  <c r="F491" i="14" l="1"/>
  <c r="H491" i="14" s="1"/>
  <c r="O491" i="14" l="1"/>
  <c r="E492" i="14" l="1"/>
  <c r="I492" i="14"/>
  <c r="J492" i="14"/>
  <c r="G493" i="14"/>
  <c r="F492" i="14" l="1"/>
  <c r="H492" i="14" s="1"/>
  <c r="O492" i="14" l="1"/>
  <c r="E493" i="14" l="1"/>
  <c r="I493" i="14"/>
  <c r="J493" i="14"/>
  <c r="G494" i="14"/>
  <c r="F493" i="14" l="1"/>
  <c r="H493" i="14" s="1"/>
  <c r="O493" i="14" l="1"/>
  <c r="E494" i="14" l="1"/>
  <c r="I494" i="14"/>
  <c r="J494" i="14"/>
  <c r="G495" i="14"/>
  <c r="F494" i="14" l="1"/>
  <c r="H494" i="14" s="1"/>
  <c r="O494" i="14" l="1"/>
  <c r="E495" i="14" l="1"/>
  <c r="I495" i="14"/>
  <c r="J495" i="14"/>
  <c r="G496" i="14"/>
  <c r="F495" i="14" l="1"/>
  <c r="H495" i="14" s="1"/>
  <c r="O495" i="14" l="1"/>
  <c r="E496" i="14" l="1"/>
  <c r="I496" i="14"/>
  <c r="J496" i="14"/>
  <c r="G497" i="14"/>
  <c r="F496" i="14" l="1"/>
  <c r="H496" i="14" s="1"/>
  <c r="O496" i="14" l="1"/>
  <c r="E497" i="14" l="1"/>
  <c r="I497" i="14"/>
  <c r="J497" i="14"/>
  <c r="G498" i="14"/>
  <c r="F497" i="14" l="1"/>
  <c r="H497" i="14" s="1"/>
  <c r="O497" i="14" l="1"/>
  <c r="E498" i="14" l="1"/>
  <c r="I498" i="14"/>
  <c r="J498" i="14"/>
  <c r="G499" i="14"/>
  <c r="F498" i="14" l="1"/>
  <c r="H498" i="14" s="1"/>
  <c r="O498" i="14" l="1"/>
  <c r="E499" i="14" l="1"/>
  <c r="I499" i="14"/>
  <c r="J499" i="14"/>
  <c r="G500" i="14"/>
  <c r="F499" i="14" l="1"/>
  <c r="H499" i="14" s="1"/>
  <c r="O499" i="14" l="1"/>
  <c r="E500" i="14" l="1"/>
  <c r="I500" i="14"/>
  <c r="J500" i="14"/>
  <c r="G501" i="14"/>
  <c r="F500" i="14" l="1"/>
  <c r="H500" i="14" s="1"/>
  <c r="O500" i="14" l="1"/>
  <c r="E501" i="14" l="1"/>
  <c r="I501" i="14"/>
  <c r="J501" i="14"/>
  <c r="G502" i="14"/>
  <c r="F501" i="14" l="1"/>
  <c r="H501" i="14" s="1"/>
  <c r="O501" i="14" l="1"/>
  <c r="E502" i="14" l="1"/>
  <c r="I502" i="14"/>
  <c r="J502" i="14"/>
  <c r="F502" i="14" l="1"/>
  <c r="H502" i="14" s="1"/>
  <c r="O502" i="14" l="1"/>
  <c r="R5" i="16" s="1"/>
  <c r="C7" i="15" s="1"/>
  <c r="H7" i="15" s="1"/>
  <c r="F7" i="15" l="1"/>
  <c r="C8" i="15"/>
  <c r="D8" i="15"/>
  <c r="E7" i="15"/>
  <c r="G7" i="15" l="1"/>
  <c r="E8" i="15"/>
  <c r="D9" i="15"/>
  <c r="F8" i="15"/>
  <c r="H8" i="15"/>
  <c r="C9" i="15"/>
  <c r="G8" i="15" l="1"/>
  <c r="C10" i="15"/>
  <c r="F10" i="15" s="1"/>
  <c r="E9" i="15"/>
  <c r="H9" i="15"/>
  <c r="D10" i="15"/>
  <c r="F9" i="15"/>
  <c r="C11" i="15" l="1"/>
  <c r="H11" i="15" s="1"/>
  <c r="H10" i="15"/>
  <c r="E10" i="15"/>
  <c r="G10" i="15" s="1"/>
  <c r="D11" i="15"/>
  <c r="G9" i="15"/>
  <c r="D12" i="15" l="1"/>
  <c r="F11" i="15"/>
  <c r="E11" i="15"/>
  <c r="C12" i="15"/>
  <c r="H12" i="15" s="1"/>
  <c r="G11" i="15" l="1"/>
  <c r="D13" i="15"/>
  <c r="C13" i="15"/>
  <c r="E12" i="15"/>
  <c r="F12" i="15"/>
  <c r="G12" i="15" l="1"/>
  <c r="D14" i="15"/>
  <c r="C14" i="15"/>
  <c r="H13" i="15"/>
  <c r="E13" i="15"/>
  <c r="F13" i="15"/>
  <c r="G13" i="15" l="1"/>
  <c r="D15" i="15"/>
  <c r="C15" i="15"/>
  <c r="F14" i="15"/>
  <c r="H14" i="15"/>
  <c r="E14" i="15"/>
  <c r="D16" i="15" l="1"/>
  <c r="G14" i="15"/>
  <c r="H15" i="15"/>
  <c r="F15" i="15"/>
  <c r="E15" i="15"/>
  <c r="C16" i="15"/>
  <c r="C17" i="15" l="1"/>
  <c r="H17" i="15" s="1"/>
  <c r="G15" i="15"/>
  <c r="H16" i="15"/>
  <c r="E16" i="15"/>
  <c r="D17" i="15"/>
  <c r="F16" i="15"/>
  <c r="C18" i="15" l="1"/>
  <c r="H18" i="15" s="1"/>
  <c r="E17" i="15"/>
  <c r="F17" i="15"/>
  <c r="G16" i="15"/>
  <c r="D18" i="15"/>
  <c r="D19" i="15" l="1"/>
  <c r="E18" i="15"/>
  <c r="G17" i="15"/>
  <c r="F18" i="15"/>
  <c r="C19" i="15"/>
  <c r="H19" i="15" s="1"/>
  <c r="G18" i="15" l="1"/>
  <c r="C20" i="15"/>
  <c r="D20" i="15"/>
  <c r="F19" i="15"/>
  <c r="E19" i="15"/>
  <c r="E20" i="15" l="1"/>
  <c r="H20" i="15"/>
  <c r="D21" i="15"/>
  <c r="F20" i="15"/>
  <c r="C21" i="15"/>
  <c r="F21" i="15" s="1"/>
  <c r="G19" i="15"/>
  <c r="G20" i="15" l="1"/>
  <c r="C22" i="15"/>
  <c r="E21" i="15"/>
  <c r="G21" i="15" s="1"/>
  <c r="H21" i="15"/>
  <c r="D22" i="15"/>
  <c r="D23" i="15" l="1"/>
  <c r="E22" i="15"/>
  <c r="H22" i="15"/>
  <c r="F22" i="15"/>
  <c r="C23" i="15"/>
  <c r="F23" i="15" s="1"/>
  <c r="G22" i="15" l="1"/>
  <c r="C24" i="15"/>
  <c r="F24" i="15" s="1"/>
  <c r="D24" i="15"/>
  <c r="E23" i="15"/>
  <c r="G23" i="15" s="1"/>
  <c r="H23" i="15"/>
  <c r="E24" i="15" l="1"/>
  <c r="G24" i="15" s="1"/>
  <c r="H24" i="15"/>
  <c r="C25" i="15"/>
  <c r="D25" i="15"/>
  <c r="D26" i="15" l="1"/>
  <c r="F25" i="15"/>
  <c r="C26" i="15"/>
  <c r="H25" i="15"/>
  <c r="E25" i="15"/>
  <c r="E26" i="15" l="1"/>
  <c r="G25" i="15"/>
  <c r="F26" i="15"/>
  <c r="C27" i="15"/>
  <c r="H26" i="15"/>
  <c r="D27" i="15"/>
  <c r="G26" i="15" l="1"/>
  <c r="E27" i="15"/>
  <c r="D28" i="15"/>
  <c r="H27" i="15"/>
  <c r="F27" i="15"/>
  <c r="C28" i="15"/>
  <c r="G27" i="15" l="1"/>
  <c r="C29" i="15"/>
  <c r="H29" i="15" s="1"/>
  <c r="H28" i="15"/>
  <c r="E28" i="15"/>
  <c r="D29" i="15"/>
  <c r="F28" i="15"/>
  <c r="D30" i="15" l="1"/>
  <c r="E29" i="15"/>
  <c r="G28" i="15"/>
  <c r="C30" i="15"/>
  <c r="F29" i="15"/>
  <c r="G29" i="15" l="1"/>
  <c r="C31" i="15"/>
  <c r="F31" i="15" s="1"/>
  <c r="F30" i="15"/>
  <c r="D31" i="15"/>
  <c r="E30" i="15"/>
  <c r="H30" i="15"/>
  <c r="H31" i="15" l="1"/>
  <c r="C32" i="15"/>
  <c r="E31" i="15"/>
  <c r="G31" i="15" s="1"/>
  <c r="D32" i="15"/>
  <c r="G30" i="15"/>
  <c r="E32" i="15" l="1"/>
  <c r="F32" i="15"/>
  <c r="D33" i="15"/>
  <c r="C33" i="15"/>
  <c r="H32" i="15"/>
  <c r="C34" i="15" l="1"/>
  <c r="G32" i="15"/>
  <c r="D34" i="15"/>
  <c r="H33" i="15"/>
  <c r="E33" i="15"/>
  <c r="F33" i="15"/>
  <c r="G33" i="15" l="1"/>
  <c r="C35" i="15"/>
  <c r="H35" i="15" s="1"/>
  <c r="H34" i="15"/>
  <c r="E34" i="15"/>
  <c r="F34" i="15"/>
  <c r="D35" i="15"/>
  <c r="C36" i="15" l="1"/>
  <c r="H36" i="15" s="1"/>
  <c r="F35" i="15"/>
  <c r="G34" i="15"/>
  <c r="E35" i="15"/>
  <c r="D36" i="15"/>
  <c r="C37" i="15" l="1"/>
  <c r="H37" i="15" s="1"/>
  <c r="G35" i="15"/>
  <c r="F36" i="15"/>
  <c r="E36" i="15"/>
  <c r="D37" i="15"/>
  <c r="C38" i="15" l="1"/>
  <c r="F37" i="15"/>
  <c r="G36" i="15"/>
  <c r="E37" i="15"/>
  <c r="D38" i="15"/>
  <c r="F38" i="15" l="1"/>
  <c r="C39" i="15"/>
  <c r="H39" i="15" s="1"/>
  <c r="H38" i="15"/>
  <c r="G37" i="15"/>
  <c r="E38" i="15"/>
  <c r="D39" i="15"/>
  <c r="G38" i="15" l="1"/>
  <c r="D40" i="15"/>
  <c r="F39" i="15"/>
  <c r="C40" i="15"/>
  <c r="H40" i="15" s="1"/>
  <c r="E39" i="15"/>
  <c r="G39" i="15" l="1"/>
  <c r="E40" i="15"/>
  <c r="D41" i="15"/>
  <c r="F40" i="15"/>
  <c r="C41" i="15"/>
  <c r="C42" i="15" l="1"/>
  <c r="G40" i="15"/>
  <c r="E41" i="15"/>
  <c r="H41" i="15"/>
  <c r="F41" i="15"/>
  <c r="D42" i="15"/>
  <c r="F42" i="15" l="1"/>
  <c r="H42" i="15"/>
  <c r="C43" i="15"/>
  <c r="D43" i="15"/>
  <c r="G41" i="15"/>
  <c r="E42" i="15"/>
  <c r="G42" i="15" l="1"/>
  <c r="D44" i="15"/>
  <c r="E43" i="15"/>
  <c r="F43" i="15"/>
  <c r="H43" i="15"/>
  <c r="C44" i="15"/>
  <c r="E44" i="15" l="1"/>
  <c r="G43" i="15"/>
  <c r="C45" i="15"/>
  <c r="H45" i="15" s="1"/>
  <c r="H44" i="15"/>
  <c r="F44" i="15"/>
  <c r="D45" i="15"/>
  <c r="G44" i="15" l="1"/>
  <c r="F45" i="15"/>
  <c r="C46" i="15"/>
  <c r="H46" i="15" s="1"/>
  <c r="D46" i="15"/>
  <c r="E45" i="15"/>
  <c r="G45" i="15" l="1"/>
  <c r="F46" i="15"/>
  <c r="E46" i="15"/>
  <c r="C47" i="15"/>
  <c r="D47" i="15"/>
  <c r="G46" i="15" l="1"/>
  <c r="C48" i="15"/>
  <c r="E47" i="15"/>
  <c r="H47" i="15"/>
  <c r="F47" i="15"/>
  <c r="D48" i="15"/>
  <c r="F48" i="15" l="1"/>
  <c r="C49" i="15"/>
  <c r="H49" i="15" s="1"/>
  <c r="H48" i="15"/>
  <c r="G47" i="15"/>
  <c r="E48" i="15"/>
  <c r="D49" i="15"/>
  <c r="G48" i="15" l="1"/>
  <c r="D50" i="15"/>
  <c r="F49" i="15"/>
  <c r="E49" i="15"/>
  <c r="C50" i="15"/>
  <c r="F50" i="15" l="1"/>
  <c r="G49" i="15"/>
  <c r="C51" i="15"/>
  <c r="H51" i="15" s="1"/>
  <c r="E50" i="15"/>
  <c r="H50" i="15"/>
  <c r="D51" i="15"/>
  <c r="G50" i="15" l="1"/>
  <c r="D52" i="15"/>
  <c r="F51" i="15"/>
  <c r="C52" i="15"/>
  <c r="E51" i="15"/>
  <c r="F52" i="15" l="1"/>
  <c r="G51" i="15"/>
  <c r="H52" i="15"/>
  <c r="E52" i="15"/>
  <c r="D53" i="15"/>
  <c r="C53" i="15"/>
  <c r="H53" i="15" s="1"/>
  <c r="G52" i="15" l="1"/>
  <c r="C54" i="15"/>
  <c r="F53" i="15"/>
  <c r="E53" i="15"/>
  <c r="D54" i="15"/>
  <c r="F54" i="15" l="1"/>
  <c r="G53" i="15"/>
  <c r="E54" i="15"/>
  <c r="H54" i="15"/>
  <c r="C55" i="15"/>
  <c r="D55" i="15"/>
  <c r="F55" i="15" l="1"/>
  <c r="G54" i="15"/>
  <c r="C56" i="15"/>
  <c r="E55" i="15"/>
  <c r="D56" i="15"/>
  <c r="H55" i="15"/>
  <c r="G55" i="15" l="1"/>
  <c r="F56" i="15"/>
  <c r="H56" i="15"/>
  <c r="D57" i="15"/>
  <c r="E56" i="15"/>
  <c r="C57" i="15"/>
  <c r="G56" i="15" l="1"/>
  <c r="C58" i="15"/>
  <c r="H58" i="15" s="1"/>
  <c r="E57" i="15"/>
  <c r="F57" i="15"/>
  <c r="D58" i="15"/>
  <c r="H57" i="15"/>
  <c r="F58" i="15" l="1"/>
  <c r="D59" i="15"/>
  <c r="G57" i="15"/>
  <c r="E58" i="15"/>
  <c r="C59" i="15"/>
  <c r="H59" i="15" s="1"/>
  <c r="G58" i="15" l="1"/>
  <c r="C60" i="15"/>
  <c r="H60" i="15" s="1"/>
  <c r="F59" i="15"/>
  <c r="E59" i="15"/>
  <c r="D60" i="15"/>
  <c r="G59" i="15" l="1"/>
  <c r="C61" i="15"/>
  <c r="E60" i="15"/>
  <c r="D61" i="15"/>
  <c r="F60" i="15"/>
  <c r="F61" i="15" l="1"/>
  <c r="D62" i="15"/>
  <c r="H61" i="15"/>
  <c r="G60" i="15"/>
  <c r="E61" i="15"/>
  <c r="C62" i="15"/>
  <c r="F62" i="15" l="1"/>
  <c r="G61" i="15"/>
  <c r="C63" i="15"/>
  <c r="H62" i="15"/>
  <c r="D63" i="15"/>
  <c r="E62" i="15"/>
  <c r="G62" i="15" l="1"/>
  <c r="E63" i="15"/>
  <c r="C64" i="15"/>
  <c r="H64" i="15" s="1"/>
  <c r="H63" i="15"/>
  <c r="F63" i="15"/>
  <c r="D64" i="15"/>
  <c r="G63" i="15" l="1"/>
  <c r="E64" i="15"/>
  <c r="D65" i="15"/>
  <c r="F64" i="15"/>
  <c r="C65" i="15"/>
  <c r="G64" i="15" l="1"/>
  <c r="C66" i="15"/>
  <c r="E66" i="15" s="1"/>
  <c r="E65" i="15"/>
  <c r="D66" i="15"/>
  <c r="F65" i="15"/>
  <c r="H65" i="15"/>
  <c r="G65" i="15" l="1"/>
  <c r="H66" i="15"/>
  <c r="D67" i="15"/>
  <c r="F66" i="15"/>
  <c r="G66" i="15" s="1"/>
  <c r="C67" i="15"/>
  <c r="H67" i="15" s="1"/>
  <c r="D68" i="15" l="1"/>
  <c r="C68" i="15"/>
  <c r="E68" i="15" s="1"/>
  <c r="F67" i="15"/>
  <c r="E67" i="15"/>
  <c r="G67" i="15" l="1"/>
  <c r="F68" i="15"/>
  <c r="G68" i="15" s="1"/>
  <c r="H68" i="15"/>
  <c r="D69" i="15"/>
  <c r="C69" i="15"/>
  <c r="H69" i="15" s="1"/>
  <c r="D70" i="15" l="1"/>
  <c r="C70" i="15"/>
  <c r="E69" i="15"/>
  <c r="F69" i="15"/>
  <c r="C71" i="15" l="1"/>
  <c r="E71" i="15" s="1"/>
  <c r="G69" i="15"/>
  <c r="F70" i="15"/>
  <c r="H70" i="15"/>
  <c r="D71" i="15"/>
  <c r="E70" i="15"/>
  <c r="C72" i="15" l="1"/>
  <c r="H72" i="15" s="1"/>
  <c r="H71" i="15"/>
  <c r="G70" i="15"/>
  <c r="F71" i="15"/>
  <c r="G71" i="15" s="1"/>
  <c r="D72" i="15"/>
  <c r="C73" i="15" l="1"/>
  <c r="H73" i="15" s="1"/>
  <c r="E72" i="15"/>
  <c r="F72" i="15"/>
  <c r="D73" i="15"/>
  <c r="F73" i="15" l="1"/>
  <c r="E73" i="15"/>
  <c r="G72" i="15"/>
  <c r="D74" i="15"/>
  <c r="C74" i="15"/>
  <c r="G73" i="15" l="1"/>
  <c r="D75" i="15"/>
  <c r="F74" i="15"/>
  <c r="E74" i="15"/>
  <c r="H74" i="15"/>
  <c r="C75" i="15"/>
  <c r="C76" i="15" l="1"/>
  <c r="H76" i="15" s="1"/>
  <c r="G74" i="15"/>
  <c r="D76" i="15"/>
  <c r="H75" i="15"/>
  <c r="E75" i="15"/>
  <c r="F75" i="15"/>
  <c r="E76" i="15" l="1"/>
  <c r="C77" i="15"/>
  <c r="H77" i="15" s="1"/>
  <c r="D77" i="15"/>
  <c r="F76" i="15"/>
  <c r="G75" i="15"/>
  <c r="G76" i="15" l="1"/>
  <c r="F77" i="15"/>
  <c r="E77" i="15"/>
  <c r="C78" i="15"/>
  <c r="H78" i="15" s="1"/>
  <c r="D78" i="15"/>
  <c r="G77" i="15" l="1"/>
  <c r="F78" i="15"/>
  <c r="E78" i="15"/>
  <c r="D79" i="15"/>
  <c r="C79" i="15"/>
  <c r="F79" i="15" l="1"/>
  <c r="G78" i="15"/>
  <c r="C80" i="15"/>
  <c r="E80" i="15" s="1"/>
  <c r="H79" i="15"/>
  <c r="E79" i="15"/>
  <c r="D80" i="15"/>
  <c r="G79" i="15" l="1"/>
  <c r="C81" i="15"/>
  <c r="E81" i="15" s="1"/>
  <c r="H80" i="15"/>
  <c r="D81" i="15"/>
  <c r="F80" i="15"/>
  <c r="G80" i="15" s="1"/>
  <c r="H81" i="15" l="1"/>
  <c r="F81" i="15"/>
  <c r="G81" i="15" s="1"/>
  <c r="D82" i="15"/>
  <c r="C82" i="15"/>
  <c r="C83" i="15" l="1"/>
  <c r="H83" i="15" s="1"/>
  <c r="F82" i="15"/>
  <c r="E82" i="15"/>
  <c r="D83" i="15"/>
  <c r="H82" i="15"/>
  <c r="D84" i="15" l="1"/>
  <c r="E83" i="15"/>
  <c r="G82" i="15"/>
  <c r="F83" i="15"/>
  <c r="C84" i="15"/>
  <c r="E84" i="15" s="1"/>
  <c r="G83" i="15" l="1"/>
  <c r="H84" i="15"/>
  <c r="D85" i="15"/>
  <c r="F84" i="15"/>
  <c r="G84" i="15" s="1"/>
  <c r="C85" i="15"/>
  <c r="F85" i="15" l="1"/>
  <c r="D86" i="15"/>
  <c r="H85" i="15"/>
  <c r="E85" i="15"/>
  <c r="C86" i="15"/>
  <c r="E86" i="15" s="1"/>
  <c r="G85" i="15" l="1"/>
  <c r="F86" i="15"/>
  <c r="G86" i="15" s="1"/>
  <c r="C87" i="15"/>
  <c r="H86" i="15"/>
  <c r="D87" i="15"/>
  <c r="F87" i="15" l="1"/>
  <c r="C88" i="15"/>
  <c r="D88" i="15"/>
  <c r="H87" i="15"/>
  <c r="E87" i="15"/>
  <c r="G87" i="15" l="1"/>
  <c r="C89" i="15"/>
  <c r="E89" i="15" s="1"/>
  <c r="E88" i="15"/>
  <c r="D89" i="15"/>
  <c r="F88" i="15"/>
  <c r="H88" i="15"/>
  <c r="G88" i="15" l="1"/>
  <c r="D90" i="15"/>
  <c r="H89" i="15"/>
  <c r="F89" i="15"/>
  <c r="G89" i="15" s="1"/>
  <c r="C90" i="15"/>
  <c r="D91" i="15" l="1"/>
  <c r="E90" i="15"/>
  <c r="C91" i="15"/>
  <c r="H90" i="15"/>
  <c r="F90" i="15"/>
  <c r="D92" i="15" l="1"/>
  <c r="G90" i="15"/>
  <c r="F91" i="15"/>
  <c r="C92" i="15"/>
  <c r="H92" i="15" s="1"/>
  <c r="H91" i="15"/>
  <c r="E91" i="15"/>
  <c r="G91" i="15" l="1"/>
  <c r="F92" i="15"/>
  <c r="E92" i="15"/>
  <c r="C93" i="15"/>
  <c r="D93" i="15"/>
  <c r="F93" i="15" l="1"/>
  <c r="G92" i="15"/>
  <c r="C94" i="15"/>
  <c r="E93" i="15"/>
  <c r="H93" i="15"/>
  <c r="D94" i="15"/>
  <c r="G93" i="15" l="1"/>
  <c r="C95" i="15"/>
  <c r="E95" i="15" s="1"/>
  <c r="F94" i="15"/>
  <c r="D95" i="15"/>
  <c r="H94" i="15"/>
  <c r="E94" i="15"/>
  <c r="H95" i="15" l="1"/>
  <c r="C96" i="15"/>
  <c r="H96" i="15" s="1"/>
  <c r="G94" i="15"/>
  <c r="D96" i="15"/>
  <c r="F95" i="15"/>
  <c r="G95" i="15" s="1"/>
  <c r="E96" i="15" l="1"/>
  <c r="C97" i="15"/>
  <c r="H97" i="15" s="1"/>
  <c r="F96" i="15"/>
  <c r="D97" i="15"/>
  <c r="G96" i="15" l="1"/>
  <c r="D98" i="15"/>
  <c r="E97" i="15"/>
  <c r="C98" i="15"/>
  <c r="F97" i="15"/>
  <c r="G97" i="15" l="1"/>
  <c r="D99" i="15"/>
  <c r="F98" i="15"/>
  <c r="C99" i="15"/>
  <c r="H98" i="15"/>
  <c r="E98" i="15"/>
  <c r="D100" i="15" l="1"/>
  <c r="G98" i="15"/>
  <c r="H99" i="15"/>
  <c r="E99" i="15"/>
  <c r="F99" i="15"/>
  <c r="C100" i="15"/>
  <c r="H100" i="15" s="1"/>
  <c r="G99" i="15" l="1"/>
  <c r="E100" i="15"/>
  <c r="D101" i="15"/>
  <c r="F100" i="15"/>
  <c r="C101" i="15"/>
  <c r="H101" i="15" s="1"/>
  <c r="G100" i="15" l="1"/>
  <c r="E101" i="15"/>
  <c r="F101" i="15"/>
  <c r="C102" i="15"/>
  <c r="D102" i="15"/>
  <c r="G101" i="15" l="1"/>
  <c r="F102" i="15"/>
  <c r="D103" i="15"/>
  <c r="E102" i="15"/>
  <c r="H102" i="15"/>
  <c r="C103" i="15"/>
  <c r="F103" i="15" l="1"/>
  <c r="G102" i="15"/>
  <c r="H103" i="15"/>
  <c r="D104" i="15"/>
  <c r="C104" i="15"/>
  <c r="H104" i="15" s="1"/>
  <c r="E103" i="15"/>
  <c r="G103" i="15" l="1"/>
  <c r="D105" i="15"/>
  <c r="E104" i="15"/>
  <c r="C105" i="15"/>
  <c r="E105" i="15" s="1"/>
  <c r="F104" i="15"/>
  <c r="G104" i="15" l="1"/>
  <c r="C106" i="15"/>
  <c r="H106" i="15" s="1"/>
  <c r="F105" i="15"/>
  <c r="G105" i="15" s="1"/>
  <c r="H105" i="15"/>
  <c r="D106" i="15"/>
  <c r="D107" i="15" l="1"/>
  <c r="F106" i="15"/>
  <c r="C107" i="15"/>
  <c r="E107" i="15" s="1"/>
  <c r="E106" i="15"/>
  <c r="G106" i="15" l="1"/>
  <c r="F107" i="15"/>
  <c r="G107" i="15" s="1"/>
  <c r="H107" i="15"/>
  <c r="D108" i="15"/>
  <c r="C108" i="15"/>
  <c r="E108" i="15" s="1"/>
  <c r="C109" i="15" l="1"/>
  <c r="E109" i="15" s="1"/>
  <c r="H108" i="15"/>
  <c r="F108" i="15"/>
  <c r="G108" i="15" s="1"/>
  <c r="D109" i="15"/>
  <c r="H109" i="15" l="1"/>
  <c r="C110" i="15"/>
  <c r="H110" i="15" s="1"/>
  <c r="D110" i="15"/>
  <c r="F109" i="15"/>
  <c r="G109" i="15" s="1"/>
  <c r="C111" i="15" l="1"/>
  <c r="H111" i="15" s="1"/>
  <c r="E110" i="15"/>
  <c r="F110" i="15"/>
  <c r="D111" i="15"/>
  <c r="G110" i="15" l="1"/>
  <c r="C112" i="15"/>
  <c r="E112" i="15" s="1"/>
  <c r="E111" i="15"/>
  <c r="D112" i="15"/>
  <c r="F111" i="15"/>
  <c r="G111" i="15" l="1"/>
  <c r="F112" i="15"/>
  <c r="G112" i="15" s="1"/>
  <c r="H112" i="15"/>
  <c r="D113" i="15"/>
  <c r="C113" i="15"/>
  <c r="F113" i="15" l="1"/>
  <c r="C114" i="15"/>
  <c r="E114" i="15" s="1"/>
  <c r="H113" i="15"/>
  <c r="D114" i="15"/>
  <c r="E113" i="15"/>
  <c r="G113" i="15" l="1"/>
  <c r="H114" i="15"/>
  <c r="F114" i="15"/>
  <c r="G114" i="15" s="1"/>
  <c r="C115" i="15"/>
  <c r="H115" i="15" s="1"/>
  <c r="D115" i="15"/>
  <c r="C116" i="15" l="1"/>
  <c r="E116" i="15" s="1"/>
  <c r="F115" i="15"/>
  <c r="E115" i="15"/>
  <c r="D116" i="15"/>
  <c r="C117" i="15" l="1"/>
  <c r="H117" i="15" s="1"/>
  <c r="H116" i="15"/>
  <c r="F116" i="15"/>
  <c r="G116" i="15" s="1"/>
  <c r="D117" i="15"/>
  <c r="G115" i="15"/>
  <c r="C118" i="15" l="1"/>
  <c r="E118" i="15" s="1"/>
  <c r="F117" i="15"/>
  <c r="E117" i="15"/>
  <c r="D118" i="15"/>
  <c r="C119" i="15" l="1"/>
  <c r="E119" i="15" s="1"/>
  <c r="H118" i="15"/>
  <c r="G117" i="15"/>
  <c r="F118" i="15"/>
  <c r="G118" i="15" s="1"/>
  <c r="D119" i="15"/>
  <c r="D120" i="15" l="1"/>
  <c r="H119" i="15"/>
  <c r="F119" i="15"/>
  <c r="G119" i="15" s="1"/>
  <c r="C120" i="15"/>
  <c r="E120" i="15" s="1"/>
  <c r="D121" i="15" l="1"/>
  <c r="F120" i="15"/>
  <c r="G120" i="15" s="1"/>
  <c r="H120" i="15"/>
  <c r="C121" i="15"/>
  <c r="C122" i="15" l="1"/>
  <c r="H122" i="15" s="1"/>
  <c r="E121" i="15"/>
  <c r="F121" i="15"/>
  <c r="D122" i="15"/>
  <c r="H121" i="15"/>
  <c r="D123" i="15" l="1"/>
  <c r="E122" i="15"/>
  <c r="G121" i="15"/>
  <c r="F122" i="15"/>
  <c r="C123" i="15"/>
  <c r="E123" i="15" s="1"/>
  <c r="G122" i="15" l="1"/>
  <c r="C124" i="15"/>
  <c r="E124" i="15" s="1"/>
  <c r="F123" i="15"/>
  <c r="G123" i="15" s="1"/>
  <c r="H123" i="15"/>
  <c r="D124" i="15"/>
  <c r="F124" i="15" l="1"/>
  <c r="G124" i="15" s="1"/>
  <c r="H124" i="15"/>
  <c r="D125" i="15"/>
  <c r="C125" i="15"/>
  <c r="H125" i="15" s="1"/>
  <c r="D126" i="15" l="1"/>
  <c r="F125" i="15"/>
  <c r="E125" i="15"/>
  <c r="C126" i="15"/>
  <c r="D127" i="15" l="1"/>
  <c r="G125" i="15"/>
  <c r="H126" i="15"/>
  <c r="F126" i="15"/>
  <c r="C127" i="15"/>
  <c r="H127" i="15" s="1"/>
  <c r="E126" i="15"/>
  <c r="G126" i="15" l="1"/>
  <c r="E127" i="15"/>
  <c r="D128" i="15"/>
  <c r="F127" i="15"/>
  <c r="C128" i="15"/>
  <c r="E128" i="15" s="1"/>
  <c r="G127" i="15" l="1"/>
  <c r="D129" i="15"/>
  <c r="F128" i="15"/>
  <c r="G128" i="15" s="1"/>
  <c r="H128" i="15"/>
  <c r="C129" i="15"/>
  <c r="H129" i="15" s="1"/>
  <c r="C130" i="15" l="1"/>
  <c r="H130" i="15" s="1"/>
  <c r="E129" i="15"/>
  <c r="D130" i="15"/>
  <c r="F129" i="15"/>
  <c r="D131" i="15" l="1"/>
  <c r="G129" i="15"/>
  <c r="E130" i="15"/>
  <c r="C131" i="15"/>
  <c r="F130" i="15"/>
  <c r="C132" i="15" l="1"/>
  <c r="E132" i="15" s="1"/>
  <c r="G130" i="15"/>
  <c r="H131" i="15"/>
  <c r="F131" i="15"/>
  <c r="D132" i="15"/>
  <c r="E131" i="15"/>
  <c r="C133" i="15" l="1"/>
  <c r="H133" i="15" s="1"/>
  <c r="H132" i="15"/>
  <c r="G131" i="15"/>
  <c r="F132" i="15"/>
  <c r="G132" i="15" s="1"/>
  <c r="D133" i="15"/>
  <c r="D134" i="15" l="1"/>
  <c r="E133" i="15"/>
  <c r="F133" i="15"/>
  <c r="C134" i="15"/>
  <c r="H134" i="15" s="1"/>
  <c r="G133" i="15" l="1"/>
  <c r="C135" i="15"/>
  <c r="E135" i="15" s="1"/>
  <c r="E134" i="15"/>
  <c r="F134" i="15"/>
  <c r="D135" i="15"/>
  <c r="D136" i="15" l="1"/>
  <c r="G134" i="15"/>
  <c r="F135" i="15"/>
  <c r="G135" i="15" s="1"/>
  <c r="H135" i="15"/>
  <c r="C136" i="15"/>
  <c r="D137" i="15" l="1"/>
  <c r="F136" i="15"/>
  <c r="H136" i="15"/>
  <c r="E136" i="15"/>
  <c r="C137" i="15"/>
  <c r="E137" i="15" s="1"/>
  <c r="G136" i="15" l="1"/>
  <c r="H137" i="15"/>
  <c r="C138" i="15"/>
  <c r="E138" i="15" s="1"/>
  <c r="F137" i="15"/>
  <c r="G137" i="15" s="1"/>
  <c r="D138" i="15"/>
  <c r="C139" i="15" l="1"/>
  <c r="H139" i="15" s="1"/>
  <c r="F138" i="15"/>
  <c r="G138" i="15" s="1"/>
  <c r="H138" i="15"/>
  <c r="D139" i="15"/>
  <c r="C140" i="15" l="1"/>
  <c r="E140" i="15" s="1"/>
  <c r="E139" i="15"/>
  <c r="D140" i="15"/>
  <c r="F139" i="15"/>
  <c r="G139" i="15" l="1"/>
  <c r="D141" i="15"/>
  <c r="H140" i="15"/>
  <c r="F140" i="15"/>
  <c r="G140" i="15" s="1"/>
  <c r="C141" i="15"/>
  <c r="H141" i="15" s="1"/>
  <c r="F141" i="15" l="1"/>
  <c r="C142" i="15"/>
  <c r="E141" i="15"/>
  <c r="D142" i="15"/>
  <c r="G141" i="15" l="1"/>
  <c r="D143" i="15"/>
  <c r="F142" i="15"/>
  <c r="C143" i="15"/>
  <c r="E143" i="15" s="1"/>
  <c r="H142" i="15"/>
  <c r="E142" i="15"/>
  <c r="G142" i="15" l="1"/>
  <c r="F143" i="15"/>
  <c r="G143" i="15" s="1"/>
  <c r="C144" i="15"/>
  <c r="E144" i="15" s="1"/>
  <c r="H143" i="15"/>
  <c r="D144" i="15"/>
  <c r="C145" i="15" l="1"/>
  <c r="H145" i="15" s="1"/>
  <c r="F144" i="15"/>
  <c r="G144" i="15" s="1"/>
  <c r="D145" i="15"/>
  <c r="H144" i="15"/>
  <c r="D146" i="15" l="1"/>
  <c r="E145" i="15"/>
  <c r="F145" i="15"/>
  <c r="C146" i="15"/>
  <c r="H146" i="15" s="1"/>
  <c r="G145" i="15" l="1"/>
  <c r="D147" i="15"/>
  <c r="C147" i="15"/>
  <c r="H147" i="15" s="1"/>
  <c r="E146" i="15"/>
  <c r="F146" i="15"/>
  <c r="G146" i="15" l="1"/>
  <c r="F147" i="15"/>
  <c r="D148" i="15"/>
  <c r="E147" i="15"/>
  <c r="C148" i="15"/>
  <c r="G147" i="15" l="1"/>
  <c r="F148" i="15"/>
  <c r="D149" i="15"/>
  <c r="H148" i="15"/>
  <c r="C149" i="15"/>
  <c r="H149" i="15" s="1"/>
  <c r="E148" i="15"/>
  <c r="G148" i="15" l="1"/>
  <c r="D150" i="15"/>
  <c r="E149" i="15"/>
  <c r="F149" i="15"/>
  <c r="C150" i="15"/>
  <c r="E150" i="15" s="1"/>
  <c r="G149" i="15" l="1"/>
  <c r="H150" i="15"/>
  <c r="C151" i="15"/>
  <c r="H151" i="15" s="1"/>
  <c r="F150" i="15"/>
  <c r="G150" i="15" s="1"/>
  <c r="D151" i="15"/>
  <c r="D152" i="15" l="1"/>
  <c r="E151" i="15"/>
  <c r="F151" i="15"/>
  <c r="C152" i="15"/>
  <c r="H152" i="15" s="1"/>
  <c r="G151" i="15" l="1"/>
  <c r="F152" i="15"/>
  <c r="D153" i="15"/>
  <c r="E152" i="15"/>
  <c r="C153" i="15"/>
  <c r="E153" i="15" s="1"/>
  <c r="G152" i="15" l="1"/>
  <c r="C154" i="15"/>
  <c r="H154" i="15" s="1"/>
  <c r="D154" i="15"/>
  <c r="H153" i="15"/>
  <c r="F153" i="15"/>
  <c r="G153" i="15" s="1"/>
  <c r="F154" i="15" l="1"/>
  <c r="C155" i="15"/>
  <c r="E155" i="15" s="1"/>
  <c r="E154" i="15"/>
  <c r="D155" i="15"/>
  <c r="G154" i="15" l="1"/>
  <c r="D156" i="15"/>
  <c r="H155" i="15"/>
  <c r="F155" i="15"/>
  <c r="G155" i="15" s="1"/>
  <c r="C156" i="15"/>
  <c r="C157" i="15" l="1"/>
  <c r="E157" i="15" s="1"/>
  <c r="F156" i="15"/>
  <c r="H156" i="15"/>
  <c r="D157" i="15"/>
  <c r="E156" i="15"/>
  <c r="D158" i="15" l="1"/>
  <c r="H157" i="15"/>
  <c r="F157" i="15"/>
  <c r="G157" i="15" s="1"/>
  <c r="G156" i="15"/>
  <c r="C158" i="15"/>
  <c r="H158" i="15" s="1"/>
  <c r="F158" i="15" l="1"/>
  <c r="C159" i="15"/>
  <c r="E159" i="15" s="1"/>
  <c r="E158" i="15"/>
  <c r="D159" i="15"/>
  <c r="D160" i="15" l="1"/>
  <c r="G158" i="15"/>
  <c r="C160" i="15"/>
  <c r="E160" i="15" s="1"/>
  <c r="H159" i="15"/>
  <c r="F159" i="15"/>
  <c r="G159" i="15" s="1"/>
  <c r="D161" i="15" l="1"/>
  <c r="H160" i="15"/>
  <c r="F160" i="15"/>
  <c r="G160" i="15" s="1"/>
  <c r="C161" i="15"/>
  <c r="C162" i="15" l="1"/>
  <c r="E162" i="15" s="1"/>
  <c r="E161" i="15"/>
  <c r="D162" i="15"/>
  <c r="H161" i="15"/>
  <c r="F161" i="15"/>
  <c r="G161" i="15" l="1"/>
  <c r="H162" i="15"/>
  <c r="C163" i="15"/>
  <c r="H163" i="15" s="1"/>
  <c r="F162" i="15"/>
  <c r="G162" i="15" s="1"/>
  <c r="D163" i="15"/>
  <c r="D164" i="15" l="1"/>
  <c r="E163" i="15"/>
  <c r="F163" i="15"/>
  <c r="C164" i="15"/>
  <c r="E164" i="15" s="1"/>
  <c r="G163" i="15" l="1"/>
  <c r="D165" i="15"/>
  <c r="C165" i="15"/>
  <c r="F164" i="15"/>
  <c r="G164" i="15" s="1"/>
  <c r="H164" i="15"/>
  <c r="C166" i="15" l="1"/>
  <c r="E166" i="15" s="1"/>
  <c r="E165" i="15"/>
  <c r="H165" i="15"/>
  <c r="D166" i="15"/>
  <c r="F165" i="15"/>
  <c r="G165" i="15" l="1"/>
  <c r="F166" i="15"/>
  <c r="G166" i="15" s="1"/>
  <c r="H166" i="15"/>
  <c r="D167" i="15"/>
  <c r="C167" i="15"/>
  <c r="H167" i="15" s="1"/>
  <c r="C168" i="15" l="1"/>
  <c r="E168" i="15" s="1"/>
  <c r="E167" i="15"/>
  <c r="F167" i="15"/>
  <c r="D168" i="15"/>
  <c r="C169" i="15" l="1"/>
  <c r="H169" i="15" s="1"/>
  <c r="G167" i="15"/>
  <c r="H168" i="15"/>
  <c r="F168" i="15"/>
  <c r="G168" i="15" s="1"/>
  <c r="D169" i="15"/>
  <c r="C170" i="15" l="1"/>
  <c r="E170" i="15" s="1"/>
  <c r="E169" i="15"/>
  <c r="F169" i="15"/>
  <c r="D170" i="15"/>
  <c r="F170" i="15" l="1"/>
  <c r="G170" i="15" s="1"/>
  <c r="G169" i="15"/>
  <c r="H170" i="15"/>
  <c r="D171" i="15"/>
  <c r="C171" i="15"/>
  <c r="E171" i="15" s="1"/>
  <c r="D172" i="15" l="1"/>
  <c r="C172" i="15"/>
  <c r="F171" i="15"/>
  <c r="G171" i="15" s="1"/>
  <c r="H171" i="15"/>
  <c r="C173" i="15" l="1"/>
  <c r="H173" i="15" s="1"/>
  <c r="H172" i="15"/>
  <c r="F172" i="15"/>
  <c r="D173" i="15"/>
  <c r="E172" i="15"/>
  <c r="C174" i="15" l="1"/>
  <c r="H174" i="15" s="1"/>
  <c r="E173" i="15"/>
  <c r="G172" i="15"/>
  <c r="F173" i="15"/>
  <c r="D174" i="15"/>
  <c r="C175" i="15" l="1"/>
  <c r="E175" i="15" s="1"/>
  <c r="G173" i="15"/>
  <c r="E174" i="15"/>
  <c r="F174" i="15"/>
  <c r="D175" i="15"/>
  <c r="D176" i="15" l="1"/>
  <c r="H175" i="15"/>
  <c r="G174" i="15"/>
  <c r="F175" i="15"/>
  <c r="G175" i="15" s="1"/>
  <c r="C176" i="15"/>
  <c r="F176" i="15" s="1"/>
  <c r="C177" i="15" l="1"/>
  <c r="H176" i="15"/>
  <c r="E176" i="15"/>
  <c r="G176" i="15" s="1"/>
  <c r="D177" i="15"/>
  <c r="D178" i="15" l="1"/>
  <c r="F177" i="15"/>
  <c r="C178" i="15"/>
  <c r="H177" i="15"/>
  <c r="E177" i="15"/>
  <c r="D179" i="15" l="1"/>
  <c r="G177" i="15"/>
  <c r="F178" i="15"/>
  <c r="H178" i="15"/>
  <c r="C179" i="15"/>
  <c r="H179" i="15" s="1"/>
  <c r="E178" i="15"/>
  <c r="G178" i="15" l="1"/>
  <c r="F179" i="15"/>
  <c r="D180" i="15"/>
  <c r="E179" i="15"/>
  <c r="C180" i="15"/>
  <c r="D181" i="15" l="1"/>
  <c r="G179" i="15"/>
  <c r="E180" i="15"/>
  <c r="F180" i="15"/>
  <c r="C181" i="15"/>
  <c r="H181" i="15" s="1"/>
  <c r="H180" i="15"/>
  <c r="G180" i="15" l="1"/>
  <c r="E181" i="15"/>
  <c r="D182" i="15"/>
  <c r="F181" i="15"/>
  <c r="C182" i="15"/>
  <c r="E182" i="15" s="1"/>
  <c r="G181" i="15" l="1"/>
  <c r="D183" i="15"/>
  <c r="H182" i="15"/>
  <c r="C183" i="15"/>
  <c r="H183" i="15" s="1"/>
  <c r="F182" i="15"/>
  <c r="G182" i="15" s="1"/>
  <c r="D184" i="15" l="1"/>
  <c r="E183" i="15"/>
  <c r="C184" i="15"/>
  <c r="F183" i="15"/>
  <c r="F184" i="15" l="1"/>
  <c r="G183" i="15"/>
  <c r="H184" i="15"/>
  <c r="E184" i="15"/>
  <c r="C185" i="15"/>
  <c r="E185" i="15" s="1"/>
  <c r="D185" i="15"/>
  <c r="G184" i="15" l="1"/>
  <c r="C186" i="15"/>
  <c r="H186" i="15" s="1"/>
  <c r="H185" i="15"/>
  <c r="D186" i="15"/>
  <c r="F185" i="15"/>
  <c r="G185" i="15" s="1"/>
  <c r="C187" i="15" l="1"/>
  <c r="E187" i="15" s="1"/>
  <c r="E186" i="15"/>
  <c r="F186" i="15"/>
  <c r="D187" i="15"/>
  <c r="G186" i="15" l="1"/>
  <c r="H187" i="15"/>
  <c r="C188" i="15"/>
  <c r="H188" i="15" s="1"/>
  <c r="D188" i="15"/>
  <c r="F187" i="15"/>
  <c r="G187" i="15" s="1"/>
  <c r="C189" i="15" l="1"/>
  <c r="H189" i="15" s="1"/>
  <c r="E188" i="15"/>
  <c r="F188" i="15"/>
  <c r="D189" i="15"/>
  <c r="G188" i="15" l="1"/>
  <c r="C190" i="15"/>
  <c r="H190" i="15" s="1"/>
  <c r="E189" i="15"/>
  <c r="F189" i="15"/>
  <c r="D190" i="15"/>
  <c r="E190" i="15" l="1"/>
  <c r="D191" i="15"/>
  <c r="G189" i="15"/>
  <c r="F190" i="15"/>
  <c r="C191" i="15"/>
  <c r="G190" i="15" l="1"/>
  <c r="F191" i="15"/>
  <c r="D192" i="15"/>
  <c r="E191" i="15"/>
  <c r="H191" i="15"/>
  <c r="C192" i="15"/>
  <c r="G191" i="15" l="1"/>
  <c r="C193" i="15"/>
  <c r="H193" i="15" s="1"/>
  <c r="E192" i="15"/>
  <c r="D193" i="15"/>
  <c r="F192" i="15"/>
  <c r="H192" i="15"/>
  <c r="G192" i="15" l="1"/>
  <c r="C194" i="15"/>
  <c r="E194" i="15" s="1"/>
  <c r="E193" i="15"/>
  <c r="F193" i="15"/>
  <c r="D194" i="15"/>
  <c r="C195" i="15" l="1"/>
  <c r="E195" i="15" s="1"/>
  <c r="H194" i="15"/>
  <c r="G193" i="15"/>
  <c r="F194" i="15"/>
  <c r="G194" i="15" s="1"/>
  <c r="D195" i="15"/>
  <c r="C196" i="15" l="1"/>
  <c r="E196" i="15" s="1"/>
  <c r="H195" i="15"/>
  <c r="F195" i="15"/>
  <c r="G195" i="15" s="1"/>
  <c r="D196" i="15"/>
  <c r="C197" i="15" l="1"/>
  <c r="H197" i="15" s="1"/>
  <c r="H196" i="15"/>
  <c r="F196" i="15"/>
  <c r="G196" i="15" s="1"/>
  <c r="D197" i="15"/>
  <c r="C198" i="15" l="1"/>
  <c r="E198" i="15" s="1"/>
  <c r="E197" i="15"/>
  <c r="F197" i="15"/>
  <c r="D198" i="15"/>
  <c r="G197" i="15" l="1"/>
  <c r="H198" i="15"/>
  <c r="C199" i="15"/>
  <c r="H199" i="15" s="1"/>
  <c r="F198" i="15"/>
  <c r="G198" i="15" s="1"/>
  <c r="D199" i="15"/>
  <c r="D200" i="15" l="1"/>
  <c r="E199" i="15"/>
  <c r="F199" i="15"/>
  <c r="C200" i="15"/>
  <c r="F200" i="15" l="1"/>
  <c r="G199" i="15"/>
  <c r="E200" i="15"/>
  <c r="D201" i="15"/>
  <c r="H200" i="15"/>
  <c r="C201" i="15"/>
  <c r="G200" i="15" l="1"/>
  <c r="F201" i="15"/>
  <c r="C202" i="15"/>
  <c r="E202" i="15" s="1"/>
  <c r="H201" i="15"/>
  <c r="D202" i="15"/>
  <c r="E201" i="15"/>
  <c r="G201" i="15" l="1"/>
  <c r="H202" i="15"/>
  <c r="F202" i="15"/>
  <c r="G202" i="15" s="1"/>
  <c r="C203" i="15"/>
  <c r="H203" i="15" s="1"/>
  <c r="D203" i="15"/>
  <c r="C204" i="15" l="1"/>
  <c r="H204" i="15" s="1"/>
  <c r="F203" i="15"/>
  <c r="D204" i="15"/>
  <c r="E203" i="15"/>
  <c r="E204" i="15" l="1"/>
  <c r="D205" i="15"/>
  <c r="G203" i="15"/>
  <c r="F204" i="15"/>
  <c r="C205" i="15"/>
  <c r="G204" i="15" l="1"/>
  <c r="C206" i="15"/>
  <c r="H206" i="15" s="1"/>
  <c r="H205" i="15"/>
  <c r="D206" i="15"/>
  <c r="F205" i="15"/>
  <c r="E205" i="15"/>
  <c r="C207" i="15" l="1"/>
  <c r="E207" i="15" s="1"/>
  <c r="E206" i="15"/>
  <c r="G205" i="15"/>
  <c r="F206" i="15"/>
  <c r="D207" i="15"/>
  <c r="D208" i="15" l="1"/>
  <c r="G206" i="15"/>
  <c r="H207" i="15"/>
  <c r="F207" i="15"/>
  <c r="G207" i="15" s="1"/>
  <c r="C208" i="15"/>
  <c r="C209" i="15" l="1"/>
  <c r="E209" i="15" s="1"/>
  <c r="H208" i="15"/>
  <c r="E208" i="15"/>
  <c r="D209" i="15"/>
  <c r="F208" i="15"/>
  <c r="C210" i="15" l="1"/>
  <c r="H210" i="15" s="1"/>
  <c r="H209" i="15"/>
  <c r="G208" i="15"/>
  <c r="F209" i="15"/>
  <c r="G209" i="15" s="1"/>
  <c r="D210" i="15"/>
  <c r="D211" i="15" l="1"/>
  <c r="E210" i="15"/>
  <c r="F210" i="15"/>
  <c r="C211" i="15"/>
  <c r="E211" i="15" s="1"/>
  <c r="G210" i="15" l="1"/>
  <c r="H211" i="15"/>
  <c r="F211" i="15"/>
  <c r="G211" i="15" s="1"/>
  <c r="C212" i="15"/>
  <c r="D212" i="15"/>
  <c r="C213" i="15" l="1"/>
  <c r="H213" i="15" s="1"/>
  <c r="F212" i="15"/>
  <c r="D213" i="15"/>
  <c r="H212" i="15"/>
  <c r="E212" i="15"/>
  <c r="G212" i="15" l="1"/>
  <c r="C214" i="15"/>
  <c r="H214" i="15" s="1"/>
  <c r="F213" i="15"/>
  <c r="E213" i="15"/>
  <c r="D214" i="15"/>
  <c r="G213" i="15" l="1"/>
  <c r="C215" i="15"/>
  <c r="E215" i="15" s="1"/>
  <c r="E214" i="15"/>
  <c r="F214" i="15"/>
  <c r="D215" i="15"/>
  <c r="G214" i="15" l="1"/>
  <c r="H215" i="15"/>
  <c r="C216" i="15"/>
  <c r="E216" i="15" s="1"/>
  <c r="F215" i="15"/>
  <c r="G215" i="15" s="1"/>
  <c r="D216" i="15"/>
  <c r="C217" i="15" l="1"/>
  <c r="E217" i="15" s="1"/>
  <c r="H216" i="15"/>
  <c r="D217" i="15"/>
  <c r="F216" i="15"/>
  <c r="G216" i="15" s="1"/>
  <c r="C218" i="15" l="1"/>
  <c r="H218" i="15" s="1"/>
  <c r="H217" i="15"/>
  <c r="F217" i="15"/>
  <c r="G217" i="15" s="1"/>
  <c r="D218" i="15"/>
  <c r="F218" i="15" l="1"/>
  <c r="E218" i="15"/>
  <c r="D219" i="15"/>
  <c r="C219" i="15"/>
  <c r="D220" i="15" l="1"/>
  <c r="G218" i="15"/>
  <c r="H219" i="15"/>
  <c r="C220" i="15"/>
  <c r="E220" i="15" s="1"/>
  <c r="F219" i="15"/>
  <c r="E219" i="15"/>
  <c r="G219" i="15" l="1"/>
  <c r="C221" i="15"/>
  <c r="E221" i="15" s="1"/>
  <c r="F220" i="15"/>
  <c r="G220" i="15" s="1"/>
  <c r="H220" i="15"/>
  <c r="D221" i="15"/>
  <c r="H221" i="15" l="1"/>
  <c r="F221" i="15"/>
  <c r="G221" i="15" s="1"/>
  <c r="D222" i="15"/>
  <c r="C222" i="15"/>
  <c r="H222" i="15" s="1"/>
  <c r="C223" i="15" l="1"/>
  <c r="E223" i="15" s="1"/>
  <c r="D223" i="15"/>
  <c r="F222" i="15"/>
  <c r="E222" i="15"/>
  <c r="H223" i="15" l="1"/>
  <c r="G222" i="15"/>
  <c r="F223" i="15"/>
  <c r="G223" i="15" s="1"/>
  <c r="D224" i="15"/>
  <c r="C224" i="15"/>
  <c r="F224" i="15" l="1"/>
  <c r="C225" i="15"/>
  <c r="H224" i="15"/>
  <c r="E224" i="15"/>
  <c r="D225" i="15"/>
  <c r="G224" i="15" l="1"/>
  <c r="F225" i="15"/>
  <c r="D226" i="15"/>
  <c r="E225" i="15"/>
  <c r="H225" i="15"/>
  <c r="C226" i="15"/>
  <c r="E226" i="15" s="1"/>
  <c r="G225" i="15" l="1"/>
  <c r="D227" i="15"/>
  <c r="C227" i="15"/>
  <c r="H226" i="15"/>
  <c r="F226" i="15"/>
  <c r="G226" i="15" s="1"/>
  <c r="D228" i="15" l="1"/>
  <c r="H227" i="15"/>
  <c r="E227" i="15"/>
  <c r="C228" i="15"/>
  <c r="F227" i="15"/>
  <c r="D229" i="15" l="1"/>
  <c r="G227" i="15"/>
  <c r="C229" i="15"/>
  <c r="E229" i="15" s="1"/>
  <c r="H228" i="15"/>
  <c r="F228" i="15"/>
  <c r="E228" i="15"/>
  <c r="G228" i="15" l="1"/>
  <c r="D230" i="15"/>
  <c r="F229" i="15"/>
  <c r="G229" i="15" s="1"/>
  <c r="H229" i="15"/>
  <c r="C230" i="15"/>
  <c r="H230" i="15" s="1"/>
  <c r="E230" i="15" l="1"/>
  <c r="D231" i="15"/>
  <c r="F230" i="15"/>
  <c r="C231" i="15"/>
  <c r="F231" i="15" l="1"/>
  <c r="G230" i="15"/>
  <c r="C232" i="15"/>
  <c r="H232" i="15" s="1"/>
  <c r="E231" i="15"/>
  <c r="H231" i="15"/>
  <c r="D232" i="15"/>
  <c r="G231" i="15" l="1"/>
  <c r="C233" i="15"/>
  <c r="E233" i="15" s="1"/>
  <c r="E232" i="15"/>
  <c r="F232" i="15"/>
  <c r="D233" i="15"/>
  <c r="G232" i="15" l="1"/>
  <c r="C234" i="15"/>
  <c r="E234" i="15" s="1"/>
  <c r="H233" i="15"/>
  <c r="F233" i="15"/>
  <c r="G233" i="15" s="1"/>
  <c r="D234" i="15"/>
  <c r="C235" i="15" l="1"/>
  <c r="E235" i="15" s="1"/>
  <c r="H234" i="15"/>
  <c r="F234" i="15"/>
  <c r="G234" i="15" s="1"/>
  <c r="D235" i="15"/>
  <c r="H235" i="15" l="1"/>
  <c r="F235" i="15"/>
  <c r="G235" i="15" s="1"/>
  <c r="C236" i="15"/>
  <c r="D236" i="15"/>
  <c r="F236" i="15" l="1"/>
  <c r="D237" i="15"/>
  <c r="C237" i="15"/>
  <c r="H237" i="15" s="1"/>
  <c r="E236" i="15"/>
  <c r="H236" i="15"/>
  <c r="G236" i="15" l="1"/>
  <c r="E237" i="15"/>
  <c r="C238" i="15"/>
  <c r="H238" i="15" s="1"/>
  <c r="F237" i="15"/>
  <c r="D238" i="15"/>
  <c r="G237" i="15" l="1"/>
  <c r="D239" i="15"/>
  <c r="E238" i="15"/>
  <c r="C239" i="15"/>
  <c r="F238" i="15"/>
  <c r="F239" i="15" l="1"/>
  <c r="G238" i="15"/>
  <c r="H239" i="15"/>
  <c r="C240" i="15"/>
  <c r="H240" i="15" s="1"/>
  <c r="D240" i="15"/>
  <c r="E239" i="15"/>
  <c r="G239" i="15" l="1"/>
  <c r="C241" i="15"/>
  <c r="E241" i="15" s="1"/>
  <c r="D241" i="15"/>
  <c r="E240" i="15"/>
  <c r="F240" i="15"/>
  <c r="H241" i="15" l="1"/>
  <c r="F241" i="15"/>
  <c r="G241" i="15" s="1"/>
  <c r="D242" i="15"/>
  <c r="G240" i="15"/>
  <c r="C242" i="15"/>
  <c r="E242" i="15" s="1"/>
  <c r="H242" i="15" l="1"/>
  <c r="F242" i="15"/>
  <c r="G242" i="15" s="1"/>
  <c r="D243" i="15"/>
  <c r="C243" i="15"/>
  <c r="E243" i="15" s="1"/>
  <c r="C244" i="15" l="1"/>
  <c r="H244" i="15" s="1"/>
  <c r="F243" i="15"/>
  <c r="G243" i="15" s="1"/>
  <c r="D244" i="15"/>
  <c r="H243" i="15"/>
  <c r="D245" i="15" l="1"/>
  <c r="E244" i="15"/>
  <c r="F244" i="15"/>
  <c r="C245" i="15"/>
  <c r="E245" i="15" s="1"/>
  <c r="G244" i="15" l="1"/>
  <c r="C246" i="15"/>
  <c r="E246" i="15" s="1"/>
  <c r="H245" i="15"/>
  <c r="F245" i="15"/>
  <c r="G245" i="15" s="1"/>
  <c r="D246" i="15"/>
  <c r="C247" i="15" l="1"/>
  <c r="H247" i="15" s="1"/>
  <c r="H246" i="15"/>
  <c r="F246" i="15"/>
  <c r="G246" i="15" s="1"/>
  <c r="D247" i="15"/>
  <c r="D248" i="15" l="1"/>
  <c r="E247" i="15"/>
  <c r="F247" i="15"/>
  <c r="C248" i="15"/>
  <c r="F248" i="15" l="1"/>
  <c r="G247" i="15"/>
  <c r="D249" i="15"/>
  <c r="C249" i="15"/>
  <c r="E249" i="15" s="1"/>
  <c r="E248" i="15"/>
  <c r="H248" i="15"/>
  <c r="G248" i="15" l="1"/>
  <c r="D250" i="15"/>
  <c r="H249" i="15"/>
  <c r="F249" i="15"/>
  <c r="G249" i="15" s="1"/>
  <c r="C250" i="15"/>
  <c r="E250" i="15" s="1"/>
  <c r="C251" i="15" l="1"/>
  <c r="H251" i="15" s="1"/>
  <c r="D251" i="15"/>
  <c r="F250" i="15"/>
  <c r="G250" i="15" s="1"/>
  <c r="H250" i="15"/>
  <c r="E251" i="15" l="1"/>
  <c r="C252" i="15"/>
  <c r="D252" i="15"/>
  <c r="F251" i="15"/>
  <c r="G251" i="15" l="1"/>
  <c r="F252" i="15"/>
  <c r="C253" i="15"/>
  <c r="H253" i="15" s="1"/>
  <c r="H252" i="15"/>
  <c r="E252" i="15"/>
  <c r="D253" i="15"/>
  <c r="G252" i="15" l="1"/>
  <c r="D254" i="15"/>
  <c r="E253" i="15"/>
  <c r="C254" i="15"/>
  <c r="F253" i="15"/>
  <c r="C255" i="15" l="1"/>
  <c r="H255" i="15" s="1"/>
  <c r="G253" i="15"/>
  <c r="H254" i="15"/>
  <c r="D255" i="15"/>
  <c r="E254" i="15"/>
  <c r="F254" i="15"/>
  <c r="E255" i="15" l="1"/>
  <c r="C256" i="15"/>
  <c r="E256" i="15" s="1"/>
  <c r="G254" i="15"/>
  <c r="D256" i="15"/>
  <c r="F255" i="15"/>
  <c r="G255" i="15" l="1"/>
  <c r="H256" i="15"/>
  <c r="C257" i="15"/>
  <c r="E257" i="15" s="1"/>
  <c r="F256" i="15"/>
  <c r="G256" i="15" s="1"/>
  <c r="D257" i="15"/>
  <c r="H257" i="15" l="1"/>
  <c r="C258" i="15"/>
  <c r="E258" i="15" s="1"/>
  <c r="D258" i="15"/>
  <c r="F257" i="15"/>
  <c r="G257" i="15" s="1"/>
  <c r="H258" i="15" l="1"/>
  <c r="C259" i="15"/>
  <c r="E259" i="15" s="1"/>
  <c r="F258" i="15"/>
  <c r="G258" i="15" s="1"/>
  <c r="D259" i="15"/>
  <c r="H259" i="15" l="1"/>
  <c r="C260" i="15"/>
  <c r="E260" i="15" s="1"/>
  <c r="F259" i="15"/>
  <c r="G259" i="15" s="1"/>
  <c r="D260" i="15"/>
  <c r="H260" i="15" l="1"/>
  <c r="D261" i="15"/>
  <c r="F260" i="15"/>
  <c r="G260" i="15" s="1"/>
  <c r="C261" i="15"/>
  <c r="E261" i="15" s="1"/>
  <c r="C262" i="15" l="1"/>
  <c r="F261" i="15"/>
  <c r="G261" i="15" s="1"/>
  <c r="H261" i="15"/>
  <c r="D262" i="15"/>
  <c r="F262" i="15" l="1"/>
  <c r="C263" i="15"/>
  <c r="D263" i="15"/>
  <c r="E262" i="15"/>
  <c r="H262" i="15"/>
  <c r="G262" i="15" l="1"/>
  <c r="F263" i="15"/>
  <c r="C264" i="15"/>
  <c r="E264" i="15" s="1"/>
  <c r="H263" i="15"/>
  <c r="E263" i="15"/>
  <c r="D264" i="15"/>
  <c r="G263" i="15" l="1"/>
  <c r="C265" i="15"/>
  <c r="D265" i="15"/>
  <c r="F264" i="15"/>
  <c r="G264" i="15" s="1"/>
  <c r="H264" i="15"/>
  <c r="F265" i="15" l="1"/>
  <c r="H265" i="15"/>
  <c r="E265" i="15"/>
  <c r="D266" i="15"/>
  <c r="C266" i="15"/>
  <c r="H266" i="15" s="1"/>
  <c r="G265" i="15" l="1"/>
  <c r="F266" i="15"/>
  <c r="C267" i="15"/>
  <c r="E266" i="15"/>
  <c r="D267" i="15"/>
  <c r="C268" i="15" l="1"/>
  <c r="H268" i="15" s="1"/>
  <c r="G266" i="15"/>
  <c r="D268" i="15"/>
  <c r="F267" i="15"/>
  <c r="E267" i="15"/>
  <c r="H267" i="15"/>
  <c r="E268" i="15" l="1"/>
  <c r="F268" i="15"/>
  <c r="D269" i="15"/>
  <c r="G267" i="15"/>
  <c r="C269" i="15"/>
  <c r="G268" i="15" l="1"/>
  <c r="C270" i="15"/>
  <c r="E270" i="15" s="1"/>
  <c r="F269" i="15"/>
  <c r="D270" i="15"/>
  <c r="H269" i="15"/>
  <c r="E269" i="15"/>
  <c r="F270" i="15" l="1"/>
  <c r="G270" i="15" s="1"/>
  <c r="H270" i="15"/>
  <c r="C271" i="15"/>
  <c r="E271" i="15" s="1"/>
  <c r="G269" i="15"/>
  <c r="D271" i="15"/>
  <c r="H271" i="15" l="1"/>
  <c r="D272" i="15"/>
  <c r="F271" i="15"/>
  <c r="G271" i="15" s="1"/>
  <c r="C272" i="15"/>
  <c r="H272" i="15" s="1"/>
  <c r="F272" i="15" l="1"/>
  <c r="D273" i="15"/>
  <c r="E272" i="15"/>
  <c r="C273" i="15"/>
  <c r="F273" i="15" s="1"/>
  <c r="G272" i="15" l="1"/>
  <c r="E273" i="15"/>
  <c r="G273" i="15" s="1"/>
  <c r="D274" i="15"/>
  <c r="H273" i="15"/>
  <c r="C274" i="15"/>
  <c r="E274" i="15" s="1"/>
  <c r="F274" i="15" l="1"/>
  <c r="G274" i="15" s="1"/>
  <c r="H274" i="15"/>
  <c r="D275" i="15"/>
  <c r="C275" i="15"/>
  <c r="F275" i="15" l="1"/>
  <c r="C276" i="15"/>
  <c r="H276" i="15" s="1"/>
  <c r="H275" i="15"/>
  <c r="E275" i="15"/>
  <c r="D276" i="15"/>
  <c r="G275" i="15" l="1"/>
  <c r="D277" i="15"/>
  <c r="E276" i="15"/>
  <c r="C277" i="15"/>
  <c r="H277" i="15" s="1"/>
  <c r="F276" i="15"/>
  <c r="G276" i="15" l="1"/>
  <c r="D278" i="15"/>
  <c r="F277" i="15"/>
  <c r="E277" i="15"/>
  <c r="C278" i="15"/>
  <c r="G277" i="15" l="1"/>
  <c r="C279" i="15"/>
  <c r="H279" i="15" s="1"/>
  <c r="F278" i="15"/>
  <c r="H278" i="15"/>
  <c r="D279" i="15"/>
  <c r="E278" i="15"/>
  <c r="C280" i="15" l="1"/>
  <c r="E280" i="15" s="1"/>
  <c r="E279" i="15"/>
  <c r="G278" i="15"/>
  <c r="D280" i="15"/>
  <c r="F279" i="15"/>
  <c r="C281" i="15" l="1"/>
  <c r="H281" i="15" s="1"/>
  <c r="H280" i="15"/>
  <c r="G279" i="15"/>
  <c r="F280" i="15"/>
  <c r="G280" i="15" s="1"/>
  <c r="D281" i="15"/>
  <c r="D282" i="15" l="1"/>
  <c r="E281" i="15"/>
  <c r="F281" i="15"/>
  <c r="C282" i="15"/>
  <c r="E282" i="15" s="1"/>
  <c r="G281" i="15" l="1"/>
  <c r="D283" i="15"/>
  <c r="F282" i="15"/>
  <c r="G282" i="15" s="1"/>
  <c r="H282" i="15"/>
  <c r="C283" i="15"/>
  <c r="D284" i="15" l="1"/>
  <c r="E283" i="15"/>
  <c r="H283" i="15"/>
  <c r="C284" i="15"/>
  <c r="F283" i="15"/>
  <c r="C285" i="15" l="1"/>
  <c r="E285" i="15" s="1"/>
  <c r="G283" i="15"/>
  <c r="D285" i="15"/>
  <c r="F284" i="15"/>
  <c r="H284" i="15"/>
  <c r="E284" i="15"/>
  <c r="F285" i="15" l="1"/>
  <c r="G285" i="15" s="1"/>
  <c r="H285" i="15"/>
  <c r="D286" i="15"/>
  <c r="C286" i="15"/>
  <c r="G284" i="15"/>
  <c r="D287" i="15" l="1"/>
  <c r="F286" i="15"/>
  <c r="E286" i="15"/>
  <c r="C287" i="15"/>
  <c r="F287" i="15" s="1"/>
  <c r="H286" i="15"/>
  <c r="G286" i="15" l="1"/>
  <c r="H287" i="15"/>
  <c r="D288" i="15"/>
  <c r="C288" i="15"/>
  <c r="E288" i="15" s="1"/>
  <c r="E287" i="15"/>
  <c r="G287" i="15" s="1"/>
  <c r="F288" i="15" l="1"/>
  <c r="G288" i="15" s="1"/>
  <c r="C289" i="15"/>
  <c r="H289" i="15" s="1"/>
  <c r="D289" i="15"/>
  <c r="H288" i="15"/>
  <c r="F289" i="15" l="1"/>
  <c r="C290" i="15"/>
  <c r="F290" i="15" s="1"/>
  <c r="E289" i="15"/>
  <c r="D290" i="15"/>
  <c r="G289" i="15" l="1"/>
  <c r="C291" i="15"/>
  <c r="F291" i="15" s="1"/>
  <c r="E290" i="15"/>
  <c r="G290" i="15" s="1"/>
  <c r="H290" i="15"/>
  <c r="D291" i="15"/>
  <c r="E291" i="15" l="1"/>
  <c r="G291" i="15" s="1"/>
  <c r="H291" i="15"/>
  <c r="C292" i="15"/>
  <c r="E292" i="15" s="1"/>
  <c r="D292" i="15"/>
  <c r="D293" i="15" l="1"/>
  <c r="F292" i="15"/>
  <c r="G292" i="15" s="1"/>
  <c r="H292" i="15"/>
  <c r="C293" i="15"/>
  <c r="C294" i="15" l="1"/>
  <c r="H294" i="15" s="1"/>
  <c r="H293" i="15"/>
  <c r="E293" i="15"/>
  <c r="F293" i="15"/>
  <c r="D294" i="15"/>
  <c r="E294" i="15" l="1"/>
  <c r="F294" i="15"/>
  <c r="C295" i="15"/>
  <c r="H295" i="15" s="1"/>
  <c r="G293" i="15"/>
  <c r="D295" i="15"/>
  <c r="G294" i="15" l="1"/>
  <c r="D296" i="15"/>
  <c r="E295" i="15"/>
  <c r="F295" i="15"/>
  <c r="C296" i="15"/>
  <c r="C297" i="15" l="1"/>
  <c r="H297" i="15" s="1"/>
  <c r="G295" i="15"/>
  <c r="E296" i="15"/>
  <c r="F296" i="15"/>
  <c r="H296" i="15"/>
  <c r="D297" i="15"/>
  <c r="F297" i="15" l="1"/>
  <c r="E297" i="15"/>
  <c r="D298" i="15"/>
  <c r="G296" i="15"/>
  <c r="C298" i="15"/>
  <c r="C299" i="15" l="1"/>
  <c r="H299" i="15" s="1"/>
  <c r="G297" i="15"/>
  <c r="E298" i="15"/>
  <c r="H298" i="15"/>
  <c r="F298" i="15"/>
  <c r="D299" i="15"/>
  <c r="D300" i="15" s="1"/>
  <c r="F299" i="15" l="1"/>
  <c r="E299" i="15"/>
  <c r="G298" i="15"/>
  <c r="C300" i="15"/>
  <c r="D301" i="15" s="1"/>
  <c r="G299" i="15" l="1"/>
  <c r="F300" i="15"/>
  <c r="H300" i="15"/>
  <c r="E300" i="15"/>
  <c r="C301" i="15"/>
  <c r="H301" i="15" s="1"/>
  <c r="G300" i="15" l="1"/>
  <c r="D302" i="15"/>
  <c r="F301" i="15"/>
  <c r="E301" i="15"/>
  <c r="C302" i="15"/>
  <c r="D303" i="15" l="1"/>
  <c r="G301" i="15"/>
  <c r="C303" i="15"/>
  <c r="H303" i="15" s="1"/>
  <c r="F302" i="15"/>
  <c r="E302" i="15"/>
  <c r="H302" i="15"/>
  <c r="D304" i="15" l="1"/>
  <c r="F303" i="15"/>
  <c r="E303" i="15"/>
  <c r="C304" i="15"/>
  <c r="F304" i="15" s="1"/>
  <c r="G302" i="15"/>
  <c r="G303" i="15" l="1"/>
  <c r="D305" i="15"/>
  <c r="H304" i="15"/>
  <c r="E304" i="15"/>
  <c r="G304" i="15" s="1"/>
  <c r="C305" i="15"/>
  <c r="F305" i="15" s="1"/>
  <c r="E305" i="15" l="1"/>
  <c r="G305" i="15" s="1"/>
  <c r="D306" i="15"/>
  <c r="H305" i="15"/>
  <c r="C306" i="15"/>
  <c r="H306" i="15" s="1"/>
  <c r="C307" i="15" l="1"/>
  <c r="E307" i="15" s="1"/>
  <c r="F306" i="15"/>
  <c r="D307" i="15"/>
  <c r="E306" i="15"/>
  <c r="D308" i="15" l="1"/>
  <c r="F307" i="15"/>
  <c r="G307" i="15" s="1"/>
  <c r="G306" i="15"/>
  <c r="H307" i="15"/>
  <c r="C308" i="15"/>
  <c r="H308" i="15" s="1"/>
  <c r="D309" i="15" l="1"/>
  <c r="C309" i="15"/>
  <c r="E309" i="15" s="1"/>
  <c r="E308" i="15"/>
  <c r="F308" i="15"/>
  <c r="G308" i="15" l="1"/>
  <c r="D310" i="15"/>
  <c r="F309" i="15"/>
  <c r="G309" i="15" s="1"/>
  <c r="H309" i="15"/>
  <c r="C310" i="15"/>
  <c r="H310" i="15" s="1"/>
  <c r="D311" i="15" l="1"/>
  <c r="C311" i="15"/>
  <c r="F311" i="15" s="1"/>
  <c r="F310" i="15"/>
  <c r="E310" i="15"/>
  <c r="G310" i="15" l="1"/>
  <c r="C312" i="15"/>
  <c r="H312" i="15" s="1"/>
  <c r="H311" i="15"/>
  <c r="D312" i="15"/>
  <c r="E311" i="15"/>
  <c r="G311" i="15" s="1"/>
  <c r="E312" i="15" l="1"/>
  <c r="D313" i="15"/>
  <c r="F312" i="15"/>
  <c r="C313" i="15"/>
  <c r="G312" i="15" l="1"/>
  <c r="D314" i="15"/>
  <c r="E313" i="15"/>
  <c r="H313" i="15"/>
  <c r="C314" i="15"/>
  <c r="H314" i="15" s="1"/>
  <c r="F313" i="15"/>
  <c r="G313" i="15" l="1"/>
  <c r="C315" i="15"/>
  <c r="F315" i="15" s="1"/>
  <c r="E314" i="15"/>
  <c r="D315" i="15"/>
  <c r="F314" i="15"/>
  <c r="C316" i="15" l="1"/>
  <c r="E316" i="15" s="1"/>
  <c r="H315" i="15"/>
  <c r="E315" i="15"/>
  <c r="G315" i="15" s="1"/>
  <c r="G314" i="15"/>
  <c r="D316" i="15"/>
  <c r="C317" i="15" l="1"/>
  <c r="E317" i="15" s="1"/>
  <c r="H316" i="15"/>
  <c r="F316" i="15"/>
  <c r="G316" i="15" s="1"/>
  <c r="D317" i="15"/>
  <c r="H317" i="15"/>
  <c r="C318" i="15" l="1"/>
  <c r="H318" i="15" s="1"/>
  <c r="F317" i="15"/>
  <c r="G317" i="15" s="1"/>
  <c r="D318" i="15"/>
  <c r="F318" i="15" l="1"/>
  <c r="E318" i="15"/>
  <c r="D319" i="15"/>
  <c r="C319" i="15"/>
  <c r="G318" i="15" l="1"/>
  <c r="D320" i="15"/>
  <c r="H319" i="15"/>
  <c r="E319" i="15"/>
  <c r="C320" i="15"/>
  <c r="H320" i="15" s="1"/>
  <c r="F319" i="15"/>
  <c r="G319" i="15" l="1"/>
  <c r="F320" i="15"/>
  <c r="C321" i="15"/>
  <c r="F321" i="15" s="1"/>
  <c r="E320" i="15"/>
  <c r="D321" i="15"/>
  <c r="G320" i="15" l="1"/>
  <c r="D322" i="15"/>
  <c r="H321" i="15"/>
  <c r="C322" i="15"/>
  <c r="E322" i="15" s="1"/>
  <c r="E321" i="15"/>
  <c r="G321" i="15" s="1"/>
  <c r="D323" i="15" l="1"/>
  <c r="H322" i="15"/>
  <c r="F322" i="15"/>
  <c r="G322" i="15" s="1"/>
  <c r="C323" i="15"/>
  <c r="D324" i="15" l="1"/>
  <c r="H323" i="15"/>
  <c r="C324" i="15"/>
  <c r="F324" i="15" s="1"/>
  <c r="F323" i="15"/>
  <c r="E323" i="15"/>
  <c r="C325" i="15" l="1"/>
  <c r="H325" i="15" s="1"/>
  <c r="E324" i="15"/>
  <c r="G324" i="15" s="1"/>
  <c r="H324" i="15"/>
  <c r="D325" i="15"/>
  <c r="G323" i="15"/>
  <c r="C326" i="15" l="1"/>
  <c r="H326" i="15" s="1"/>
  <c r="F325" i="15"/>
  <c r="E325" i="15"/>
  <c r="D326" i="15"/>
  <c r="G325" i="15" l="1"/>
  <c r="E326" i="15"/>
  <c r="C327" i="15"/>
  <c r="E327" i="15" s="1"/>
  <c r="F326" i="15"/>
  <c r="D327" i="15"/>
  <c r="G326" i="15" l="1"/>
  <c r="C328" i="15"/>
  <c r="H328" i="15" s="1"/>
  <c r="F327" i="15"/>
  <c r="G327" i="15" s="1"/>
  <c r="H327" i="15"/>
  <c r="D328" i="15"/>
  <c r="F328" i="15" l="1"/>
  <c r="E328" i="15"/>
  <c r="G328" i="15" s="1"/>
  <c r="C329" i="15"/>
  <c r="H329" i="15" s="1"/>
  <c r="D329" i="15"/>
  <c r="C330" i="15" l="1"/>
  <c r="F330" i="15" s="1"/>
  <c r="F329" i="15"/>
  <c r="E329" i="15"/>
  <c r="D330" i="15"/>
  <c r="D331" i="15" s="1"/>
  <c r="E330" i="15" l="1"/>
  <c r="H330" i="15"/>
  <c r="G329" i="15"/>
  <c r="C331" i="15"/>
  <c r="H331" i="15" s="1"/>
  <c r="G330" i="15"/>
  <c r="E331" i="15" l="1"/>
  <c r="D332" i="15"/>
  <c r="F331" i="15"/>
  <c r="C332" i="15"/>
  <c r="G331" i="15" l="1"/>
  <c r="C333" i="15"/>
  <c r="H333" i="15" s="1"/>
  <c r="F332" i="15"/>
  <c r="D333" i="15"/>
  <c r="H332" i="15"/>
  <c r="E332" i="15"/>
  <c r="D334" i="15" l="1"/>
  <c r="G332" i="15"/>
  <c r="F333" i="15"/>
  <c r="C334" i="15"/>
  <c r="H334" i="15" s="1"/>
  <c r="E333" i="15"/>
  <c r="F334" i="15" l="1"/>
  <c r="C335" i="15"/>
  <c r="E335" i="15" s="1"/>
  <c r="D335" i="15"/>
  <c r="E334" i="15"/>
  <c r="G333" i="15"/>
  <c r="G334" i="15" l="1"/>
  <c r="D336" i="15"/>
  <c r="F335" i="15"/>
  <c r="G335" i="15" s="1"/>
  <c r="H335" i="15"/>
  <c r="C336" i="15"/>
  <c r="H336" i="15" s="1"/>
  <c r="C337" i="15" l="1"/>
  <c r="E337" i="15" s="1"/>
  <c r="F336" i="15"/>
  <c r="E336" i="15"/>
  <c r="D337" i="15"/>
  <c r="C338" i="15" l="1"/>
  <c r="F338" i="15" s="1"/>
  <c r="F337" i="15"/>
  <c r="H337" i="15"/>
  <c r="G336" i="15"/>
  <c r="D338" i="15"/>
  <c r="C339" i="15" s="1"/>
  <c r="G337" i="15"/>
  <c r="E338" i="15"/>
  <c r="H338" i="15" l="1"/>
  <c r="D339" i="15"/>
  <c r="D340" i="15" s="1"/>
  <c r="G338" i="15"/>
  <c r="H339" i="15"/>
  <c r="E339" i="15"/>
  <c r="F339" i="15"/>
  <c r="C340" i="15" l="1"/>
  <c r="H340" i="15" s="1"/>
  <c r="G339" i="15"/>
  <c r="D341" i="15" l="1"/>
  <c r="C341" i="15"/>
  <c r="F341" i="15" s="1"/>
  <c r="F340" i="15"/>
  <c r="E340" i="15"/>
  <c r="H341" i="15" l="1"/>
  <c r="C342" i="15"/>
  <c r="H342" i="15" s="1"/>
  <c r="E341" i="15"/>
  <c r="G341" i="15" s="1"/>
  <c r="G340" i="15"/>
  <c r="D342" i="15"/>
  <c r="F342" i="15" l="1"/>
  <c r="E342" i="15"/>
  <c r="D343" i="15"/>
  <c r="C343" i="15"/>
  <c r="F343" i="15" s="1"/>
  <c r="G342" i="15" l="1"/>
  <c r="D344" i="15"/>
  <c r="H343" i="15"/>
  <c r="E343" i="15"/>
  <c r="G343" i="15" s="1"/>
  <c r="C344" i="15"/>
  <c r="H344" i="15" s="1"/>
  <c r="E344" i="15" l="1"/>
  <c r="D345" i="15"/>
  <c r="F344" i="15"/>
  <c r="C345" i="15"/>
  <c r="E345" i="15" s="1"/>
  <c r="G344" i="15" l="1"/>
  <c r="C346" i="15"/>
  <c r="F346" i="15" s="1"/>
  <c r="D346" i="15"/>
  <c r="H345" i="15"/>
  <c r="F345" i="15"/>
  <c r="G345" i="15" s="1"/>
  <c r="H346" i="15" l="1"/>
  <c r="E346" i="15"/>
  <c r="G346" i="15" s="1"/>
  <c r="D347" i="15"/>
  <c r="C347" i="15"/>
  <c r="E347" i="15" s="1"/>
  <c r="D348" i="15" l="1"/>
  <c r="C348" i="15"/>
  <c r="H347" i="15"/>
  <c r="F347" i="15"/>
  <c r="G347" i="15" s="1"/>
  <c r="D349" i="15" l="1"/>
  <c r="E348" i="15"/>
  <c r="F348" i="15"/>
  <c r="H348" i="15"/>
  <c r="C349" i="15"/>
  <c r="H349" i="15" s="1"/>
  <c r="G348" i="15" l="1"/>
  <c r="C350" i="15"/>
  <c r="F350" i="15" s="1"/>
  <c r="E349" i="15"/>
  <c r="D350" i="15"/>
  <c r="F349" i="15"/>
  <c r="D351" i="15" l="1"/>
  <c r="H350" i="15"/>
  <c r="E350" i="15"/>
  <c r="G350" i="15" s="1"/>
  <c r="C351" i="15"/>
  <c r="F351" i="15" s="1"/>
  <c r="G349" i="15"/>
  <c r="E351" i="15" l="1"/>
  <c r="G351" i="15" s="1"/>
  <c r="H351" i="15"/>
  <c r="D352" i="15"/>
  <c r="C352" i="15"/>
  <c r="H352" i="15" s="1"/>
  <c r="E352" i="15" l="1"/>
  <c r="D353" i="15"/>
  <c r="C353" i="15"/>
  <c r="F353" i="15" s="1"/>
  <c r="F352" i="15"/>
  <c r="G352" i="15" s="1"/>
  <c r="H353" i="15" l="1"/>
  <c r="C354" i="15"/>
  <c r="E354" i="15" s="1"/>
  <c r="E353" i="15"/>
  <c r="G353" i="15" s="1"/>
  <c r="D354" i="15"/>
  <c r="C355" i="15" l="1"/>
  <c r="E355" i="15" s="1"/>
  <c r="H354" i="15"/>
  <c r="F354" i="15"/>
  <c r="G354" i="15" s="1"/>
  <c r="D355" i="15"/>
  <c r="C356" i="15" l="1"/>
  <c r="H355" i="15"/>
  <c r="F355" i="15"/>
  <c r="G355" i="15" s="1"/>
  <c r="D356" i="15"/>
  <c r="D357" i="15" s="1"/>
  <c r="F356" i="15"/>
  <c r="E356" i="15"/>
  <c r="H356" i="15"/>
  <c r="C357" i="15" l="1"/>
  <c r="E357" i="15" s="1"/>
  <c r="G356" i="15"/>
  <c r="D358" i="15" l="1"/>
  <c r="H357" i="15"/>
  <c r="F357" i="15"/>
  <c r="G357" i="15" s="1"/>
  <c r="C358" i="15"/>
  <c r="D359" i="15" l="1"/>
  <c r="F358" i="15"/>
  <c r="E358" i="15"/>
  <c r="H358" i="15"/>
  <c r="C359" i="15"/>
  <c r="H359" i="15" s="1"/>
  <c r="G358" i="15" l="1"/>
  <c r="D360" i="15"/>
  <c r="F359" i="15"/>
  <c r="E359" i="15"/>
  <c r="C360" i="15"/>
  <c r="H360" i="15" s="1"/>
  <c r="G359" i="15" l="1"/>
  <c r="D361" i="15"/>
  <c r="E360" i="15"/>
  <c r="F360" i="15"/>
  <c r="C361" i="15"/>
  <c r="E361" i="15" s="1"/>
  <c r="G360" i="15" l="1"/>
  <c r="C362" i="15"/>
  <c r="F362" i="15" s="1"/>
  <c r="F361" i="15"/>
  <c r="G361" i="15" s="1"/>
  <c r="H361" i="15"/>
  <c r="D362" i="15"/>
  <c r="E362" i="15" l="1"/>
  <c r="G362" i="15" s="1"/>
  <c r="H362" i="15"/>
  <c r="C363" i="15"/>
  <c r="F363" i="15" s="1"/>
  <c r="D363" i="15"/>
  <c r="D364" i="15" l="1"/>
  <c r="E363" i="15"/>
  <c r="G363" i="15" s="1"/>
  <c r="C364" i="15"/>
  <c r="F364" i="15" s="1"/>
  <c r="H363" i="15"/>
  <c r="C365" i="15" l="1"/>
  <c r="H365" i="15" s="1"/>
  <c r="E364" i="15"/>
  <c r="G364" i="15" s="1"/>
  <c r="H364" i="15"/>
  <c r="D365" i="15"/>
  <c r="F365" i="15"/>
  <c r="E365" i="15"/>
  <c r="D366" i="15" l="1"/>
  <c r="C366" i="15"/>
  <c r="H366" i="15" s="1"/>
  <c r="G365" i="15"/>
  <c r="C367" i="15" l="1"/>
  <c r="H367" i="15" s="1"/>
  <c r="D367" i="15"/>
  <c r="E366" i="15"/>
  <c r="F366" i="15"/>
  <c r="E367" i="15" l="1"/>
  <c r="C368" i="15"/>
  <c r="G366" i="15"/>
  <c r="D368" i="15"/>
  <c r="F367" i="15"/>
  <c r="G367" i="15" s="1"/>
  <c r="H368" i="15"/>
  <c r="E368" i="15"/>
  <c r="F368" i="15"/>
  <c r="C369" i="15" l="1"/>
  <c r="E369" i="15" s="1"/>
  <c r="D369" i="15"/>
  <c r="G368" i="15"/>
  <c r="F369" i="15"/>
  <c r="H369" i="15" l="1"/>
  <c r="D370" i="15"/>
  <c r="C370" i="15"/>
  <c r="D371" i="15" s="1"/>
  <c r="G369" i="15"/>
  <c r="F370" i="15" l="1"/>
  <c r="H370" i="15"/>
  <c r="C371" i="15"/>
  <c r="H371" i="15" s="1"/>
  <c r="E370" i="15"/>
  <c r="C372" i="15" l="1"/>
  <c r="H372" i="15" s="1"/>
  <c r="E371" i="15"/>
  <c r="D372" i="15"/>
  <c r="D373" i="15" s="1"/>
  <c r="G370" i="15"/>
  <c r="F371" i="15"/>
  <c r="G371" i="15" s="1"/>
  <c r="C373" i="15"/>
  <c r="F372" i="15"/>
  <c r="E372" i="15"/>
  <c r="G372" i="15" l="1"/>
  <c r="F373" i="15"/>
  <c r="E373" i="15"/>
  <c r="H373" i="15"/>
  <c r="D374" i="15"/>
  <c r="C374" i="15"/>
  <c r="G373" i="15" l="1"/>
  <c r="D375" i="15"/>
  <c r="C375" i="15"/>
  <c r="H374" i="15"/>
  <c r="E374" i="15"/>
  <c r="F374" i="15"/>
  <c r="G374" i="15" l="1"/>
  <c r="H375" i="15"/>
  <c r="E375" i="15"/>
  <c r="F375" i="15"/>
  <c r="D376" i="15"/>
  <c r="C376" i="15"/>
  <c r="H376" i="15" l="1"/>
  <c r="F376" i="15"/>
  <c r="E376" i="15"/>
  <c r="G375" i="15"/>
  <c r="D377" i="15"/>
  <c r="C377" i="15"/>
  <c r="G376" i="15" l="1"/>
  <c r="H377" i="15"/>
  <c r="F377" i="15"/>
  <c r="E377" i="15"/>
  <c r="D378" i="15"/>
  <c r="C378" i="15"/>
  <c r="G377" i="15" l="1"/>
  <c r="C379" i="15"/>
  <c r="D379" i="15"/>
  <c r="H378" i="15"/>
  <c r="F378" i="15"/>
  <c r="E378" i="15"/>
  <c r="C380" i="15" l="1"/>
  <c r="D380" i="15"/>
  <c r="G378" i="15"/>
  <c r="H379" i="15"/>
  <c r="E379" i="15"/>
  <c r="F379" i="15"/>
  <c r="C381" i="15" l="1"/>
  <c r="D381" i="15"/>
  <c r="G379" i="15"/>
  <c r="F380" i="15"/>
  <c r="H380" i="15"/>
  <c r="E380" i="15"/>
  <c r="G380" i="15" l="1"/>
  <c r="D382" i="15"/>
  <c r="C382" i="15"/>
  <c r="E381" i="15"/>
  <c r="H381" i="15"/>
  <c r="F381" i="15"/>
  <c r="G381" i="15" l="1"/>
  <c r="F382" i="15"/>
  <c r="E382" i="15"/>
  <c r="H382" i="15"/>
  <c r="C383" i="15"/>
  <c r="D383" i="15"/>
  <c r="D384" i="15" l="1"/>
  <c r="C384" i="15"/>
  <c r="G382" i="15"/>
  <c r="H383" i="15"/>
  <c r="E383" i="15"/>
  <c r="F383" i="15"/>
  <c r="H384" i="15" l="1"/>
  <c r="F384" i="15"/>
  <c r="E384" i="15"/>
  <c r="G383" i="15"/>
  <c r="C385" i="15"/>
  <c r="D385" i="15"/>
  <c r="G384" i="15" l="1"/>
  <c r="D386" i="15"/>
  <c r="C386" i="15"/>
  <c r="E385" i="15"/>
  <c r="H385" i="15"/>
  <c r="F385" i="15"/>
  <c r="G385" i="15" l="1"/>
  <c r="H386" i="15"/>
  <c r="E386" i="15"/>
  <c r="F386" i="15"/>
  <c r="D387" i="15"/>
  <c r="C387" i="15"/>
  <c r="C388" i="15" l="1"/>
  <c r="D388" i="15"/>
  <c r="G386" i="15"/>
  <c r="H387" i="15"/>
  <c r="E387" i="15"/>
  <c r="F387" i="15"/>
  <c r="D389" i="15" l="1"/>
  <c r="C389" i="15"/>
  <c r="G387" i="15"/>
  <c r="E388" i="15"/>
  <c r="H388" i="15"/>
  <c r="F388" i="15"/>
  <c r="G388" i="15" l="1"/>
  <c r="F389" i="15"/>
  <c r="H389" i="15"/>
  <c r="E389" i="15"/>
  <c r="C390" i="15"/>
  <c r="D390" i="15"/>
  <c r="G389" i="15" l="1"/>
  <c r="C391" i="15"/>
  <c r="D391" i="15"/>
  <c r="H390" i="15"/>
  <c r="E390" i="15"/>
  <c r="F390" i="15"/>
  <c r="G390" i="15" l="1"/>
  <c r="C392" i="15"/>
  <c r="D392" i="15"/>
  <c r="H391" i="15"/>
  <c r="E391" i="15"/>
  <c r="F391" i="15"/>
  <c r="G391" i="15" l="1"/>
  <c r="D393" i="15"/>
  <c r="C393" i="15"/>
  <c r="H392" i="15"/>
  <c r="E392" i="15"/>
  <c r="F392" i="15"/>
  <c r="G392" i="15" l="1"/>
  <c r="H393" i="15"/>
  <c r="F393" i="15"/>
  <c r="E393" i="15"/>
  <c r="C394" i="15"/>
  <c r="D394" i="15"/>
  <c r="H394" i="15" l="1"/>
  <c r="F394" i="15"/>
  <c r="E394" i="15"/>
  <c r="G393" i="15"/>
  <c r="C395" i="15"/>
  <c r="D395" i="15"/>
  <c r="G394" i="15" l="1"/>
  <c r="D396" i="15"/>
  <c r="C396" i="15"/>
  <c r="E395" i="15"/>
  <c r="F395" i="15"/>
  <c r="H395" i="15"/>
  <c r="G395" i="15" l="1"/>
  <c r="H396" i="15"/>
  <c r="E396" i="15"/>
  <c r="F396" i="15"/>
  <c r="D397" i="15"/>
  <c r="C397" i="15"/>
  <c r="D398" i="15" l="1"/>
  <c r="C398" i="15"/>
  <c r="H397" i="15"/>
  <c r="F397" i="15"/>
  <c r="E397" i="15"/>
  <c r="G396" i="15"/>
  <c r="E398" i="15" l="1"/>
  <c r="H398" i="15"/>
  <c r="F398" i="15"/>
  <c r="G397" i="15"/>
  <c r="D399" i="15"/>
  <c r="C399" i="15"/>
  <c r="H399" i="15" l="1"/>
  <c r="F399" i="15"/>
  <c r="E399" i="15"/>
  <c r="D400" i="15"/>
  <c r="C400" i="15"/>
  <c r="G398" i="15"/>
  <c r="G399" i="15" l="1"/>
  <c r="C401" i="15"/>
  <c r="D401" i="15"/>
  <c r="F400" i="15"/>
  <c r="H400" i="15"/>
  <c r="E400" i="15"/>
  <c r="G400" i="15" l="1"/>
  <c r="C402" i="15"/>
  <c r="D402" i="15"/>
  <c r="E401" i="15"/>
  <c r="F401" i="15"/>
  <c r="H401" i="15"/>
  <c r="G401" i="15" l="1"/>
  <c r="C403" i="15"/>
  <c r="D403" i="15"/>
  <c r="E402" i="15"/>
  <c r="F402" i="15"/>
  <c r="H402" i="15"/>
  <c r="G402" i="15" l="1"/>
  <c r="C404" i="15"/>
  <c r="D404" i="15"/>
  <c r="H403" i="15"/>
  <c r="F403" i="15"/>
  <c r="E403" i="15"/>
  <c r="G403" i="15" l="1"/>
  <c r="C405" i="15"/>
  <c r="D405" i="15"/>
  <c r="H404" i="15"/>
  <c r="E404" i="15"/>
  <c r="F404" i="15"/>
  <c r="G404" i="15" l="1"/>
  <c r="D406" i="15"/>
  <c r="C406" i="15"/>
  <c r="H405" i="15"/>
  <c r="F405" i="15"/>
  <c r="E405" i="15"/>
  <c r="F406" i="15" l="1"/>
  <c r="E406" i="15"/>
  <c r="H406" i="15"/>
  <c r="G405" i="15"/>
  <c r="C407" i="15"/>
  <c r="D407" i="15"/>
  <c r="G406" i="15" l="1"/>
  <c r="D408" i="15"/>
  <c r="C408" i="15"/>
  <c r="H407" i="15"/>
  <c r="E407" i="15"/>
  <c r="F407" i="15"/>
  <c r="G407" i="15" l="1"/>
  <c r="H408" i="15"/>
  <c r="E408" i="15"/>
  <c r="F408" i="15"/>
  <c r="D409" i="15"/>
  <c r="C409" i="15"/>
  <c r="C410" i="15" l="1"/>
  <c r="D410" i="15"/>
  <c r="G408" i="15"/>
  <c r="H409" i="15"/>
  <c r="E409" i="15"/>
  <c r="F409" i="15"/>
  <c r="C411" i="15" l="1"/>
  <c r="D411" i="15"/>
  <c r="G409" i="15"/>
  <c r="F410" i="15"/>
  <c r="E410" i="15"/>
  <c r="H410" i="15"/>
  <c r="C412" i="15" l="1"/>
  <c r="D412" i="15"/>
  <c r="G410" i="15"/>
  <c r="E411" i="15"/>
  <c r="H411" i="15"/>
  <c r="F411" i="15"/>
  <c r="G411" i="15" l="1"/>
  <c r="C413" i="15"/>
  <c r="D413" i="15"/>
  <c r="H412" i="15"/>
  <c r="F412" i="15"/>
  <c r="E412" i="15"/>
  <c r="G412" i="15" l="1"/>
  <c r="C414" i="15"/>
  <c r="D414" i="15"/>
  <c r="E413" i="15"/>
  <c r="F413" i="15"/>
  <c r="H413" i="15"/>
  <c r="G413" i="15" l="1"/>
  <c r="D415" i="15"/>
  <c r="C415" i="15"/>
  <c r="H414" i="15"/>
  <c r="E414" i="15"/>
  <c r="F414" i="15"/>
  <c r="G414" i="15" l="1"/>
  <c r="F415" i="15"/>
  <c r="E415" i="15"/>
  <c r="H415" i="15"/>
  <c r="C416" i="15"/>
  <c r="D416" i="15"/>
  <c r="G415" i="15" l="1"/>
  <c r="E416" i="15"/>
  <c r="H416" i="15"/>
  <c r="F416" i="15"/>
  <c r="D417" i="15"/>
  <c r="C417" i="15"/>
  <c r="C418" i="15" l="1"/>
  <c r="D418" i="15"/>
  <c r="E417" i="15"/>
  <c r="H417" i="15"/>
  <c r="F417" i="15"/>
  <c r="G416" i="15"/>
  <c r="G417" i="15" l="1"/>
  <c r="C419" i="15"/>
  <c r="D419" i="15"/>
  <c r="H418" i="15"/>
  <c r="E418" i="15"/>
  <c r="F418" i="15"/>
  <c r="G418" i="15" l="1"/>
  <c r="D420" i="15"/>
  <c r="C420" i="15"/>
  <c r="H419" i="15"/>
  <c r="F419" i="15"/>
  <c r="E419" i="15"/>
  <c r="G419" i="15" l="1"/>
  <c r="H420" i="15"/>
  <c r="E420" i="15"/>
  <c r="F420" i="15"/>
  <c r="C421" i="15"/>
  <c r="D421" i="15"/>
  <c r="H421" i="15" l="1"/>
  <c r="F421" i="15"/>
  <c r="E421" i="15"/>
  <c r="G420" i="15"/>
  <c r="D422" i="15"/>
  <c r="C422" i="15"/>
  <c r="G421" i="15" l="1"/>
  <c r="E422" i="15"/>
  <c r="F422" i="15"/>
  <c r="H422" i="15"/>
  <c r="C423" i="15"/>
  <c r="D423" i="15"/>
  <c r="F423" i="15" l="1"/>
  <c r="H423" i="15"/>
  <c r="E423" i="15"/>
  <c r="D424" i="15"/>
  <c r="C424" i="15"/>
  <c r="G422" i="15"/>
  <c r="G423" i="15" l="1"/>
  <c r="C425" i="15"/>
  <c r="D425" i="15"/>
  <c r="F424" i="15"/>
  <c r="H424" i="15"/>
  <c r="E424" i="15"/>
  <c r="C426" i="15" l="1"/>
  <c r="D426" i="15"/>
  <c r="G424" i="15"/>
  <c r="E425" i="15"/>
  <c r="H425" i="15"/>
  <c r="F425" i="15"/>
  <c r="G425" i="15" l="1"/>
  <c r="C427" i="15"/>
  <c r="D427" i="15"/>
  <c r="H426" i="15"/>
  <c r="F426" i="15"/>
  <c r="E426" i="15"/>
  <c r="G426" i="15" l="1"/>
  <c r="C428" i="15"/>
  <c r="D428" i="15"/>
  <c r="E427" i="15"/>
  <c r="F427" i="15"/>
  <c r="H427" i="15"/>
  <c r="G427" i="15" l="1"/>
  <c r="D429" i="15"/>
  <c r="C429" i="15"/>
  <c r="H428" i="15"/>
  <c r="E428" i="15"/>
  <c r="F428" i="15"/>
  <c r="G428" i="15" l="1"/>
  <c r="H429" i="15"/>
  <c r="E429" i="15"/>
  <c r="F429" i="15"/>
  <c r="D430" i="15"/>
  <c r="C430" i="15"/>
  <c r="G429" i="15" l="1"/>
  <c r="C431" i="15"/>
  <c r="D431" i="15"/>
  <c r="H430" i="15"/>
  <c r="E430" i="15"/>
  <c r="F430" i="15"/>
  <c r="G430" i="15" l="1"/>
  <c r="C432" i="15"/>
  <c r="D432" i="15"/>
  <c r="E431" i="15"/>
  <c r="H431" i="15"/>
  <c r="F431" i="15"/>
  <c r="G431" i="15" l="1"/>
  <c r="C433" i="15"/>
  <c r="D433" i="15"/>
  <c r="E432" i="15"/>
  <c r="F432" i="15"/>
  <c r="H432" i="15"/>
  <c r="G432" i="15" l="1"/>
  <c r="C434" i="15"/>
  <c r="D434" i="15"/>
  <c r="F433" i="15"/>
  <c r="H433" i="15"/>
  <c r="E433" i="15"/>
  <c r="G433" i="15" l="1"/>
  <c r="C435" i="15"/>
  <c r="D435" i="15"/>
  <c r="E434" i="15"/>
  <c r="H434" i="15"/>
  <c r="F434" i="15"/>
  <c r="G434" i="15" l="1"/>
  <c r="D436" i="15"/>
  <c r="C436" i="15"/>
  <c r="E435" i="15"/>
  <c r="H435" i="15"/>
  <c r="F435" i="15"/>
  <c r="G435" i="15" l="1"/>
  <c r="E436" i="15"/>
  <c r="H436" i="15"/>
  <c r="F436" i="15"/>
  <c r="D437" i="15"/>
  <c r="C437" i="15"/>
  <c r="D438" i="15" l="1"/>
  <c r="C438" i="15"/>
  <c r="F437" i="15"/>
  <c r="H437" i="15"/>
  <c r="E437" i="15"/>
  <c r="G436" i="15"/>
  <c r="E438" i="15" l="1"/>
  <c r="F438" i="15"/>
  <c r="H438" i="15"/>
  <c r="G437" i="15"/>
  <c r="C439" i="15"/>
  <c r="D439" i="15"/>
  <c r="C440" i="15" l="1"/>
  <c r="D440" i="15"/>
  <c r="H439" i="15"/>
  <c r="F439" i="15"/>
  <c r="E439" i="15"/>
  <c r="G438" i="15"/>
  <c r="G439" i="15" l="1"/>
  <c r="C441" i="15"/>
  <c r="D441" i="15"/>
  <c r="F440" i="15"/>
  <c r="E440" i="15"/>
  <c r="H440" i="15"/>
  <c r="G440" i="15" l="1"/>
  <c r="D442" i="15"/>
  <c r="C442" i="15"/>
  <c r="H441" i="15"/>
  <c r="E441" i="15"/>
  <c r="F441" i="15"/>
  <c r="G441" i="15" l="1"/>
  <c r="F442" i="15"/>
  <c r="H442" i="15"/>
  <c r="E442" i="15"/>
  <c r="C443" i="15"/>
  <c r="D443" i="15"/>
  <c r="G442" i="15" l="1"/>
  <c r="C444" i="15"/>
  <c r="D444" i="15"/>
  <c r="F443" i="15"/>
  <c r="E443" i="15"/>
  <c r="H443" i="15"/>
  <c r="G443" i="15" l="1"/>
  <c r="C445" i="15"/>
  <c r="D445" i="15"/>
  <c r="F444" i="15"/>
  <c r="H444" i="15"/>
  <c r="E444" i="15"/>
  <c r="G444" i="15" l="1"/>
  <c r="D446" i="15"/>
  <c r="C446" i="15"/>
  <c r="H445" i="15"/>
  <c r="F445" i="15"/>
  <c r="E445" i="15"/>
  <c r="E446" i="15" l="1"/>
  <c r="H446" i="15"/>
  <c r="F446" i="15"/>
  <c r="G445" i="15"/>
  <c r="D447" i="15"/>
  <c r="C447" i="15"/>
  <c r="H447" i="15" l="1"/>
  <c r="E447" i="15"/>
  <c r="F447" i="15"/>
  <c r="C448" i="15"/>
  <c r="D448" i="15"/>
  <c r="G446" i="15"/>
  <c r="G447" i="15" l="1"/>
  <c r="H448" i="15"/>
  <c r="F448" i="15"/>
  <c r="E448" i="15"/>
  <c r="C449" i="15"/>
  <c r="D449" i="15"/>
  <c r="G448" i="15" l="1"/>
  <c r="H449" i="15"/>
  <c r="F449" i="15"/>
  <c r="E449" i="15"/>
  <c r="D450" i="15"/>
  <c r="C450" i="15"/>
  <c r="G449" i="15" l="1"/>
  <c r="D451" i="15"/>
  <c r="C451" i="15"/>
  <c r="H450" i="15"/>
  <c r="E450" i="15"/>
  <c r="F450" i="15"/>
  <c r="G450" i="15" l="1"/>
  <c r="F451" i="15"/>
  <c r="E451" i="15"/>
  <c r="H451" i="15"/>
  <c r="D452" i="15"/>
  <c r="C452" i="15"/>
  <c r="G451" i="15" l="1"/>
  <c r="C453" i="15"/>
  <c r="D453" i="15"/>
  <c r="E452" i="15"/>
  <c r="F452" i="15"/>
  <c r="H452" i="15"/>
  <c r="G452" i="15" l="1"/>
  <c r="C454" i="15"/>
  <c r="D454" i="15"/>
  <c r="E453" i="15"/>
  <c r="F453" i="15"/>
  <c r="H453" i="15"/>
  <c r="G453" i="15" l="1"/>
  <c r="D455" i="15"/>
  <c r="C455" i="15"/>
  <c r="H454" i="15"/>
  <c r="E454" i="15"/>
  <c r="F454" i="15"/>
  <c r="G454" i="15" l="1"/>
  <c r="E455" i="15"/>
  <c r="H455" i="15"/>
  <c r="F455" i="15"/>
  <c r="D456" i="15"/>
  <c r="C456" i="15"/>
  <c r="C457" i="15" l="1"/>
  <c r="D457" i="15"/>
  <c r="F456" i="15"/>
  <c r="E456" i="15"/>
  <c r="H456" i="15"/>
  <c r="G455" i="15"/>
  <c r="G456" i="15" l="1"/>
  <c r="C458" i="15"/>
  <c r="D458" i="15"/>
  <c r="H457" i="15"/>
  <c r="F457" i="15"/>
  <c r="E457" i="15"/>
  <c r="G457" i="15" l="1"/>
  <c r="C459" i="15"/>
  <c r="D459" i="15"/>
  <c r="F458" i="15"/>
  <c r="H458" i="15"/>
  <c r="E458" i="15"/>
  <c r="D460" i="15" l="1"/>
  <c r="C460" i="15"/>
  <c r="G458" i="15"/>
  <c r="F459" i="15"/>
  <c r="E459" i="15"/>
  <c r="H459" i="15"/>
  <c r="G459" i="15" l="1"/>
  <c r="E460" i="15"/>
  <c r="F460" i="15"/>
  <c r="H460" i="15"/>
  <c r="D461" i="15"/>
  <c r="C461" i="15"/>
  <c r="C462" i="15" l="1"/>
  <c r="D462" i="15"/>
  <c r="H461" i="15"/>
  <c r="F461" i="15"/>
  <c r="E461" i="15"/>
  <c r="G460" i="15"/>
  <c r="C463" i="15" l="1"/>
  <c r="D463" i="15"/>
  <c r="G461" i="15"/>
  <c r="E462" i="15"/>
  <c r="H462" i="15"/>
  <c r="F462" i="15"/>
  <c r="G462" i="15" l="1"/>
  <c r="C464" i="15"/>
  <c r="D464" i="15"/>
  <c r="H463" i="15"/>
  <c r="F463" i="15"/>
  <c r="E463" i="15"/>
  <c r="G463" i="15" l="1"/>
  <c r="D465" i="15"/>
  <c r="C465" i="15"/>
  <c r="H464" i="15"/>
  <c r="E464" i="15"/>
  <c r="F464" i="15"/>
  <c r="G464" i="15" l="1"/>
  <c r="H465" i="15"/>
  <c r="E465" i="15"/>
  <c r="F465" i="15"/>
  <c r="D466" i="15"/>
  <c r="C466" i="15"/>
  <c r="C467" i="15" l="1"/>
  <c r="D467" i="15"/>
  <c r="G465" i="15"/>
  <c r="E466" i="15"/>
  <c r="H466" i="15"/>
  <c r="F466" i="15"/>
  <c r="G466" i="15" l="1"/>
  <c r="C468" i="15"/>
  <c r="D468" i="15"/>
  <c r="H467" i="15"/>
  <c r="F467" i="15"/>
  <c r="E467" i="15"/>
  <c r="C469" i="15" l="1"/>
  <c r="D469" i="15"/>
  <c r="G467" i="15"/>
  <c r="F468" i="15"/>
  <c r="H468" i="15"/>
  <c r="E468" i="15"/>
  <c r="G468" i="15" l="1"/>
  <c r="C470" i="15"/>
  <c r="D470" i="15"/>
  <c r="E469" i="15"/>
  <c r="F469" i="15"/>
  <c r="H469" i="15"/>
  <c r="G469" i="15" l="1"/>
  <c r="D471" i="15"/>
  <c r="C471" i="15"/>
  <c r="E470" i="15"/>
  <c r="H470" i="15"/>
  <c r="F470" i="15"/>
  <c r="G470" i="15" l="1"/>
  <c r="H471" i="15"/>
  <c r="E471" i="15"/>
  <c r="F471" i="15"/>
  <c r="D472" i="15"/>
  <c r="C472" i="15"/>
  <c r="C473" i="15" l="1"/>
  <c r="D473" i="15"/>
  <c r="G471" i="15"/>
  <c r="H472" i="15"/>
  <c r="F472" i="15"/>
  <c r="E472" i="15"/>
  <c r="G472" i="15" l="1"/>
  <c r="C474" i="15"/>
  <c r="D474" i="15"/>
  <c r="F473" i="15"/>
  <c r="E473" i="15"/>
  <c r="H473" i="15"/>
  <c r="G473" i="15" l="1"/>
  <c r="C475" i="15"/>
  <c r="D475" i="15"/>
  <c r="E474" i="15"/>
  <c r="F474" i="15"/>
  <c r="H474" i="15"/>
  <c r="G474" i="15" l="1"/>
  <c r="D476" i="15"/>
  <c r="C476" i="15"/>
  <c r="H475" i="15"/>
  <c r="E475" i="15"/>
  <c r="F475" i="15"/>
  <c r="G475" i="15" l="1"/>
  <c r="H476" i="15"/>
  <c r="E476" i="15"/>
  <c r="F476" i="15"/>
  <c r="D477" i="15"/>
  <c r="C477" i="15"/>
  <c r="C478" i="15" l="1"/>
  <c r="D478" i="15"/>
  <c r="G476" i="15"/>
  <c r="H477" i="15"/>
  <c r="F477" i="15"/>
  <c r="E477" i="15"/>
  <c r="G477" i="15" l="1"/>
  <c r="C479" i="15"/>
  <c r="D479" i="15"/>
  <c r="H478" i="15"/>
  <c r="F478" i="15"/>
  <c r="E478" i="15"/>
  <c r="D480" i="15" l="1"/>
  <c r="C480" i="15"/>
  <c r="G478" i="15"/>
  <c r="H479" i="15"/>
  <c r="E479" i="15"/>
  <c r="F479" i="15"/>
  <c r="F480" i="15" l="1"/>
  <c r="E480" i="15"/>
  <c r="H480" i="15"/>
  <c r="G479" i="15"/>
  <c r="D481" i="15"/>
  <c r="C481" i="15"/>
  <c r="G480" i="15" l="1"/>
  <c r="H481" i="15"/>
  <c r="F481" i="15"/>
  <c r="E481" i="15"/>
  <c r="C482" i="15"/>
  <c r="D482" i="15"/>
  <c r="G481" i="15" l="1"/>
  <c r="E482" i="15"/>
  <c r="H482" i="15"/>
  <c r="F482" i="15"/>
  <c r="C483" i="15"/>
  <c r="D483" i="15"/>
  <c r="E483" i="15" l="1"/>
  <c r="H483" i="15"/>
  <c r="F483" i="15"/>
  <c r="C484" i="15"/>
  <c r="D484" i="15"/>
  <c r="G482" i="15"/>
  <c r="H484" i="15" l="1"/>
  <c r="F484" i="15"/>
  <c r="E484" i="15"/>
  <c r="D485" i="15"/>
  <c r="C485" i="15"/>
  <c r="G483" i="15"/>
  <c r="G484" i="15" l="1"/>
  <c r="C486" i="15"/>
  <c r="D486" i="15"/>
  <c r="E485" i="15"/>
  <c r="F485" i="15"/>
  <c r="H485" i="15"/>
  <c r="G485" i="15" l="1"/>
  <c r="C487" i="15"/>
  <c r="D487" i="15"/>
  <c r="H486" i="15"/>
  <c r="E486" i="15"/>
  <c r="F486" i="15"/>
  <c r="G486" i="15" l="1"/>
  <c r="D488" i="15"/>
  <c r="C488" i="15"/>
  <c r="H487" i="15"/>
  <c r="F487" i="15"/>
  <c r="E487" i="15"/>
  <c r="E488" i="15" l="1"/>
  <c r="F488" i="15"/>
  <c r="H488" i="15"/>
  <c r="G487" i="15"/>
  <c r="D489" i="15"/>
  <c r="C489" i="15"/>
  <c r="F489" i="15" l="1"/>
  <c r="E489" i="15"/>
  <c r="H489" i="15"/>
  <c r="C490" i="15"/>
  <c r="D490" i="15"/>
  <c r="G488" i="15"/>
  <c r="G489" i="15" l="1"/>
  <c r="F490" i="15"/>
  <c r="H490" i="15"/>
  <c r="E490" i="15"/>
  <c r="C491" i="15"/>
  <c r="D491" i="15"/>
  <c r="G490" i="15" l="1"/>
  <c r="E491" i="15"/>
  <c r="H491" i="15"/>
  <c r="F491" i="15"/>
  <c r="D492" i="15"/>
  <c r="C492" i="15"/>
  <c r="D493" i="15" l="1"/>
  <c r="C493" i="15"/>
  <c r="H492" i="15"/>
  <c r="E492" i="15"/>
  <c r="F492" i="15"/>
  <c r="G491" i="15"/>
  <c r="G492" i="15" l="1"/>
  <c r="F493" i="15"/>
  <c r="E493" i="15"/>
  <c r="H493" i="15"/>
  <c r="C494" i="15"/>
  <c r="D494" i="15"/>
  <c r="G493" i="15" l="1"/>
  <c r="H494" i="15"/>
  <c r="F494" i="15"/>
  <c r="E494" i="15"/>
  <c r="D495" i="15"/>
  <c r="C495" i="15"/>
  <c r="G494" i="15" l="1"/>
  <c r="D496" i="15"/>
  <c r="C496" i="15"/>
  <c r="H495" i="15"/>
  <c r="E495" i="15"/>
  <c r="F495" i="15"/>
  <c r="G495" i="15" l="1"/>
  <c r="H496" i="15"/>
  <c r="E496" i="15"/>
  <c r="F496" i="15"/>
  <c r="C497" i="15"/>
  <c r="D497" i="15"/>
  <c r="H497" i="15" l="1"/>
  <c r="E497" i="15"/>
  <c r="F497" i="15"/>
  <c r="G496" i="15"/>
  <c r="C498" i="15"/>
  <c r="D498" i="15"/>
  <c r="E498" i="15" l="1"/>
  <c r="H498" i="15"/>
  <c r="F498" i="15"/>
  <c r="C499" i="15"/>
  <c r="D499" i="15"/>
  <c r="G497" i="15"/>
  <c r="H499" i="15" l="1"/>
  <c r="E499" i="15"/>
  <c r="F499" i="15"/>
  <c r="D500" i="15"/>
  <c r="C500" i="15"/>
  <c r="G498" i="15"/>
  <c r="H500" i="15" l="1"/>
  <c r="F500" i="15"/>
  <c r="E500" i="15"/>
  <c r="C501" i="15"/>
  <c r="D501" i="15"/>
  <c r="G499" i="15"/>
  <c r="G500" i="15" l="1"/>
  <c r="H501" i="15"/>
  <c r="E501" i="15"/>
  <c r="F501" i="15"/>
  <c r="D502" i="15"/>
  <c r="C502" i="15"/>
  <c r="C503" i="15" l="1"/>
  <c r="D503" i="15"/>
  <c r="F502" i="15"/>
  <c r="E502" i="15"/>
  <c r="H502" i="15"/>
  <c r="G501" i="15"/>
  <c r="G502" i="15" l="1"/>
  <c r="D504" i="15"/>
  <c r="C504" i="15"/>
  <c r="H503" i="15"/>
  <c r="E503" i="15"/>
  <c r="F503" i="15"/>
  <c r="G503" i="15" l="1"/>
  <c r="H504" i="15"/>
  <c r="F504" i="15"/>
  <c r="E504" i="15"/>
  <c r="D505" i="15"/>
  <c r="C505" i="15"/>
  <c r="C506" i="15" l="1"/>
  <c r="D506" i="15"/>
  <c r="G504" i="15"/>
  <c r="E505" i="15"/>
  <c r="F505" i="15"/>
  <c r="H505" i="15"/>
  <c r="D507" i="15" l="1"/>
  <c r="C507" i="15"/>
  <c r="H506" i="15"/>
  <c r="E506" i="15"/>
  <c r="F506" i="15"/>
  <c r="G505" i="15"/>
  <c r="G506" i="15" l="1"/>
  <c r="H507" i="15"/>
  <c r="F507" i="15"/>
  <c r="E507" i="15"/>
  <c r="C508" i="15"/>
  <c r="D508" i="15"/>
  <c r="G507" i="15" l="1"/>
  <c r="E508" i="15"/>
  <c r="F508" i="15"/>
  <c r="H508" i="15"/>
  <c r="C509" i="15"/>
  <c r="D509" i="15"/>
  <c r="E509" i="15" l="1"/>
  <c r="H509" i="15"/>
  <c r="F509" i="15"/>
  <c r="D510" i="15"/>
  <c r="C510" i="15"/>
  <c r="G508" i="15"/>
  <c r="D511" i="15" l="1"/>
  <c r="C511" i="15"/>
  <c r="H510" i="15"/>
  <c r="E510" i="15"/>
  <c r="F510" i="15"/>
  <c r="G509" i="15"/>
  <c r="G510" i="15" l="1"/>
  <c r="F511" i="15"/>
  <c r="E511" i="15"/>
  <c r="H511" i="15"/>
  <c r="D512" i="15"/>
  <c r="C512" i="15"/>
  <c r="G511" i="15" l="1"/>
  <c r="C513" i="15"/>
  <c r="D513" i="15"/>
  <c r="E512" i="15"/>
  <c r="F512" i="15"/>
  <c r="H512" i="15"/>
  <c r="G512" i="15" l="1"/>
  <c r="D514" i="15"/>
  <c r="C514" i="15"/>
  <c r="F513" i="15"/>
  <c r="H513" i="15"/>
  <c r="E513" i="15"/>
  <c r="G513" i="15" l="1"/>
  <c r="H514" i="15"/>
  <c r="E514" i="15"/>
  <c r="F514" i="15"/>
  <c r="D515" i="15"/>
  <c r="C515" i="15"/>
  <c r="C516" i="15" l="1"/>
  <c r="D516" i="15"/>
  <c r="G514" i="15"/>
  <c r="F515" i="15"/>
  <c r="E515" i="15"/>
  <c r="H515" i="15"/>
  <c r="C517" i="15" l="1"/>
  <c r="D517" i="15"/>
  <c r="G515" i="15"/>
  <c r="F516" i="15"/>
  <c r="H516" i="15"/>
  <c r="E516" i="15"/>
  <c r="G516" i="15" l="1"/>
  <c r="D518" i="15"/>
  <c r="C518" i="15"/>
  <c r="H517" i="15"/>
  <c r="F517" i="15"/>
  <c r="E517" i="15"/>
  <c r="H518" i="15" l="1"/>
  <c r="E518" i="15"/>
  <c r="F518" i="15"/>
  <c r="G517" i="15"/>
  <c r="D519" i="15"/>
  <c r="C519" i="15"/>
  <c r="F519" i="15" l="1"/>
  <c r="E519" i="15"/>
  <c r="H519" i="15"/>
  <c r="G518" i="15"/>
  <c r="D520" i="15"/>
  <c r="C520" i="15"/>
  <c r="G519" i="15" l="1"/>
  <c r="H520" i="15"/>
  <c r="E520" i="15"/>
  <c r="F520" i="15"/>
  <c r="C521" i="15"/>
  <c r="D521" i="15"/>
  <c r="F521" i="15" l="1"/>
  <c r="H521" i="15"/>
  <c r="E521" i="15"/>
  <c r="G520" i="15"/>
  <c r="D522" i="15"/>
  <c r="C522" i="15"/>
  <c r="G521" i="15" l="1"/>
  <c r="H522" i="15"/>
  <c r="E522" i="15"/>
  <c r="F522" i="15"/>
  <c r="D523" i="15"/>
  <c r="C523" i="15"/>
  <c r="D524" i="15" l="1"/>
  <c r="C524" i="15"/>
  <c r="G522" i="15"/>
  <c r="F523" i="15"/>
  <c r="E523" i="15"/>
  <c r="H523" i="15"/>
  <c r="H524" i="15" l="1"/>
  <c r="E524" i="15"/>
  <c r="F524" i="15"/>
  <c r="G523" i="15"/>
  <c r="D525" i="15"/>
  <c r="C525" i="15"/>
  <c r="F525" i="15" l="1"/>
  <c r="E525" i="15"/>
  <c r="H525" i="15"/>
  <c r="G524" i="15"/>
  <c r="D526" i="15"/>
  <c r="C526" i="15"/>
  <c r="G525" i="15" l="1"/>
  <c r="F526" i="15"/>
  <c r="H526" i="15"/>
  <c r="E526" i="15"/>
  <c r="C527" i="15"/>
  <c r="D527" i="15"/>
  <c r="G526" i="15" l="1"/>
  <c r="F527" i="15"/>
  <c r="E527" i="15"/>
  <c r="H527" i="15"/>
  <c r="D528" i="15"/>
  <c r="C528" i="15"/>
  <c r="G527" i="15" l="1"/>
  <c r="C529" i="15"/>
  <c r="D529" i="15"/>
  <c r="F528" i="15"/>
  <c r="H528" i="15"/>
  <c r="E528" i="15"/>
  <c r="D530" i="15" l="1"/>
  <c r="C530" i="15"/>
  <c r="G528" i="15"/>
  <c r="F529" i="15"/>
  <c r="H529" i="15"/>
  <c r="E529" i="15"/>
  <c r="G529" i="15" l="1"/>
  <c r="H530" i="15"/>
  <c r="E530" i="15"/>
  <c r="F530" i="15"/>
  <c r="C531" i="15"/>
  <c r="D531" i="15"/>
  <c r="H531" i="15" l="1"/>
  <c r="F531" i="15"/>
  <c r="E531" i="15"/>
  <c r="G530" i="15"/>
  <c r="D532" i="15"/>
  <c r="C532" i="15"/>
  <c r="G531" i="15" l="1"/>
  <c r="F532" i="15"/>
  <c r="H532" i="15"/>
  <c r="E532" i="15"/>
  <c r="C533" i="15"/>
  <c r="D533" i="15"/>
  <c r="G532" i="15" l="1"/>
  <c r="E533" i="15"/>
  <c r="H533" i="15"/>
  <c r="F533" i="15"/>
  <c r="C534" i="15"/>
  <c r="D534" i="15"/>
  <c r="H534" i="15" l="1"/>
  <c r="F534" i="15"/>
  <c r="E534" i="15"/>
  <c r="D535" i="15"/>
  <c r="C535" i="15"/>
  <c r="G533" i="15"/>
  <c r="G534" i="15" l="1"/>
  <c r="D536" i="15"/>
  <c r="C536" i="15"/>
  <c r="F535" i="15"/>
  <c r="E535" i="15"/>
  <c r="H535" i="15"/>
  <c r="G535" i="15" l="1"/>
  <c r="H536" i="15"/>
  <c r="E536" i="15"/>
  <c r="F536" i="15"/>
  <c r="D537" i="15"/>
  <c r="C537" i="15"/>
  <c r="G536" i="15" l="1"/>
  <c r="F537" i="15"/>
  <c r="H537" i="15"/>
  <c r="E537" i="15"/>
  <c r="D538" i="15"/>
  <c r="C538" i="15"/>
  <c r="G537" i="15" l="1"/>
  <c r="H538" i="15"/>
  <c r="E538" i="15"/>
  <c r="F538" i="15"/>
  <c r="D539" i="15"/>
  <c r="C539" i="15"/>
  <c r="D540" i="15" l="1"/>
  <c r="C540" i="15"/>
  <c r="F539" i="15"/>
  <c r="E539" i="15"/>
  <c r="H539" i="15"/>
  <c r="G538" i="15"/>
  <c r="G539" i="15" l="1"/>
  <c r="E540" i="15"/>
  <c r="H540" i="15"/>
  <c r="F540" i="15"/>
  <c r="D541" i="15"/>
  <c r="C541" i="15"/>
  <c r="D542" i="15" l="1"/>
  <c r="C542" i="15"/>
  <c r="F541" i="15"/>
  <c r="H541" i="15"/>
  <c r="E541" i="15"/>
  <c r="G540" i="15"/>
  <c r="H542" i="15" l="1"/>
  <c r="E542" i="15"/>
  <c r="F542" i="15"/>
  <c r="G541" i="15"/>
  <c r="C543" i="15"/>
  <c r="D543" i="15"/>
  <c r="D544" i="15" l="1"/>
  <c r="C544" i="15"/>
  <c r="G542" i="15"/>
  <c r="F543" i="15"/>
  <c r="H543" i="15"/>
  <c r="E543" i="15"/>
  <c r="G543" i="15" l="1"/>
  <c r="F544" i="15"/>
  <c r="H544" i="15"/>
  <c r="E544" i="15"/>
  <c r="C545" i="15"/>
  <c r="D545" i="15"/>
  <c r="G544" i="15" l="1"/>
  <c r="F545" i="15"/>
  <c r="E545" i="15"/>
  <c r="H545" i="15"/>
  <c r="C546" i="15"/>
  <c r="D546" i="15"/>
  <c r="G545" i="15" l="1"/>
  <c r="F546" i="15"/>
  <c r="E546" i="15"/>
  <c r="H546" i="15"/>
  <c r="C547" i="15"/>
  <c r="D547" i="15"/>
  <c r="G546" i="15" l="1"/>
  <c r="E547" i="15"/>
  <c r="H547" i="15"/>
  <c r="F547" i="15"/>
  <c r="C548" i="15"/>
  <c r="D548" i="15"/>
  <c r="H548" i="15" l="1"/>
  <c r="F548" i="15"/>
  <c r="E548" i="15"/>
  <c r="C549" i="15"/>
  <c r="D549" i="15"/>
  <c r="G547" i="15"/>
  <c r="G548" i="15" l="1"/>
  <c r="E549" i="15"/>
  <c r="F549" i="15"/>
  <c r="H549" i="15"/>
  <c r="C550" i="15"/>
  <c r="D550" i="15"/>
  <c r="F550" i="15" l="1"/>
  <c r="H550" i="15"/>
  <c r="E550" i="15"/>
  <c r="C551" i="15"/>
  <c r="D551" i="15"/>
  <c r="G549" i="15"/>
  <c r="G550" i="15" l="1"/>
  <c r="H551" i="15"/>
  <c r="E551" i="15"/>
  <c r="F551" i="15"/>
  <c r="D552" i="15"/>
  <c r="C552" i="15"/>
  <c r="C553" i="15" l="1"/>
  <c r="D553" i="15"/>
  <c r="G551" i="15"/>
  <c r="E552" i="15"/>
  <c r="F552" i="15"/>
  <c r="H552" i="15"/>
  <c r="G552" i="15" l="1"/>
  <c r="C554" i="15"/>
  <c r="D554" i="15"/>
  <c r="F553" i="15"/>
  <c r="H553" i="15"/>
  <c r="E553" i="15"/>
  <c r="C555" i="15" l="1"/>
  <c r="D555" i="15"/>
  <c r="G553" i="15"/>
  <c r="E554" i="15"/>
  <c r="F554" i="15"/>
  <c r="H554" i="15"/>
  <c r="G554" i="15" l="1"/>
  <c r="C556" i="15"/>
  <c r="D556" i="15"/>
  <c r="E555" i="15"/>
  <c r="F555" i="15"/>
  <c r="H555" i="15"/>
  <c r="G555" i="15" l="1"/>
  <c r="C557" i="15"/>
  <c r="D557" i="15"/>
  <c r="H556" i="15"/>
  <c r="F556" i="15"/>
  <c r="E556" i="15"/>
  <c r="D558" i="15" l="1"/>
  <c r="C558" i="15"/>
  <c r="G556" i="15"/>
  <c r="E557" i="15"/>
  <c r="H557" i="15"/>
  <c r="F557" i="15"/>
  <c r="G557" i="15" l="1"/>
  <c r="H558" i="15"/>
  <c r="F558" i="15"/>
  <c r="E558" i="15"/>
  <c r="C559" i="15"/>
  <c r="D559" i="15"/>
  <c r="G558" i="15" l="1"/>
  <c r="F559" i="15"/>
  <c r="H559" i="15"/>
  <c r="E559" i="15"/>
  <c r="D560" i="15"/>
  <c r="C560" i="15"/>
  <c r="G559" i="15" l="1"/>
  <c r="E560" i="15"/>
  <c r="F560" i="15"/>
  <c r="H560" i="15"/>
  <c r="D561" i="15"/>
  <c r="C561" i="15"/>
  <c r="D562" i="15" l="1"/>
  <c r="C562" i="15"/>
  <c r="E561" i="15"/>
  <c r="H561" i="15"/>
  <c r="F561" i="15"/>
  <c r="G560" i="15"/>
  <c r="G561" i="15" l="1"/>
  <c r="E562" i="15"/>
  <c r="H562" i="15"/>
  <c r="F562" i="15"/>
  <c r="D563" i="15"/>
  <c r="C563" i="15"/>
  <c r="D564" i="15" l="1"/>
  <c r="C564" i="15"/>
  <c r="H563" i="15"/>
  <c r="F563" i="15"/>
  <c r="E563" i="15"/>
  <c r="G562" i="15"/>
  <c r="F564" i="15" l="1"/>
  <c r="E564" i="15"/>
  <c r="H564" i="15"/>
  <c r="G563" i="15"/>
  <c r="C565" i="15"/>
  <c r="D565" i="15"/>
  <c r="G564" i="15" l="1"/>
  <c r="D566" i="15"/>
  <c r="C566" i="15"/>
  <c r="H565" i="15"/>
  <c r="F565" i="15"/>
  <c r="E565" i="15"/>
  <c r="H566" i="15" l="1"/>
  <c r="E566" i="15"/>
  <c r="F566" i="15"/>
  <c r="G565" i="15"/>
  <c r="D567" i="15"/>
  <c r="C567" i="15"/>
  <c r="F567" i="15" l="1"/>
  <c r="E567" i="15"/>
  <c r="H567" i="15"/>
  <c r="G566" i="15"/>
  <c r="D568" i="15"/>
  <c r="C568" i="15"/>
  <c r="G567" i="15" l="1"/>
  <c r="H568" i="15"/>
  <c r="E568" i="15"/>
  <c r="F568" i="15"/>
  <c r="D569" i="15"/>
  <c r="C569" i="15"/>
  <c r="D570" i="15" l="1"/>
  <c r="C570" i="15"/>
  <c r="G568" i="15"/>
  <c r="H569" i="15"/>
  <c r="F569" i="15"/>
  <c r="E569" i="15"/>
  <c r="G569" i="15" l="1"/>
  <c r="H570" i="15"/>
  <c r="E570" i="15"/>
  <c r="F570" i="15"/>
  <c r="D571" i="15"/>
  <c r="C571" i="15"/>
  <c r="D572" i="15" l="1"/>
  <c r="C572" i="15"/>
  <c r="G570" i="15"/>
  <c r="H571" i="15"/>
  <c r="E571" i="15"/>
  <c r="F571" i="15"/>
  <c r="H572" i="15" l="1"/>
  <c r="E572" i="15"/>
  <c r="F572" i="15"/>
  <c r="G571" i="15"/>
  <c r="D573" i="15"/>
  <c r="C573" i="15"/>
  <c r="F573" i="15" l="1"/>
  <c r="E573" i="15"/>
  <c r="H573" i="15"/>
  <c r="G572" i="15"/>
  <c r="C574" i="15"/>
  <c r="D574" i="15"/>
  <c r="G573" i="15" l="1"/>
  <c r="C575" i="15"/>
  <c r="D575" i="15"/>
  <c r="F574" i="15"/>
  <c r="E574" i="15"/>
  <c r="H574" i="15"/>
  <c r="G574" i="15" l="1"/>
  <c r="D576" i="15"/>
  <c r="C576" i="15"/>
  <c r="H575" i="15"/>
  <c r="F575" i="15"/>
  <c r="E575" i="15"/>
  <c r="H576" i="15" l="1"/>
  <c r="E576" i="15"/>
  <c r="F576" i="15"/>
  <c r="G575" i="15"/>
  <c r="D577" i="15"/>
  <c r="C577" i="15"/>
  <c r="F577" i="15" l="1"/>
  <c r="E577" i="15"/>
  <c r="H577" i="15"/>
  <c r="G576" i="15"/>
  <c r="D578" i="15"/>
  <c r="C578" i="15"/>
  <c r="G577" i="15" l="1"/>
  <c r="H578" i="15"/>
  <c r="E578" i="15"/>
  <c r="F578" i="15"/>
  <c r="D579" i="15"/>
  <c r="C579" i="15"/>
  <c r="D580" i="15" l="1"/>
  <c r="C580" i="15"/>
  <c r="G578" i="15"/>
  <c r="F579" i="15"/>
  <c r="E579" i="15"/>
  <c r="H579" i="15"/>
  <c r="H580" i="15" l="1"/>
  <c r="E580" i="15"/>
  <c r="F580" i="15"/>
  <c r="G579" i="15"/>
  <c r="D581" i="15"/>
  <c r="C581" i="15"/>
  <c r="F581" i="15" l="1"/>
  <c r="E581" i="15"/>
  <c r="H581" i="15"/>
  <c r="G580" i="15"/>
  <c r="C582" i="15"/>
  <c r="D582" i="15"/>
  <c r="G581" i="15" l="1"/>
  <c r="D583" i="15"/>
  <c r="C583" i="15"/>
  <c r="H582" i="15"/>
  <c r="E582" i="15"/>
  <c r="F582" i="15"/>
  <c r="G582" i="15" l="1"/>
  <c r="E583" i="15"/>
  <c r="H583" i="15"/>
  <c r="F583" i="15"/>
  <c r="C584" i="15"/>
  <c r="D584" i="15"/>
  <c r="H584" i="15" l="1"/>
  <c r="F584" i="15"/>
  <c r="E584" i="15"/>
  <c r="D585" i="15"/>
  <c r="C585" i="15"/>
  <c r="G583" i="15"/>
  <c r="G584" i="15" l="1"/>
  <c r="C586" i="15"/>
  <c r="D586" i="15"/>
  <c r="H585" i="15"/>
  <c r="E585" i="15"/>
  <c r="F585" i="15"/>
  <c r="G585" i="15" l="1"/>
  <c r="D587" i="15"/>
  <c r="C587" i="15"/>
  <c r="E586" i="15"/>
  <c r="F586" i="15"/>
  <c r="H586" i="15"/>
  <c r="G586" i="15" l="1"/>
  <c r="H587" i="15"/>
  <c r="E587" i="15"/>
  <c r="F587" i="15"/>
  <c r="D588" i="15"/>
  <c r="C588" i="15"/>
  <c r="G587" i="15" l="1"/>
  <c r="F588" i="15"/>
  <c r="H588" i="15"/>
  <c r="E588" i="15"/>
  <c r="C589" i="15"/>
  <c r="D589" i="15"/>
  <c r="G588" i="15" l="1"/>
  <c r="H589" i="15"/>
  <c r="E589" i="15"/>
  <c r="F589" i="15"/>
  <c r="D590" i="15"/>
  <c r="C590" i="15"/>
  <c r="D591" i="15" l="1"/>
  <c r="C591" i="15"/>
  <c r="G589" i="15"/>
  <c r="F590" i="15"/>
  <c r="E590" i="15"/>
  <c r="H590" i="15"/>
  <c r="H591" i="15" l="1"/>
  <c r="E591" i="15"/>
  <c r="F591" i="15"/>
  <c r="G590" i="15"/>
  <c r="D592" i="15"/>
  <c r="C592" i="15"/>
  <c r="F592" i="15" l="1"/>
  <c r="E592" i="15"/>
  <c r="H592" i="15"/>
  <c r="G591" i="15"/>
  <c r="C593" i="15"/>
  <c r="D593" i="15"/>
  <c r="G592" i="15" l="1"/>
  <c r="C594" i="15"/>
  <c r="D594" i="15"/>
  <c r="F593" i="15"/>
  <c r="H593" i="15"/>
  <c r="E593" i="15"/>
  <c r="D595" i="15" l="1"/>
  <c r="C595" i="15"/>
  <c r="G593" i="15"/>
  <c r="H594" i="15"/>
  <c r="F594" i="15"/>
  <c r="E594" i="15"/>
  <c r="G594" i="15" l="1"/>
  <c r="H595" i="15"/>
  <c r="E595" i="15"/>
  <c r="F595" i="15"/>
  <c r="D596" i="15"/>
  <c r="C596" i="15"/>
  <c r="D597" i="15" l="1"/>
  <c r="C597" i="15"/>
  <c r="G595" i="15"/>
  <c r="F596" i="15"/>
  <c r="E596" i="15"/>
  <c r="H596" i="15"/>
  <c r="G596" i="15" l="1"/>
  <c r="H597" i="15"/>
  <c r="E597" i="15"/>
  <c r="F597" i="15"/>
  <c r="D598" i="15"/>
  <c r="C598" i="15"/>
  <c r="D599" i="15" l="1"/>
  <c r="C599" i="15"/>
  <c r="G597" i="15"/>
  <c r="H598" i="15"/>
  <c r="F598" i="15"/>
  <c r="E598" i="15"/>
  <c r="G598" i="15" l="1"/>
  <c r="H599" i="15"/>
  <c r="F599" i="15"/>
  <c r="E599" i="15"/>
  <c r="D600" i="15"/>
  <c r="C600" i="15"/>
  <c r="G599" i="15" l="1"/>
  <c r="D601" i="15"/>
  <c r="C601" i="15"/>
  <c r="F600" i="15"/>
  <c r="H600" i="15"/>
  <c r="E600" i="15"/>
  <c r="H601" i="15" l="1"/>
  <c r="F601" i="15"/>
  <c r="E601" i="15"/>
  <c r="G600" i="15"/>
  <c r="D602" i="15"/>
  <c r="C602" i="15"/>
  <c r="G601" i="15" l="1"/>
  <c r="F602" i="15"/>
  <c r="E602" i="15"/>
  <c r="H602" i="15"/>
  <c r="D603" i="15"/>
  <c r="C603" i="15"/>
  <c r="G602" i="15" l="1"/>
  <c r="D604" i="15"/>
  <c r="C604" i="15"/>
  <c r="H603" i="15"/>
  <c r="E603" i="15"/>
  <c r="F603" i="15"/>
  <c r="G603" i="15" l="1"/>
  <c r="F604" i="15"/>
  <c r="H604" i="15"/>
  <c r="E604" i="15"/>
  <c r="D605" i="15"/>
  <c r="C605" i="15"/>
  <c r="G604" i="15" l="1"/>
  <c r="D606" i="15"/>
  <c r="C606" i="15"/>
  <c r="H605" i="15"/>
  <c r="E605" i="15"/>
  <c r="F605" i="15"/>
  <c r="G605" i="15" l="1"/>
  <c r="F606" i="15"/>
  <c r="E606" i="15"/>
  <c r="H606" i="15"/>
  <c r="D607" i="15"/>
  <c r="C607" i="15"/>
  <c r="G606" i="15" l="1"/>
  <c r="D608" i="15"/>
  <c r="C608" i="15"/>
  <c r="H607" i="15"/>
  <c r="F607" i="15"/>
  <c r="E607" i="15"/>
  <c r="F608" i="15" l="1"/>
  <c r="H608" i="15"/>
  <c r="E608" i="15"/>
  <c r="G607" i="15"/>
  <c r="C609" i="15"/>
  <c r="D609" i="15"/>
  <c r="G608" i="15" l="1"/>
  <c r="C610" i="15"/>
  <c r="D610" i="15"/>
  <c r="F609" i="15"/>
  <c r="H609" i="15"/>
  <c r="E609" i="15"/>
  <c r="D611" i="15" l="1"/>
  <c r="C611" i="15"/>
  <c r="G609" i="15"/>
  <c r="E610" i="15"/>
  <c r="H610" i="15"/>
  <c r="F610" i="15"/>
  <c r="G610" i="15" l="1"/>
  <c r="H611" i="15"/>
  <c r="E611" i="15"/>
  <c r="F611" i="15"/>
  <c r="D612" i="15"/>
  <c r="C612" i="15"/>
  <c r="D613" i="15" l="1"/>
  <c r="C613" i="15"/>
  <c r="G611" i="15"/>
  <c r="E612" i="15"/>
  <c r="H612" i="15"/>
  <c r="F612" i="15"/>
  <c r="G612" i="15" l="1"/>
  <c r="H613" i="15"/>
  <c r="F613" i="15"/>
  <c r="E613" i="15"/>
  <c r="D614" i="15"/>
  <c r="C614" i="15"/>
  <c r="G613" i="15" l="1"/>
  <c r="D615" i="15"/>
  <c r="C615" i="15"/>
  <c r="H614" i="15"/>
  <c r="F614" i="15"/>
  <c r="E614" i="15"/>
  <c r="H615" i="15" l="1"/>
  <c r="E615" i="15"/>
  <c r="F615" i="15"/>
  <c r="G614" i="15"/>
  <c r="D616" i="15"/>
  <c r="C616" i="15"/>
  <c r="H616" i="15" l="1"/>
  <c r="F616" i="15"/>
  <c r="E616" i="15"/>
  <c r="G615" i="15"/>
  <c r="D617" i="15"/>
  <c r="C617" i="15"/>
  <c r="G616" i="15" l="1"/>
  <c r="E617" i="15"/>
  <c r="F617" i="15"/>
  <c r="H617" i="15"/>
  <c r="C618" i="15"/>
  <c r="D618" i="15"/>
  <c r="F618" i="15" l="1"/>
  <c r="E618" i="15"/>
  <c r="H618" i="15"/>
  <c r="D619" i="15"/>
  <c r="C619" i="15"/>
  <c r="G617" i="15"/>
  <c r="G618" i="15" l="1"/>
  <c r="C620" i="15"/>
  <c r="D620" i="15"/>
  <c r="F619" i="15"/>
  <c r="H619" i="15"/>
  <c r="E619" i="15"/>
  <c r="D621" i="15" l="1"/>
  <c r="C621" i="15"/>
  <c r="G619" i="15"/>
  <c r="F620" i="15"/>
  <c r="E620" i="15"/>
  <c r="H620" i="15"/>
  <c r="G620" i="15" l="1"/>
  <c r="H621" i="15"/>
  <c r="E621" i="15"/>
  <c r="F621" i="15"/>
  <c r="D622" i="15"/>
  <c r="C622" i="15"/>
  <c r="D623" i="15" l="1"/>
  <c r="C623" i="15"/>
  <c r="G621" i="15"/>
  <c r="F622" i="15"/>
  <c r="E622" i="15"/>
  <c r="H622" i="15"/>
  <c r="H623" i="15" l="1"/>
  <c r="E623" i="15"/>
  <c r="F623" i="15"/>
  <c r="G622" i="15"/>
  <c r="C624" i="15"/>
  <c r="D624" i="15"/>
  <c r="D625" i="15" l="1"/>
  <c r="C625" i="15"/>
  <c r="G623" i="15"/>
  <c r="H624" i="15"/>
  <c r="F624" i="15"/>
  <c r="E624" i="15"/>
  <c r="G624" i="15" l="1"/>
  <c r="H625" i="15"/>
  <c r="F625" i="15"/>
  <c r="E625" i="15"/>
  <c r="D626" i="15"/>
  <c r="C626" i="15"/>
  <c r="G625" i="15" l="1"/>
  <c r="C627" i="15"/>
  <c r="D627" i="15"/>
  <c r="F626" i="15"/>
  <c r="E626" i="15"/>
  <c r="H626" i="15"/>
  <c r="G626" i="15" l="1"/>
  <c r="C628" i="15"/>
  <c r="D628" i="15"/>
  <c r="F627" i="15"/>
  <c r="E627" i="15"/>
  <c r="H627" i="15"/>
  <c r="D629" i="15" l="1"/>
  <c r="C629" i="15"/>
  <c r="H628" i="15"/>
  <c r="F628" i="15"/>
  <c r="E628" i="15"/>
  <c r="G627" i="15"/>
  <c r="H629" i="15" l="1"/>
  <c r="E629" i="15"/>
  <c r="F629" i="15"/>
  <c r="G628" i="15"/>
  <c r="D630" i="15"/>
  <c r="C630" i="15"/>
  <c r="F630" i="15" l="1"/>
  <c r="E630" i="15"/>
  <c r="H630" i="15"/>
  <c r="G629" i="15"/>
  <c r="C631" i="15"/>
  <c r="D631" i="15"/>
  <c r="G630" i="15" l="1"/>
  <c r="C632" i="15"/>
  <c r="D632" i="15"/>
  <c r="F631" i="15"/>
  <c r="H631" i="15"/>
  <c r="E631" i="15"/>
  <c r="D633" i="15" l="1"/>
  <c r="C633" i="15"/>
  <c r="G631" i="15"/>
  <c r="H632" i="15"/>
  <c r="E632" i="15"/>
  <c r="F632" i="15"/>
  <c r="H633" i="15" l="1"/>
  <c r="E633" i="15"/>
  <c r="F633" i="15"/>
  <c r="G632" i="15"/>
  <c r="D634" i="15"/>
  <c r="C634" i="15"/>
  <c r="F634" i="15" l="1"/>
  <c r="E634" i="15"/>
  <c r="H634" i="15"/>
  <c r="G633" i="15"/>
  <c r="D635" i="15"/>
  <c r="C635" i="15"/>
  <c r="G634" i="15" l="1"/>
  <c r="H635" i="15"/>
  <c r="E635" i="15"/>
  <c r="F635" i="15"/>
  <c r="D636" i="15"/>
  <c r="C636" i="15"/>
  <c r="D637" i="15" l="1"/>
  <c r="C637" i="15"/>
  <c r="G635" i="15"/>
  <c r="F636" i="15"/>
  <c r="E636" i="15"/>
  <c r="H636" i="15"/>
  <c r="H637" i="15" l="1"/>
  <c r="E637" i="15"/>
  <c r="F637" i="15"/>
  <c r="G636" i="15"/>
  <c r="D638" i="15"/>
  <c r="C638" i="15"/>
  <c r="F638" i="15" l="1"/>
  <c r="E638" i="15"/>
  <c r="H638" i="15"/>
  <c r="G637" i="15"/>
  <c r="C639" i="15"/>
  <c r="D639" i="15"/>
  <c r="G638" i="15" l="1"/>
  <c r="C640" i="15"/>
  <c r="D640" i="15"/>
  <c r="F639" i="15"/>
  <c r="E639" i="15"/>
  <c r="H639" i="15"/>
  <c r="G639" i="15" l="1"/>
  <c r="D641" i="15"/>
  <c r="C641" i="15"/>
  <c r="H640" i="15"/>
  <c r="F640" i="15"/>
  <c r="E640" i="15"/>
  <c r="G640" i="15" l="1"/>
  <c r="H641" i="15"/>
  <c r="E641" i="15"/>
  <c r="F641" i="15"/>
  <c r="D642" i="15"/>
  <c r="C642" i="15"/>
  <c r="G641" i="15" l="1"/>
  <c r="D643" i="15"/>
  <c r="C643" i="15"/>
  <c r="F642" i="15"/>
  <c r="E642" i="15"/>
  <c r="H642" i="15"/>
  <c r="G642" i="15" l="1"/>
  <c r="H643" i="15"/>
  <c r="E643" i="15"/>
  <c r="F643" i="15"/>
  <c r="D644" i="15"/>
  <c r="C644" i="15"/>
  <c r="D645" i="15" l="1"/>
  <c r="C645" i="15"/>
  <c r="G643" i="15"/>
  <c r="F644" i="15"/>
  <c r="E644" i="15"/>
  <c r="H644" i="15"/>
  <c r="H645" i="15" l="1"/>
  <c r="E645" i="15"/>
  <c r="F645" i="15"/>
  <c r="G644" i="15"/>
  <c r="D646" i="15"/>
  <c r="C646" i="15"/>
  <c r="F646" i="15" l="1"/>
  <c r="E646" i="15"/>
  <c r="H646" i="15"/>
  <c r="G645" i="15"/>
  <c r="C647" i="15"/>
  <c r="D647" i="15"/>
  <c r="G646" i="15" l="1"/>
  <c r="C648" i="15"/>
  <c r="D648" i="15"/>
  <c r="F647" i="15"/>
  <c r="H647" i="15"/>
  <c r="E647" i="15"/>
  <c r="D649" i="15" l="1"/>
  <c r="C649" i="15"/>
  <c r="G647" i="15"/>
  <c r="H648" i="15"/>
  <c r="F648" i="15"/>
  <c r="E648" i="15"/>
  <c r="G648" i="15" l="1"/>
  <c r="H649" i="15"/>
  <c r="E649" i="15"/>
  <c r="F649" i="15"/>
  <c r="D650" i="15"/>
  <c r="C650" i="15"/>
  <c r="D651" i="15" l="1"/>
  <c r="C651" i="15"/>
  <c r="G649" i="15"/>
  <c r="F650" i="15"/>
  <c r="E650" i="15"/>
  <c r="H650" i="15"/>
  <c r="H651" i="15" l="1"/>
  <c r="E651" i="15"/>
  <c r="F651" i="15"/>
  <c r="G650" i="15"/>
  <c r="C652" i="15"/>
  <c r="D652" i="15"/>
  <c r="D653" i="15" l="1"/>
  <c r="C653" i="15"/>
  <c r="G651" i="15"/>
  <c r="H652" i="15"/>
  <c r="F652" i="15"/>
  <c r="E652" i="15"/>
  <c r="G652" i="15" l="1"/>
  <c r="H653" i="15"/>
  <c r="E653" i="15"/>
  <c r="F653" i="15"/>
  <c r="D654" i="15"/>
  <c r="C654" i="15"/>
  <c r="D655" i="15" l="1"/>
  <c r="C655" i="15"/>
  <c r="G653" i="15"/>
  <c r="F654" i="15"/>
  <c r="E654" i="15"/>
  <c r="H654" i="15"/>
  <c r="G654" i="15" l="1"/>
  <c r="H655" i="15"/>
  <c r="E655" i="15"/>
  <c r="F655" i="15"/>
  <c r="D656" i="15"/>
  <c r="C656" i="15"/>
  <c r="D657" i="15" l="1"/>
  <c r="C657" i="15"/>
  <c r="G655" i="15"/>
  <c r="F656" i="15"/>
  <c r="E656" i="15"/>
  <c r="H656" i="15"/>
  <c r="H657" i="15" l="1"/>
  <c r="E657" i="15"/>
  <c r="F657" i="15"/>
  <c r="G656" i="15"/>
  <c r="D658" i="15"/>
  <c r="C658" i="15"/>
  <c r="F658" i="15" l="1"/>
  <c r="E658" i="15"/>
  <c r="H658" i="15"/>
  <c r="G657" i="15"/>
  <c r="D659" i="15"/>
  <c r="C659" i="15"/>
  <c r="G658" i="15" l="1"/>
  <c r="H659" i="15"/>
  <c r="E659" i="15"/>
  <c r="F659" i="15"/>
  <c r="D660" i="15"/>
  <c r="C660" i="15"/>
  <c r="D661" i="15" l="1"/>
  <c r="C661" i="15"/>
  <c r="G659" i="15"/>
  <c r="F660" i="15"/>
  <c r="E660" i="15"/>
  <c r="H660" i="15"/>
  <c r="H661" i="15" l="1"/>
  <c r="E661" i="15"/>
  <c r="F661" i="15"/>
  <c r="G660" i="15"/>
  <c r="C662" i="15"/>
  <c r="D662" i="15"/>
  <c r="C663" i="15" l="1"/>
  <c r="D663" i="15"/>
  <c r="G661" i="15"/>
  <c r="F662" i="15"/>
  <c r="E662" i="15"/>
  <c r="H662" i="15"/>
  <c r="C664" i="15" l="1"/>
  <c r="D664" i="15"/>
  <c r="G662" i="15"/>
  <c r="F663" i="15"/>
  <c r="H663" i="15"/>
  <c r="E663" i="15"/>
  <c r="D665" i="15" l="1"/>
  <c r="C665" i="15"/>
  <c r="G663" i="15"/>
  <c r="H664" i="15"/>
  <c r="F664" i="15"/>
  <c r="E664" i="15"/>
  <c r="G664" i="15" l="1"/>
  <c r="H665" i="15"/>
  <c r="E665" i="15"/>
  <c r="F665" i="15"/>
  <c r="D666" i="15"/>
  <c r="C666" i="15"/>
  <c r="D667" i="15" l="1"/>
  <c r="C667" i="15"/>
  <c r="G665" i="15"/>
  <c r="F666" i="15"/>
  <c r="E666" i="15"/>
  <c r="H666" i="15"/>
  <c r="F667" i="15" l="1"/>
  <c r="H667" i="15"/>
  <c r="E667" i="15"/>
  <c r="G666" i="15"/>
  <c r="C668" i="15"/>
  <c r="D668" i="15"/>
  <c r="G667" i="15" l="1"/>
  <c r="D669" i="15"/>
  <c r="C669" i="15"/>
  <c r="H668" i="15"/>
  <c r="E668" i="15"/>
  <c r="F668" i="15"/>
  <c r="G668" i="15" l="1"/>
  <c r="E669" i="15"/>
  <c r="H669" i="15"/>
  <c r="F669" i="15"/>
  <c r="D670" i="15"/>
  <c r="C670" i="15"/>
  <c r="C671" i="15" l="1"/>
  <c r="D671" i="15"/>
  <c r="F670" i="15"/>
  <c r="H670" i="15"/>
  <c r="E670" i="15"/>
  <c r="G669" i="15"/>
  <c r="C672" i="15" l="1"/>
  <c r="D672" i="15"/>
  <c r="G670" i="15"/>
  <c r="F671" i="15"/>
  <c r="H671" i="15"/>
  <c r="E671" i="15"/>
  <c r="G671" i="15" l="1"/>
  <c r="D673" i="15"/>
  <c r="C673" i="15"/>
  <c r="E672" i="15"/>
  <c r="H672" i="15"/>
  <c r="F672" i="15"/>
  <c r="G672" i="15" l="1"/>
  <c r="H673" i="15"/>
  <c r="E673" i="15"/>
  <c r="F673" i="15"/>
  <c r="D674" i="15"/>
  <c r="C674" i="15"/>
  <c r="D675" i="15" l="1"/>
  <c r="C675" i="15"/>
  <c r="G673" i="15"/>
  <c r="F674" i="15"/>
  <c r="H674" i="15"/>
  <c r="E674" i="15"/>
  <c r="G674" i="15" l="1"/>
  <c r="H675" i="15"/>
  <c r="E675" i="15"/>
  <c r="F675" i="15"/>
  <c r="D676" i="15"/>
  <c r="C676" i="15"/>
  <c r="D677" i="15" l="1"/>
  <c r="C677" i="15"/>
  <c r="G675" i="15"/>
  <c r="F676" i="15"/>
  <c r="E676" i="15"/>
  <c r="H676" i="15"/>
  <c r="H677" i="15" l="1"/>
  <c r="E677" i="15"/>
  <c r="F677" i="15"/>
  <c r="G676" i="15"/>
  <c r="D678" i="15"/>
  <c r="C678" i="15"/>
  <c r="E678" i="15" l="1"/>
  <c r="F678" i="15"/>
  <c r="H678" i="15"/>
  <c r="G677" i="15"/>
  <c r="D679" i="15"/>
  <c r="C679" i="15"/>
  <c r="E679" i="15" l="1"/>
  <c r="F679" i="15"/>
  <c r="H679" i="15"/>
  <c r="C680" i="15"/>
  <c r="D680" i="15"/>
  <c r="G678" i="15"/>
  <c r="G679" i="15" l="1"/>
  <c r="F680" i="15"/>
  <c r="E680" i="15"/>
  <c r="H680" i="15"/>
  <c r="D681" i="15"/>
  <c r="C681" i="15"/>
  <c r="G680" i="15" l="1"/>
  <c r="D682" i="15"/>
  <c r="C682" i="15"/>
  <c r="H681" i="15"/>
  <c r="E681" i="15"/>
  <c r="F681" i="15"/>
  <c r="G681" i="15" l="1"/>
  <c r="F682" i="15"/>
  <c r="E682" i="15"/>
  <c r="H682" i="15"/>
  <c r="C683" i="15"/>
  <c r="D683" i="15"/>
  <c r="G682" i="15" l="1"/>
  <c r="F683" i="15"/>
  <c r="E683" i="15"/>
  <c r="H683" i="15"/>
  <c r="C684" i="15"/>
  <c r="D684" i="15"/>
  <c r="G683" i="15" l="1"/>
  <c r="H684" i="15"/>
  <c r="F684" i="15"/>
  <c r="E684" i="15"/>
  <c r="D685" i="15"/>
  <c r="C685" i="15"/>
  <c r="G684" i="15" l="1"/>
  <c r="D686" i="15"/>
  <c r="C686" i="15"/>
  <c r="H685" i="15"/>
  <c r="E685" i="15"/>
  <c r="F685" i="15"/>
  <c r="G685" i="15" l="1"/>
  <c r="F686" i="15"/>
  <c r="H686" i="15"/>
  <c r="E686" i="15"/>
  <c r="D687" i="15"/>
  <c r="C687" i="15"/>
  <c r="G686" i="15" l="1"/>
  <c r="D688" i="15"/>
  <c r="C688" i="15"/>
  <c r="H687" i="15"/>
  <c r="E687" i="15"/>
  <c r="F687" i="15"/>
  <c r="G687" i="15" l="1"/>
  <c r="F688" i="15"/>
  <c r="E688" i="15"/>
  <c r="H688" i="15"/>
  <c r="D689" i="15"/>
  <c r="C689" i="15"/>
  <c r="G688" i="15" l="1"/>
  <c r="C690" i="15"/>
  <c r="D690" i="15"/>
  <c r="H689" i="15"/>
  <c r="E689" i="15"/>
  <c r="F689" i="15"/>
  <c r="G689" i="15" l="1"/>
  <c r="D691" i="15"/>
  <c r="C691" i="15"/>
  <c r="E690" i="15"/>
  <c r="F690" i="15"/>
  <c r="H690" i="15"/>
  <c r="G690" i="15" l="1"/>
  <c r="H691" i="15"/>
  <c r="E691" i="15"/>
  <c r="F691" i="15"/>
  <c r="D692" i="15"/>
  <c r="C692" i="15"/>
  <c r="D693" i="15" l="1"/>
  <c r="C693" i="15"/>
  <c r="G691" i="15"/>
  <c r="H692" i="15"/>
  <c r="F692" i="15"/>
  <c r="E692" i="15"/>
  <c r="G692" i="15" l="1"/>
  <c r="H693" i="15"/>
  <c r="E693" i="15"/>
  <c r="F693" i="15"/>
  <c r="D694" i="15"/>
  <c r="C694" i="15"/>
  <c r="C695" i="15" l="1"/>
  <c r="D695" i="15"/>
  <c r="G693" i="15"/>
  <c r="F694" i="15"/>
  <c r="H694" i="15"/>
  <c r="E694" i="15"/>
  <c r="G694" i="15" l="1"/>
  <c r="C696" i="15"/>
  <c r="D696" i="15"/>
  <c r="E695" i="15"/>
  <c r="H695" i="15"/>
  <c r="F695" i="15"/>
  <c r="G695" i="15" l="1"/>
  <c r="D697" i="15"/>
  <c r="C697" i="15"/>
  <c r="H696" i="15"/>
  <c r="F696" i="15"/>
  <c r="E696" i="15"/>
  <c r="G696" i="15" l="1"/>
  <c r="H697" i="15"/>
  <c r="E697" i="15"/>
  <c r="F697" i="15"/>
  <c r="D698" i="15"/>
  <c r="C698" i="15"/>
  <c r="G697" i="15" l="1"/>
  <c r="C699" i="15"/>
  <c r="D699" i="15"/>
  <c r="F698" i="15"/>
  <c r="H698" i="15"/>
  <c r="E698" i="15"/>
  <c r="G698" i="15" l="1"/>
  <c r="C700" i="15"/>
  <c r="D700" i="15"/>
  <c r="F699" i="15"/>
  <c r="H699" i="15"/>
  <c r="E699" i="15"/>
  <c r="D701" i="15" l="1"/>
  <c r="C701" i="15"/>
  <c r="G699" i="15"/>
  <c r="H700" i="15"/>
  <c r="F700" i="15"/>
  <c r="E700" i="15"/>
  <c r="G700" i="15" l="1"/>
  <c r="H701" i="15"/>
  <c r="E701" i="15"/>
  <c r="F701" i="15"/>
  <c r="D702" i="15"/>
  <c r="C702" i="15"/>
  <c r="C703" i="15" l="1"/>
  <c r="D703" i="15"/>
  <c r="G701" i="15"/>
  <c r="F702" i="15"/>
  <c r="H702" i="15"/>
  <c r="E702" i="15"/>
  <c r="G702" i="15" l="1"/>
  <c r="C704" i="15"/>
  <c r="D704" i="15"/>
  <c r="F703" i="15"/>
  <c r="H703" i="15"/>
  <c r="E703" i="15"/>
  <c r="G703" i="15" l="1"/>
  <c r="D705" i="15"/>
  <c r="C705" i="15"/>
  <c r="H704" i="15"/>
  <c r="E704" i="15"/>
  <c r="F704" i="15"/>
  <c r="G704" i="15" l="1"/>
  <c r="H705" i="15"/>
  <c r="E705" i="15"/>
  <c r="F705" i="15"/>
  <c r="D706" i="15"/>
  <c r="C706" i="15"/>
  <c r="D707" i="15" l="1"/>
  <c r="C707" i="15"/>
  <c r="F706" i="15"/>
  <c r="E706" i="15"/>
  <c r="H706" i="15"/>
  <c r="G705" i="15"/>
  <c r="G706" i="15" l="1"/>
  <c r="H707" i="15"/>
  <c r="E707" i="15"/>
  <c r="F707" i="15"/>
  <c r="D708" i="15"/>
  <c r="C708" i="15"/>
  <c r="C709" i="15" l="1"/>
  <c r="D709" i="15"/>
  <c r="G707" i="15"/>
  <c r="F708" i="15"/>
  <c r="E708" i="15"/>
  <c r="H708" i="15"/>
  <c r="C710" i="15" l="1"/>
  <c r="D710" i="15"/>
  <c r="G708" i="15"/>
  <c r="F709" i="15"/>
  <c r="E709" i="15"/>
  <c r="H709" i="15"/>
  <c r="D711" i="15" l="1"/>
  <c r="C711" i="15"/>
  <c r="G709" i="15"/>
  <c r="E710" i="15"/>
  <c r="H710" i="15"/>
  <c r="F710" i="15"/>
  <c r="G710" i="15" l="1"/>
  <c r="H711" i="15"/>
  <c r="E711" i="15"/>
  <c r="F711" i="15"/>
  <c r="D712" i="15"/>
  <c r="C712" i="15"/>
  <c r="D713" i="15" l="1"/>
  <c r="C713" i="15"/>
  <c r="G711" i="15"/>
  <c r="F712" i="15"/>
  <c r="E712" i="15"/>
  <c r="H712" i="15"/>
  <c r="H713" i="15" l="1"/>
  <c r="E713" i="15"/>
  <c r="F713" i="15"/>
  <c r="G712" i="15"/>
  <c r="D714" i="15"/>
  <c r="C714" i="15"/>
  <c r="F714" i="15" l="1"/>
  <c r="H714" i="15"/>
  <c r="E714" i="15"/>
  <c r="G713" i="15"/>
  <c r="C715" i="15"/>
  <c r="D715" i="15"/>
  <c r="G714" i="15" l="1"/>
  <c r="C716" i="15"/>
  <c r="D716" i="15"/>
  <c r="F715" i="15"/>
  <c r="E715" i="15"/>
  <c r="H715" i="15"/>
  <c r="G715" i="15" l="1"/>
  <c r="D717" i="15"/>
  <c r="C717" i="15"/>
  <c r="H716" i="15"/>
  <c r="F716" i="15"/>
  <c r="E716" i="15"/>
  <c r="H717" i="15" l="1"/>
  <c r="E717" i="15"/>
  <c r="F717" i="15"/>
  <c r="G716" i="15"/>
  <c r="D718" i="15"/>
  <c r="C718" i="15"/>
  <c r="F718" i="15" l="1"/>
  <c r="H718" i="15"/>
  <c r="E718" i="15"/>
  <c r="G717" i="15"/>
  <c r="D719" i="15"/>
  <c r="C719" i="15"/>
  <c r="G718" i="15" l="1"/>
  <c r="H719" i="15"/>
  <c r="E719" i="15"/>
  <c r="F719" i="15"/>
  <c r="D720" i="15"/>
  <c r="C720" i="15"/>
  <c r="C721" i="15" l="1"/>
  <c r="D721" i="15"/>
  <c r="G719" i="15"/>
  <c r="F720" i="15"/>
  <c r="E720" i="15"/>
  <c r="H720" i="15"/>
  <c r="C722" i="15" l="1"/>
  <c r="D722" i="15"/>
  <c r="G720" i="15"/>
  <c r="F721" i="15"/>
  <c r="H721" i="15"/>
  <c r="E721" i="15"/>
  <c r="G721" i="15" l="1"/>
  <c r="D723" i="15"/>
  <c r="C723" i="15"/>
  <c r="E722" i="15"/>
  <c r="H722" i="15"/>
  <c r="F722" i="15"/>
  <c r="G722" i="15" l="1"/>
  <c r="H723" i="15"/>
  <c r="E723" i="15"/>
  <c r="F723" i="15"/>
  <c r="D724" i="15"/>
  <c r="C724" i="15"/>
  <c r="D725" i="15" l="1"/>
  <c r="C725" i="15"/>
  <c r="G723" i="15"/>
  <c r="F724" i="15"/>
  <c r="E724" i="15"/>
  <c r="H724" i="15"/>
  <c r="H725" i="15" l="1"/>
  <c r="E725" i="15"/>
  <c r="F725" i="15"/>
  <c r="G724" i="15"/>
  <c r="D726" i="15"/>
  <c r="C726" i="15"/>
  <c r="F726" i="15" l="1"/>
  <c r="H726" i="15"/>
  <c r="E726" i="15"/>
  <c r="G725" i="15"/>
  <c r="D727" i="15"/>
  <c r="C727" i="15"/>
  <c r="G726" i="15" l="1"/>
  <c r="H727" i="15"/>
  <c r="F727" i="15"/>
  <c r="E727" i="15"/>
  <c r="C728" i="15"/>
  <c r="D728" i="15"/>
  <c r="G727" i="15" l="1"/>
  <c r="F728" i="15"/>
  <c r="H728" i="15"/>
  <c r="E728" i="15"/>
  <c r="C729" i="15"/>
  <c r="D729" i="15"/>
  <c r="G728" i="15" l="1"/>
  <c r="H729" i="15"/>
  <c r="F729" i="15"/>
  <c r="E729" i="15"/>
  <c r="C730" i="15"/>
  <c r="D730" i="15"/>
  <c r="G729" i="15" l="1"/>
  <c r="E730" i="15"/>
  <c r="F730" i="15"/>
  <c r="H730" i="15"/>
  <c r="C731" i="15"/>
  <c r="D731" i="15"/>
  <c r="H731" i="15" l="1"/>
  <c r="E731" i="15"/>
  <c r="F731" i="15"/>
  <c r="D732" i="15"/>
  <c r="C732" i="15"/>
  <c r="G730" i="15"/>
  <c r="D733" i="15" l="1"/>
  <c r="C733" i="15"/>
  <c r="G731" i="15"/>
  <c r="H732" i="15"/>
  <c r="E732" i="15"/>
  <c r="F732" i="15"/>
  <c r="F733" i="15" l="1"/>
  <c r="H733" i="15"/>
  <c r="E733" i="15"/>
  <c r="G732" i="15"/>
  <c r="D734" i="15"/>
  <c r="C734" i="15"/>
  <c r="D735" i="15" l="1"/>
  <c r="C735" i="15"/>
  <c r="G733" i="15"/>
  <c r="H734" i="15"/>
  <c r="E734" i="15"/>
  <c r="F734" i="15"/>
  <c r="G734" i="15" l="1"/>
  <c r="C736" i="15"/>
  <c r="D736" i="15"/>
  <c r="F735" i="15"/>
  <c r="H735" i="15"/>
  <c r="E735" i="15"/>
  <c r="C737" i="15" l="1"/>
  <c r="D737" i="15"/>
  <c r="G735" i="15"/>
  <c r="E736" i="15"/>
  <c r="H736" i="15"/>
  <c r="F736" i="15"/>
  <c r="G736" i="15" l="1"/>
  <c r="D738" i="15"/>
  <c r="C738" i="15"/>
  <c r="E737" i="15"/>
  <c r="H737" i="15"/>
  <c r="F737" i="15"/>
  <c r="G737" i="15" l="1"/>
  <c r="H738" i="15"/>
  <c r="E738" i="15"/>
  <c r="F738" i="15"/>
  <c r="C739" i="15"/>
  <c r="D739" i="15"/>
  <c r="F739" i="15" l="1"/>
  <c r="E739" i="15"/>
  <c r="H739" i="15"/>
  <c r="C740" i="15"/>
  <c r="D740" i="15"/>
  <c r="G738" i="15"/>
  <c r="F740" i="15" l="1"/>
  <c r="H740" i="15"/>
  <c r="E740" i="15"/>
  <c r="C741" i="15"/>
  <c r="D741" i="15"/>
  <c r="G739" i="15"/>
  <c r="E741" i="15" l="1"/>
  <c r="F741" i="15"/>
  <c r="H741" i="15"/>
  <c r="G740" i="15"/>
  <c r="D742" i="15"/>
  <c r="C742" i="15"/>
  <c r="H742" i="15" l="1"/>
  <c r="E742" i="15"/>
  <c r="F742" i="15"/>
  <c r="D743" i="15"/>
  <c r="C743" i="15"/>
  <c r="G741" i="15"/>
  <c r="G742" i="15" l="1"/>
  <c r="D744" i="15"/>
  <c r="C744" i="15"/>
  <c r="F743" i="15"/>
  <c r="E743" i="15"/>
  <c r="H743" i="15"/>
  <c r="E744" i="15" l="1"/>
  <c r="F744" i="15"/>
  <c r="H744" i="15"/>
  <c r="D745" i="15"/>
  <c r="C745" i="15"/>
  <c r="G743" i="15"/>
  <c r="G744" i="15" l="1"/>
  <c r="D746" i="15"/>
  <c r="C746" i="15"/>
  <c r="F745" i="15"/>
  <c r="H745" i="15"/>
  <c r="E745" i="15"/>
  <c r="H746" i="15" l="1"/>
  <c r="E746" i="15"/>
  <c r="F746" i="15"/>
  <c r="G745" i="15"/>
  <c r="D747" i="15"/>
  <c r="C747" i="15"/>
  <c r="F747" i="15" l="1"/>
  <c r="E747" i="15"/>
  <c r="H747" i="15"/>
  <c r="G746" i="15"/>
  <c r="D748" i="15"/>
  <c r="C748" i="15"/>
  <c r="H748" i="15" l="1"/>
  <c r="E748" i="15"/>
  <c r="F748" i="15"/>
  <c r="G747" i="15"/>
  <c r="D749" i="15"/>
  <c r="C749" i="15"/>
  <c r="F749" i="15" l="1"/>
  <c r="H749" i="15"/>
  <c r="E749" i="15"/>
  <c r="G748" i="15"/>
  <c r="D750" i="15"/>
  <c r="C750" i="15"/>
  <c r="G749" i="15" l="1"/>
  <c r="H750" i="15"/>
  <c r="E750" i="15"/>
  <c r="F750" i="15"/>
  <c r="D751" i="15"/>
  <c r="C751" i="15"/>
  <c r="G750" i="15" l="1"/>
  <c r="C752" i="15"/>
  <c r="D752" i="15"/>
  <c r="F751" i="15"/>
  <c r="E751" i="15"/>
  <c r="H751" i="15"/>
  <c r="G751" i="15" l="1"/>
  <c r="C753" i="15"/>
  <c r="D753" i="15"/>
  <c r="F752" i="15"/>
  <c r="H752" i="15"/>
  <c r="E752" i="15"/>
  <c r="D754" i="15" l="1"/>
  <c r="C754" i="15"/>
  <c r="G752" i="15"/>
  <c r="E753" i="15"/>
  <c r="H753" i="15"/>
  <c r="F753" i="15"/>
  <c r="G753" i="15" l="1"/>
  <c r="C755" i="15"/>
  <c r="D755" i="15"/>
  <c r="H754" i="15"/>
  <c r="E754" i="15"/>
  <c r="F754" i="15"/>
  <c r="G754" i="15" l="1"/>
  <c r="D756" i="15"/>
  <c r="C756" i="15"/>
  <c r="E755" i="15"/>
  <c r="F755" i="15"/>
  <c r="H755" i="15"/>
  <c r="G755" i="15" l="1"/>
  <c r="H756" i="15"/>
  <c r="E756" i="15"/>
  <c r="F756" i="15"/>
  <c r="C757" i="15"/>
  <c r="D757" i="15"/>
  <c r="H757" i="15" l="1"/>
  <c r="F757" i="15"/>
  <c r="E757" i="15"/>
  <c r="D758" i="15"/>
  <c r="C758" i="15"/>
  <c r="G756" i="15"/>
  <c r="G757" i="15" l="1"/>
  <c r="H758" i="15"/>
  <c r="E758" i="15"/>
  <c r="F758" i="15"/>
  <c r="C759" i="15"/>
  <c r="D759" i="15"/>
  <c r="E759" i="15" l="1"/>
  <c r="H759" i="15"/>
  <c r="F759" i="15"/>
  <c r="D760" i="15"/>
  <c r="C760" i="15"/>
  <c r="G758" i="15"/>
  <c r="C761" i="15" l="1"/>
  <c r="D761" i="15"/>
  <c r="H760" i="15"/>
  <c r="E760" i="15"/>
  <c r="F760" i="15"/>
  <c r="G759" i="15"/>
  <c r="G760" i="15" l="1"/>
  <c r="D762" i="15"/>
  <c r="C762" i="15"/>
  <c r="H761" i="15"/>
  <c r="E761" i="15"/>
  <c r="F761" i="15"/>
  <c r="H762" i="15" l="1"/>
  <c r="E762" i="15"/>
  <c r="F762" i="15"/>
  <c r="C763" i="15"/>
  <c r="D763" i="15"/>
  <c r="G761" i="15"/>
  <c r="H763" i="15" l="1"/>
  <c r="F763" i="15"/>
  <c r="E763" i="15"/>
  <c r="G762" i="15"/>
  <c r="D764" i="15"/>
  <c r="C764" i="15"/>
  <c r="G763" i="15" l="1"/>
  <c r="H764" i="15"/>
  <c r="E764" i="15"/>
  <c r="F764" i="15"/>
  <c r="D765" i="15"/>
  <c r="C765" i="15"/>
  <c r="D766" i="15" l="1"/>
  <c r="C766" i="15"/>
  <c r="G764" i="15"/>
  <c r="F765" i="15"/>
  <c r="H765" i="15"/>
  <c r="E765" i="15"/>
  <c r="G765" i="15" l="1"/>
  <c r="H766" i="15"/>
  <c r="E766" i="15"/>
  <c r="F766" i="15"/>
  <c r="D767" i="15"/>
  <c r="C767" i="15"/>
  <c r="D768" i="15" l="1"/>
  <c r="C768" i="15"/>
  <c r="G766" i="15"/>
  <c r="H767" i="15"/>
  <c r="F767" i="15"/>
  <c r="E767" i="15"/>
  <c r="D769" i="15" l="1"/>
  <c r="C769" i="15"/>
  <c r="G767" i="15"/>
  <c r="H768" i="15"/>
  <c r="E768" i="15"/>
  <c r="F768" i="15"/>
  <c r="G768" i="15" l="1"/>
  <c r="F769" i="15"/>
  <c r="H769" i="15"/>
  <c r="E769" i="15"/>
  <c r="D770" i="15"/>
  <c r="C770" i="15"/>
  <c r="G769" i="15" l="1"/>
  <c r="D771" i="15"/>
  <c r="C771" i="15"/>
  <c r="H770" i="15"/>
  <c r="E770" i="15"/>
  <c r="F770" i="15"/>
  <c r="G770" i="15" l="1"/>
  <c r="F771" i="15"/>
  <c r="E771" i="15"/>
  <c r="H771" i="15"/>
  <c r="D772" i="15"/>
  <c r="C772" i="15"/>
  <c r="G771" i="15" l="1"/>
  <c r="D773" i="15"/>
  <c r="C773" i="15"/>
  <c r="H772" i="15"/>
  <c r="E772" i="15"/>
  <c r="F772" i="15"/>
  <c r="G772" i="15" l="1"/>
  <c r="F773" i="15"/>
  <c r="H773" i="15"/>
  <c r="E773" i="15"/>
  <c r="D774" i="15"/>
  <c r="C774" i="15"/>
  <c r="G773" i="15" l="1"/>
  <c r="D775" i="15"/>
  <c r="C775" i="15"/>
  <c r="H774" i="15"/>
  <c r="E774" i="15"/>
  <c r="F774" i="15"/>
  <c r="G774" i="15" l="1"/>
  <c r="F775" i="15"/>
  <c r="E775" i="15"/>
  <c r="H775" i="15"/>
  <c r="C776" i="15"/>
  <c r="D776" i="15"/>
  <c r="G775" i="15" l="1"/>
  <c r="F776" i="15"/>
  <c r="E776" i="15"/>
  <c r="H776" i="15"/>
  <c r="C777" i="15"/>
  <c r="D777" i="15"/>
  <c r="G776" i="15" l="1"/>
  <c r="E777" i="15"/>
  <c r="H777" i="15"/>
  <c r="F777" i="15"/>
  <c r="D778" i="15"/>
  <c r="C778" i="15"/>
  <c r="C779" i="15" l="1"/>
  <c r="D779" i="15"/>
  <c r="H778" i="15"/>
  <c r="E778" i="15"/>
  <c r="F778" i="15"/>
  <c r="G777" i="15"/>
  <c r="H779" i="15" l="1"/>
  <c r="E779" i="15"/>
  <c r="F779" i="15"/>
  <c r="G778" i="15"/>
  <c r="D780" i="15"/>
  <c r="C780" i="15"/>
  <c r="H780" i="15" l="1"/>
  <c r="E780" i="15"/>
  <c r="F780" i="15"/>
  <c r="G779" i="15"/>
  <c r="D781" i="15"/>
  <c r="C781" i="15"/>
  <c r="F781" i="15" l="1"/>
  <c r="H781" i="15"/>
  <c r="E781" i="15"/>
  <c r="G780" i="15"/>
  <c r="D782" i="15"/>
  <c r="C782" i="15"/>
  <c r="G781" i="15" l="1"/>
  <c r="H782" i="15"/>
  <c r="E782" i="15"/>
  <c r="F782" i="15"/>
  <c r="D783" i="15"/>
  <c r="C783" i="15"/>
  <c r="D784" i="15" l="1"/>
  <c r="C784" i="15"/>
  <c r="G782" i="15"/>
  <c r="F783" i="15"/>
  <c r="E783" i="15"/>
  <c r="H783" i="15"/>
  <c r="G783" i="15" l="1"/>
  <c r="H784" i="15"/>
  <c r="E784" i="15"/>
  <c r="F784" i="15"/>
  <c r="D785" i="15"/>
  <c r="C785" i="15"/>
  <c r="D786" i="15" l="1"/>
  <c r="C786" i="15"/>
  <c r="G784" i="15"/>
  <c r="F785" i="15"/>
  <c r="H785" i="15"/>
  <c r="E785" i="15"/>
  <c r="G785" i="15" l="1"/>
  <c r="H786" i="15"/>
  <c r="E786" i="15"/>
  <c r="F786" i="15"/>
  <c r="D787" i="15"/>
  <c r="C787" i="15"/>
  <c r="D788" i="15" l="1"/>
  <c r="C788" i="15"/>
  <c r="G786" i="15"/>
  <c r="F787" i="15"/>
  <c r="E787" i="15"/>
  <c r="H787" i="15"/>
  <c r="G787" i="15" l="1"/>
  <c r="H788" i="15"/>
  <c r="E788" i="15"/>
  <c r="F788" i="15"/>
  <c r="C789" i="15"/>
  <c r="D789" i="15"/>
  <c r="H789" i="15" l="1"/>
  <c r="F789" i="15"/>
  <c r="E789" i="15"/>
  <c r="G788" i="15"/>
  <c r="D790" i="15"/>
  <c r="C790" i="15"/>
  <c r="G789" i="15" l="1"/>
  <c r="H790" i="15"/>
  <c r="F790" i="15"/>
  <c r="E790" i="15"/>
  <c r="C791" i="15"/>
  <c r="D791" i="15"/>
  <c r="G790" i="15" l="1"/>
  <c r="E791" i="15"/>
  <c r="H791" i="15"/>
  <c r="F791" i="15"/>
  <c r="D792" i="15"/>
  <c r="C792" i="15"/>
  <c r="D793" i="15" l="1"/>
  <c r="C793" i="15"/>
  <c r="H792" i="15"/>
  <c r="E792" i="15"/>
  <c r="F792" i="15"/>
  <c r="G791" i="15"/>
  <c r="G792" i="15" l="1"/>
  <c r="F793" i="15"/>
  <c r="H793" i="15"/>
  <c r="E793" i="15"/>
  <c r="C794" i="15"/>
  <c r="D794" i="15"/>
  <c r="C795" i="15" l="1"/>
  <c r="D795" i="15"/>
  <c r="G793" i="15"/>
  <c r="E794" i="15"/>
  <c r="F794" i="15"/>
  <c r="H794" i="15"/>
  <c r="G794" i="15" l="1"/>
  <c r="D796" i="15"/>
  <c r="C796" i="15"/>
  <c r="H795" i="15"/>
  <c r="E795" i="15"/>
  <c r="F795" i="15"/>
  <c r="G795" i="15" l="1"/>
  <c r="H796" i="15"/>
  <c r="E796" i="15"/>
  <c r="F796" i="15"/>
  <c r="D797" i="15"/>
  <c r="C797" i="15"/>
  <c r="C798" i="15" l="1"/>
  <c r="D798" i="15"/>
  <c r="F797" i="15"/>
  <c r="H797" i="15"/>
  <c r="E797" i="15"/>
  <c r="G796" i="15"/>
  <c r="C799" i="15" l="1"/>
  <c r="D799" i="15"/>
  <c r="G797" i="15"/>
  <c r="F798" i="15"/>
  <c r="E798" i="15"/>
  <c r="H798" i="15"/>
  <c r="G798" i="15" l="1"/>
  <c r="D800" i="15"/>
  <c r="C800" i="15"/>
  <c r="H799" i="15"/>
  <c r="E799" i="15"/>
  <c r="F799" i="15"/>
  <c r="G799" i="15" l="1"/>
  <c r="H800" i="15"/>
  <c r="E800" i="15"/>
  <c r="F800" i="15"/>
  <c r="D801" i="15"/>
  <c r="C801" i="15"/>
  <c r="C802" i="15" l="1"/>
  <c r="D802" i="15"/>
  <c r="G800" i="15"/>
  <c r="F801" i="15"/>
  <c r="H801" i="15"/>
  <c r="E801" i="15"/>
  <c r="G801" i="15" l="1"/>
  <c r="F802" i="15"/>
  <c r="E802" i="15"/>
  <c r="H802" i="15"/>
  <c r="C803" i="15"/>
  <c r="D803" i="15"/>
  <c r="G802" i="15" l="1"/>
  <c r="H803" i="15"/>
  <c r="E803" i="15"/>
  <c r="F803" i="15"/>
  <c r="D804" i="15"/>
  <c r="C804" i="15"/>
  <c r="C805" i="15" l="1"/>
  <c r="D805" i="15"/>
  <c r="G803" i="15"/>
  <c r="H804" i="15"/>
  <c r="E804" i="15"/>
  <c r="F804" i="15"/>
  <c r="C806" i="15" l="1"/>
  <c r="D806" i="15"/>
  <c r="G804" i="15"/>
  <c r="F805" i="15"/>
  <c r="H805" i="15"/>
  <c r="E805" i="15"/>
  <c r="G805" i="15" l="1"/>
  <c r="C807" i="15"/>
  <c r="D807" i="15"/>
  <c r="E806" i="15"/>
  <c r="F806" i="15"/>
  <c r="H806" i="15"/>
  <c r="G806" i="15" l="1"/>
  <c r="D808" i="15"/>
  <c r="C808" i="15"/>
  <c r="H807" i="15"/>
  <c r="E807" i="15"/>
  <c r="F807" i="15"/>
  <c r="G807" i="15" l="1"/>
  <c r="H808" i="15"/>
  <c r="E808" i="15"/>
  <c r="F808" i="15"/>
  <c r="D809" i="15"/>
  <c r="C809" i="15"/>
  <c r="D810" i="15" l="1"/>
  <c r="C810" i="15"/>
  <c r="F809" i="15"/>
  <c r="H809" i="15"/>
  <c r="E809" i="15"/>
  <c r="G808" i="15"/>
  <c r="H810" i="15" l="1"/>
  <c r="E810" i="15"/>
  <c r="F810" i="15"/>
  <c r="G809" i="15"/>
  <c r="D811" i="15"/>
  <c r="C811" i="15"/>
  <c r="F811" i="15" l="1"/>
  <c r="E811" i="15"/>
  <c r="H811" i="15"/>
  <c r="G810" i="15"/>
  <c r="C812" i="15"/>
  <c r="D812" i="15"/>
  <c r="G811" i="15" l="1"/>
  <c r="C813" i="15"/>
  <c r="D813" i="15"/>
  <c r="F812" i="15"/>
  <c r="H812" i="15"/>
  <c r="E812" i="15"/>
  <c r="D814" i="15" l="1"/>
  <c r="C814" i="15"/>
  <c r="G812" i="15"/>
  <c r="E813" i="15"/>
  <c r="F813" i="15"/>
  <c r="H813" i="15"/>
  <c r="G813" i="15" l="1"/>
  <c r="H814" i="15"/>
  <c r="E814" i="15"/>
  <c r="F814" i="15"/>
  <c r="D815" i="15"/>
  <c r="C815" i="15"/>
  <c r="C816" i="15" l="1"/>
  <c r="D816" i="15"/>
  <c r="G814" i="15"/>
  <c r="F815" i="15"/>
  <c r="E815" i="15"/>
  <c r="H815" i="15"/>
  <c r="C817" i="15" l="1"/>
  <c r="D817" i="15"/>
  <c r="G815" i="15"/>
  <c r="F816" i="15"/>
  <c r="H816" i="15"/>
  <c r="E816" i="15"/>
  <c r="G816" i="15" l="1"/>
  <c r="D818" i="15"/>
  <c r="C818" i="15"/>
  <c r="E817" i="15"/>
  <c r="F817" i="15"/>
  <c r="H817" i="15"/>
  <c r="G817" i="15" l="1"/>
  <c r="H818" i="15"/>
  <c r="E818" i="15"/>
  <c r="F818" i="15"/>
  <c r="D819" i="15"/>
  <c r="C819" i="15"/>
  <c r="D820" i="15" l="1"/>
  <c r="C820" i="15"/>
  <c r="G818" i="15"/>
  <c r="F819" i="15"/>
  <c r="E819" i="15"/>
  <c r="H819" i="15"/>
  <c r="H820" i="15" l="1"/>
  <c r="E820" i="15"/>
  <c r="F820" i="15"/>
  <c r="G819" i="15"/>
  <c r="D821" i="15"/>
  <c r="C821" i="15"/>
  <c r="F821" i="15" l="1"/>
  <c r="H821" i="15"/>
  <c r="E821" i="15"/>
  <c r="G820" i="15"/>
  <c r="C822" i="15"/>
  <c r="D822" i="15"/>
  <c r="G821" i="15" l="1"/>
  <c r="C823" i="15"/>
  <c r="D823" i="15"/>
  <c r="F822" i="15"/>
  <c r="H822" i="15"/>
  <c r="E822" i="15"/>
  <c r="G822" i="15" l="1"/>
  <c r="D824" i="15"/>
  <c r="C824" i="15"/>
  <c r="H823" i="15"/>
  <c r="F823" i="15"/>
  <c r="E823" i="15"/>
  <c r="G823" i="15" l="1"/>
  <c r="H824" i="15"/>
  <c r="E824" i="15"/>
  <c r="F824" i="15"/>
  <c r="D825" i="15"/>
  <c r="C825" i="15"/>
  <c r="C826" i="15" l="1"/>
  <c r="D826" i="15"/>
  <c r="G824" i="15"/>
  <c r="F825" i="15"/>
  <c r="H825" i="15"/>
  <c r="E825" i="15"/>
  <c r="G825" i="15" l="1"/>
  <c r="C827" i="15"/>
  <c r="D827" i="15"/>
  <c r="F826" i="15"/>
  <c r="H826" i="15"/>
  <c r="E826" i="15"/>
  <c r="G826" i="15" l="1"/>
  <c r="H827" i="15"/>
  <c r="F827" i="15"/>
  <c r="E827" i="15"/>
  <c r="D828" i="15"/>
  <c r="C828" i="15"/>
  <c r="G827" i="15" l="1"/>
  <c r="D829" i="15"/>
  <c r="C829" i="15"/>
  <c r="H828" i="15"/>
  <c r="E828" i="15"/>
  <c r="F828" i="15"/>
  <c r="G828" i="15" l="1"/>
  <c r="F829" i="15"/>
  <c r="H829" i="15"/>
  <c r="E829" i="15"/>
  <c r="C830" i="15"/>
  <c r="D830" i="15"/>
  <c r="G829" i="15" l="1"/>
  <c r="F830" i="15"/>
  <c r="H830" i="15"/>
  <c r="E830" i="15"/>
  <c r="C831" i="15"/>
  <c r="D831" i="15"/>
  <c r="G830" i="15" l="1"/>
  <c r="H831" i="15"/>
  <c r="F831" i="15"/>
  <c r="E831" i="15"/>
  <c r="D832" i="15"/>
  <c r="C832" i="15"/>
  <c r="G831" i="15" l="1"/>
  <c r="D833" i="15"/>
  <c r="C833" i="15"/>
  <c r="H832" i="15"/>
  <c r="E832" i="15"/>
  <c r="F832" i="15"/>
  <c r="G832" i="15" l="1"/>
  <c r="F833" i="15"/>
  <c r="H833" i="15"/>
  <c r="E833" i="15"/>
  <c r="C834" i="15"/>
  <c r="D834" i="15"/>
  <c r="G833" i="15" l="1"/>
  <c r="F834" i="15"/>
  <c r="H834" i="15"/>
  <c r="E834" i="15"/>
  <c r="C835" i="15"/>
  <c r="D835" i="15"/>
  <c r="G834" i="15" l="1"/>
  <c r="H835" i="15"/>
  <c r="F835" i="15"/>
  <c r="E835" i="15"/>
  <c r="D836" i="15"/>
  <c r="C836" i="15"/>
  <c r="G835" i="15" l="1"/>
  <c r="D837" i="15"/>
  <c r="C837" i="15"/>
  <c r="H836" i="15"/>
  <c r="E836" i="15"/>
  <c r="F836" i="15"/>
  <c r="G836" i="15" l="1"/>
  <c r="F837" i="15"/>
  <c r="H837" i="15"/>
  <c r="E837" i="15"/>
  <c r="C838" i="15"/>
  <c r="D838" i="15"/>
  <c r="G837" i="15" l="1"/>
  <c r="F838" i="15"/>
  <c r="H838" i="15"/>
  <c r="E838" i="15"/>
  <c r="C839" i="15"/>
  <c r="D839" i="15"/>
  <c r="G838" i="15" l="1"/>
  <c r="H839" i="15"/>
  <c r="F839" i="15"/>
  <c r="E839" i="15"/>
  <c r="D840" i="15"/>
  <c r="C840" i="15"/>
  <c r="G839" i="15" l="1"/>
  <c r="D841" i="15"/>
  <c r="C841" i="15"/>
  <c r="H840" i="15"/>
  <c r="E840" i="15"/>
  <c r="F840" i="15"/>
  <c r="G840" i="15" l="1"/>
  <c r="F841" i="15"/>
  <c r="H841" i="15"/>
  <c r="E841" i="15"/>
  <c r="C842" i="15"/>
  <c r="D842" i="15"/>
  <c r="G841" i="15" l="1"/>
  <c r="F842" i="15"/>
  <c r="H842" i="15"/>
  <c r="E842" i="15"/>
  <c r="C843" i="15"/>
  <c r="D843" i="15"/>
  <c r="G842" i="15" l="1"/>
  <c r="H843" i="15"/>
  <c r="F843" i="15"/>
  <c r="E843" i="15"/>
  <c r="D844" i="15"/>
  <c r="C844" i="15"/>
  <c r="G843" i="15" l="1"/>
  <c r="H844" i="15"/>
  <c r="E844" i="15"/>
  <c r="F844" i="15"/>
  <c r="D845" i="15"/>
  <c r="C845" i="15"/>
  <c r="C846" i="15" l="1"/>
  <c r="D846" i="15"/>
  <c r="G844" i="15"/>
  <c r="F845" i="15"/>
  <c r="H845" i="15"/>
  <c r="E845" i="15"/>
  <c r="G845" i="15" l="1"/>
  <c r="C847" i="15"/>
  <c r="D847" i="15"/>
  <c r="F846" i="15"/>
  <c r="H846" i="15"/>
  <c r="E846" i="15"/>
  <c r="G846" i="15" l="1"/>
  <c r="D848" i="15"/>
  <c r="C848" i="15"/>
  <c r="H847" i="15"/>
  <c r="F847" i="15"/>
  <c r="E847" i="15"/>
  <c r="H848" i="15" l="1"/>
  <c r="E848" i="15"/>
  <c r="F848" i="15"/>
  <c r="G847" i="15"/>
  <c r="D849" i="15"/>
  <c r="C849" i="15"/>
  <c r="F849" i="15" l="1"/>
  <c r="H849" i="15"/>
  <c r="E849" i="15"/>
  <c r="G848" i="15"/>
  <c r="C850" i="15"/>
  <c r="D850" i="15"/>
  <c r="G849" i="15" l="1"/>
  <c r="C851" i="15"/>
  <c r="D851" i="15"/>
  <c r="F850" i="15"/>
  <c r="H850" i="15"/>
  <c r="E850" i="15"/>
  <c r="D852" i="15" l="1"/>
  <c r="C852" i="15"/>
  <c r="G850" i="15"/>
  <c r="H851" i="15"/>
  <c r="F851" i="15"/>
  <c r="E851" i="15"/>
  <c r="G851" i="15" l="1"/>
  <c r="H852" i="15"/>
  <c r="E852" i="15"/>
  <c r="F852" i="15"/>
  <c r="D853" i="15"/>
  <c r="C853" i="15"/>
  <c r="D854" i="15" l="1"/>
  <c r="C854" i="15"/>
  <c r="G852" i="15"/>
  <c r="F853" i="15"/>
  <c r="H853" i="15"/>
  <c r="E853" i="15"/>
  <c r="G853" i="15" l="1"/>
  <c r="F854" i="15"/>
  <c r="H854" i="15"/>
  <c r="E854" i="15"/>
  <c r="C855" i="15"/>
  <c r="D855" i="15"/>
  <c r="G854" i="15" l="1"/>
  <c r="H855" i="15"/>
  <c r="F855" i="15"/>
  <c r="E855" i="15"/>
  <c r="D856" i="15"/>
  <c r="C856" i="15"/>
  <c r="G855" i="15" l="1"/>
  <c r="D857" i="15"/>
  <c r="C857" i="15"/>
  <c r="H856" i="15"/>
  <c r="E856" i="15"/>
  <c r="F856" i="15"/>
  <c r="G856" i="15" l="1"/>
  <c r="F857" i="15"/>
  <c r="H857" i="15"/>
  <c r="E857" i="15"/>
  <c r="C858" i="15"/>
  <c r="D858" i="15"/>
  <c r="G857" i="15" l="1"/>
  <c r="F858" i="15"/>
  <c r="H858" i="15"/>
  <c r="E858" i="15"/>
  <c r="C859" i="15"/>
  <c r="D859" i="15"/>
  <c r="G858" i="15" l="1"/>
  <c r="H859" i="15"/>
  <c r="F859" i="15"/>
  <c r="E859" i="15"/>
  <c r="D860" i="15"/>
  <c r="C860" i="15"/>
  <c r="G859" i="15" l="1"/>
  <c r="D861" i="15"/>
  <c r="C861" i="15"/>
  <c r="E860" i="15"/>
  <c r="F860" i="15"/>
  <c r="H860" i="15"/>
  <c r="G860" i="15" l="1"/>
  <c r="E861" i="15"/>
  <c r="F861" i="15"/>
  <c r="H861" i="15"/>
  <c r="C862" i="15"/>
  <c r="D862" i="15"/>
  <c r="C863" i="15" l="1"/>
  <c r="D863" i="15"/>
  <c r="G861" i="15"/>
  <c r="H862" i="15"/>
  <c r="E862" i="15"/>
  <c r="F862" i="15"/>
  <c r="C864" i="15" l="1"/>
  <c r="D864" i="15"/>
  <c r="G862" i="15"/>
  <c r="F863" i="15"/>
  <c r="H863" i="15"/>
  <c r="E863" i="15"/>
  <c r="G863" i="15" l="1"/>
  <c r="C865" i="15"/>
  <c r="D865" i="15"/>
  <c r="E864" i="15"/>
  <c r="H864" i="15"/>
  <c r="F864" i="15"/>
  <c r="G864" i="15" l="1"/>
  <c r="C866" i="15"/>
  <c r="D866" i="15"/>
  <c r="E865" i="15"/>
  <c r="F865" i="15"/>
  <c r="H865" i="15"/>
  <c r="G865" i="15" l="1"/>
  <c r="D867" i="15"/>
  <c r="C867" i="15"/>
  <c r="E866" i="15"/>
  <c r="F866" i="15"/>
  <c r="H866" i="15"/>
  <c r="G866" i="15" l="1"/>
  <c r="H867" i="15"/>
  <c r="E867" i="15"/>
  <c r="F867" i="15"/>
  <c r="D868" i="15"/>
  <c r="C868" i="15"/>
  <c r="G867" i="15" l="1"/>
  <c r="F868" i="15"/>
  <c r="H868" i="15"/>
  <c r="E868" i="15"/>
  <c r="C869" i="15"/>
  <c r="D869" i="15"/>
  <c r="G868" i="15" l="1"/>
  <c r="C870" i="15"/>
  <c r="D870" i="15"/>
  <c r="F869" i="15"/>
  <c r="H869" i="15"/>
  <c r="E869" i="15"/>
  <c r="D871" i="15" l="1"/>
  <c r="C871" i="15"/>
  <c r="G869" i="15"/>
  <c r="E870" i="15"/>
  <c r="F870" i="15"/>
  <c r="H870" i="15"/>
  <c r="G870" i="15" l="1"/>
  <c r="H871" i="15"/>
  <c r="E871" i="15"/>
  <c r="F871" i="15"/>
  <c r="D872" i="15"/>
  <c r="C872" i="15"/>
  <c r="C873" i="15" l="1"/>
  <c r="D873" i="15"/>
  <c r="G871" i="15"/>
  <c r="F872" i="15"/>
  <c r="H872" i="15"/>
  <c r="E872" i="15"/>
  <c r="G872" i="15" l="1"/>
  <c r="C874" i="15"/>
  <c r="D874" i="15"/>
  <c r="F873" i="15"/>
  <c r="H873" i="15"/>
  <c r="E873" i="15"/>
  <c r="G873" i="15" l="1"/>
  <c r="D875" i="15"/>
  <c r="C875" i="15"/>
  <c r="E874" i="15"/>
  <c r="F874" i="15"/>
  <c r="H874" i="15"/>
  <c r="G874" i="15" l="1"/>
  <c r="H875" i="15"/>
  <c r="E875" i="15"/>
  <c r="F875" i="15"/>
  <c r="D876" i="15"/>
  <c r="C876" i="15"/>
  <c r="C877" i="15" l="1"/>
  <c r="D877" i="15"/>
  <c r="G875" i="15"/>
  <c r="F876" i="15"/>
  <c r="H876" i="15"/>
  <c r="E876" i="15"/>
  <c r="G876" i="15" l="1"/>
  <c r="C878" i="15"/>
  <c r="D878" i="15"/>
  <c r="F877" i="15"/>
  <c r="H877" i="15"/>
  <c r="E877" i="15"/>
  <c r="D879" i="15" l="1"/>
  <c r="C879" i="15"/>
  <c r="G877" i="15"/>
  <c r="E878" i="15"/>
  <c r="F878" i="15"/>
  <c r="H878" i="15"/>
  <c r="G878" i="15" l="1"/>
  <c r="H879" i="15"/>
  <c r="E879" i="15"/>
  <c r="F879" i="15"/>
  <c r="D880" i="15"/>
  <c r="C880" i="15"/>
  <c r="F880" i="15" l="1"/>
  <c r="H880" i="15"/>
  <c r="E880" i="15"/>
  <c r="D881" i="15"/>
  <c r="C881" i="15"/>
  <c r="G879" i="15"/>
  <c r="G880" i="15" l="1"/>
  <c r="D882" i="15"/>
  <c r="C882" i="15"/>
  <c r="H881" i="15"/>
  <c r="E881" i="15"/>
  <c r="F881" i="15"/>
  <c r="G881" i="15" l="1"/>
  <c r="F882" i="15"/>
  <c r="H882" i="15"/>
  <c r="E882" i="15"/>
  <c r="D883" i="15"/>
  <c r="C883" i="15"/>
  <c r="G882" i="15" l="1"/>
  <c r="D884" i="15"/>
  <c r="C884" i="15"/>
  <c r="H883" i="15"/>
  <c r="E883" i="15"/>
  <c r="F883" i="15"/>
  <c r="G883" i="15" l="1"/>
  <c r="F884" i="15"/>
  <c r="H884" i="15"/>
  <c r="E884" i="15"/>
  <c r="C885" i="15"/>
  <c r="D885" i="15"/>
  <c r="G884" i="15" l="1"/>
  <c r="F885" i="15"/>
  <c r="H885" i="15"/>
  <c r="E885" i="15"/>
  <c r="C886" i="15"/>
  <c r="D886" i="15"/>
  <c r="G885" i="15" l="1"/>
  <c r="E886" i="15"/>
  <c r="F886" i="15"/>
  <c r="H886" i="15"/>
  <c r="D887" i="15"/>
  <c r="C887" i="15"/>
  <c r="D888" i="15" l="1"/>
  <c r="C888" i="15"/>
  <c r="H887" i="15"/>
  <c r="E887" i="15"/>
  <c r="F887" i="15"/>
  <c r="G886" i="15"/>
  <c r="G887" i="15" l="1"/>
  <c r="F888" i="15"/>
  <c r="H888" i="15"/>
  <c r="E888" i="15"/>
  <c r="C889" i="15"/>
  <c r="D889" i="15"/>
  <c r="G888" i="15" l="1"/>
  <c r="F889" i="15"/>
  <c r="H889" i="15"/>
  <c r="E889" i="15"/>
  <c r="C890" i="15"/>
  <c r="D890" i="15"/>
  <c r="G889" i="15" l="1"/>
  <c r="E890" i="15"/>
  <c r="F890" i="15"/>
  <c r="H890" i="15"/>
  <c r="D891" i="15"/>
  <c r="C891" i="15"/>
  <c r="D892" i="15" l="1"/>
  <c r="C892" i="15"/>
  <c r="H891" i="15"/>
  <c r="E891" i="15"/>
  <c r="F891" i="15"/>
  <c r="G890" i="15"/>
  <c r="G891" i="15" l="1"/>
  <c r="F892" i="15"/>
  <c r="H892" i="15"/>
  <c r="E892" i="15"/>
  <c r="D893" i="15"/>
  <c r="C893" i="15"/>
  <c r="G892" i="15" l="1"/>
  <c r="D894" i="15"/>
  <c r="C894" i="15"/>
  <c r="H893" i="15"/>
  <c r="E893" i="15"/>
  <c r="F893" i="15"/>
  <c r="G893" i="15" l="1"/>
  <c r="F894" i="15"/>
  <c r="H894" i="15"/>
  <c r="E894" i="15"/>
  <c r="C895" i="15"/>
  <c r="D895" i="15"/>
  <c r="G894" i="15" l="1"/>
  <c r="E895" i="15"/>
  <c r="F895" i="15"/>
  <c r="H895" i="15"/>
  <c r="C896" i="15"/>
  <c r="D896" i="15"/>
  <c r="F896" i="15" l="1"/>
  <c r="E896" i="15"/>
  <c r="H896" i="15"/>
  <c r="D897" i="15"/>
  <c r="C897" i="15"/>
  <c r="G895" i="15"/>
  <c r="G896" i="15" l="1"/>
  <c r="D898" i="15"/>
  <c r="C898" i="15"/>
  <c r="E897" i="15"/>
  <c r="F897" i="15"/>
  <c r="H897" i="15"/>
  <c r="G897" i="15" l="1"/>
  <c r="H898" i="15"/>
  <c r="F898" i="15"/>
  <c r="E898" i="15"/>
  <c r="D899" i="15"/>
  <c r="C899" i="15"/>
  <c r="G898" i="15" l="1"/>
  <c r="E899" i="15"/>
  <c r="F899" i="15"/>
  <c r="H899" i="15"/>
  <c r="D900" i="15"/>
  <c r="C900" i="15"/>
  <c r="C901" i="15" l="1"/>
  <c r="D901" i="15"/>
  <c r="H900" i="15"/>
  <c r="E900" i="15"/>
  <c r="F900" i="15"/>
  <c r="G899" i="15"/>
  <c r="G900" i="15" l="1"/>
  <c r="C902" i="15"/>
  <c r="D902" i="15"/>
  <c r="H901" i="15"/>
  <c r="E901" i="15"/>
  <c r="F901" i="15"/>
  <c r="G901" i="15" l="1"/>
  <c r="C903" i="15"/>
  <c r="D903" i="15"/>
  <c r="F902" i="15"/>
  <c r="E902" i="15"/>
  <c r="H902" i="15"/>
  <c r="G902" i="15" l="1"/>
  <c r="C904" i="15"/>
  <c r="D904" i="15"/>
  <c r="H903" i="15"/>
  <c r="E903" i="15"/>
  <c r="F903" i="15"/>
  <c r="G903" i="15" l="1"/>
  <c r="D905" i="15"/>
  <c r="C905" i="15"/>
  <c r="E904" i="15"/>
  <c r="F904" i="15"/>
  <c r="H904" i="15"/>
  <c r="G904" i="15" l="1"/>
  <c r="E905" i="15"/>
  <c r="F905" i="15"/>
  <c r="H905" i="15"/>
  <c r="D906" i="15"/>
  <c r="C906" i="15"/>
  <c r="H906" i="15" l="1"/>
  <c r="F906" i="15"/>
  <c r="E906" i="15"/>
  <c r="G905" i="15"/>
  <c r="D907" i="15"/>
  <c r="C907" i="15"/>
  <c r="G906" i="15" l="1"/>
  <c r="E907" i="15"/>
  <c r="F907" i="15"/>
  <c r="H907" i="15"/>
  <c r="D908" i="15"/>
  <c r="C908" i="15"/>
  <c r="C909" i="15" l="1"/>
  <c r="D909" i="15"/>
  <c r="H908" i="15"/>
  <c r="E908" i="15"/>
  <c r="F908" i="15"/>
  <c r="G907" i="15"/>
  <c r="G908" i="15" l="1"/>
  <c r="C910" i="15"/>
  <c r="D910" i="15"/>
  <c r="H909" i="15"/>
  <c r="E909" i="15"/>
  <c r="F909" i="15"/>
  <c r="G909" i="15" l="1"/>
  <c r="C911" i="15"/>
  <c r="D911" i="15"/>
  <c r="F910" i="15"/>
  <c r="E910" i="15"/>
  <c r="H910" i="15"/>
  <c r="G910" i="15" l="1"/>
  <c r="C912" i="15"/>
  <c r="D912" i="15"/>
  <c r="H911" i="15"/>
  <c r="E911" i="15"/>
  <c r="F911" i="15"/>
  <c r="D913" i="15" l="1"/>
  <c r="C913" i="15"/>
  <c r="E912" i="15"/>
  <c r="F912" i="15"/>
  <c r="H912" i="15"/>
  <c r="G911" i="15"/>
  <c r="G912" i="15" l="1"/>
  <c r="E913" i="15"/>
  <c r="F913" i="15"/>
  <c r="H913" i="15"/>
  <c r="D914" i="15"/>
  <c r="C914" i="15"/>
  <c r="H914" i="15" l="1"/>
  <c r="F914" i="15"/>
  <c r="E914" i="15"/>
  <c r="G913" i="15"/>
  <c r="D915" i="15"/>
  <c r="C915" i="15"/>
  <c r="G914" i="15" l="1"/>
  <c r="E915" i="15"/>
  <c r="F915" i="15"/>
  <c r="H915" i="15"/>
  <c r="C916" i="15"/>
  <c r="D916" i="15"/>
  <c r="F916" i="15" l="1"/>
  <c r="H916" i="15"/>
  <c r="E916" i="15"/>
  <c r="D917" i="15"/>
  <c r="C917" i="15"/>
  <c r="G915" i="15"/>
  <c r="G916" i="15" l="1"/>
  <c r="D918" i="15"/>
  <c r="C918" i="15"/>
  <c r="E917" i="15"/>
  <c r="F917" i="15"/>
  <c r="H917" i="15"/>
  <c r="G917" i="15" l="1"/>
  <c r="E918" i="15"/>
  <c r="H918" i="15"/>
  <c r="F918" i="15"/>
  <c r="C919" i="15"/>
  <c r="D919" i="15"/>
  <c r="G918" i="15" l="1"/>
  <c r="C920" i="15"/>
  <c r="D920" i="15"/>
  <c r="F919" i="15"/>
  <c r="H919" i="15"/>
  <c r="E919" i="15"/>
  <c r="D921" i="15" l="1"/>
  <c r="C921" i="15"/>
  <c r="G919" i="15"/>
  <c r="F920" i="15"/>
  <c r="H920" i="15"/>
  <c r="E920" i="15"/>
  <c r="G920" i="15" l="1"/>
  <c r="E921" i="15"/>
  <c r="F921" i="15"/>
  <c r="H921" i="15"/>
  <c r="D922" i="15"/>
  <c r="C922" i="15"/>
  <c r="G921" i="15" l="1"/>
  <c r="H922" i="15"/>
  <c r="F922" i="15"/>
  <c r="E922" i="15"/>
  <c r="D923" i="15"/>
  <c r="C923" i="15"/>
  <c r="G922" i="15" l="1"/>
  <c r="E923" i="15"/>
  <c r="F923" i="15"/>
  <c r="H923" i="15"/>
  <c r="C924" i="15"/>
  <c r="D924" i="15"/>
  <c r="H924" i="15" l="1"/>
  <c r="E924" i="15"/>
  <c r="F924" i="15"/>
  <c r="C925" i="15"/>
  <c r="D925" i="15"/>
  <c r="G923" i="15"/>
  <c r="G924" i="15" l="1"/>
  <c r="F925" i="15"/>
  <c r="H925" i="15"/>
  <c r="E925" i="15"/>
  <c r="C926" i="15"/>
  <c r="D926" i="15"/>
  <c r="G925" i="15" l="1"/>
  <c r="C927" i="15"/>
  <c r="D927" i="15"/>
  <c r="E926" i="15"/>
  <c r="H926" i="15"/>
  <c r="F926" i="15"/>
  <c r="G926" i="15" l="1"/>
  <c r="C928" i="15"/>
  <c r="D928" i="15"/>
  <c r="F927" i="15"/>
  <c r="H927" i="15"/>
  <c r="E927" i="15"/>
  <c r="D929" i="15" l="1"/>
  <c r="C929" i="15"/>
  <c r="G927" i="15"/>
  <c r="F928" i="15"/>
  <c r="H928" i="15"/>
  <c r="E928" i="15"/>
  <c r="G928" i="15" l="1"/>
  <c r="E929" i="15"/>
  <c r="F929" i="15"/>
  <c r="H929" i="15"/>
  <c r="D930" i="15"/>
  <c r="C930" i="15"/>
  <c r="H930" i="15" l="1"/>
  <c r="F930" i="15"/>
  <c r="E930" i="15"/>
  <c r="G929" i="15"/>
  <c r="D931" i="15"/>
  <c r="C931" i="15"/>
  <c r="G930" i="15" l="1"/>
  <c r="D932" i="15"/>
  <c r="C932" i="15"/>
  <c r="E931" i="15"/>
  <c r="F931" i="15"/>
  <c r="H931" i="15"/>
  <c r="G931" i="15" l="1"/>
  <c r="H932" i="15"/>
  <c r="E932" i="15"/>
  <c r="F932" i="15"/>
  <c r="C933" i="15"/>
  <c r="D933" i="15"/>
  <c r="G932" i="15" l="1"/>
  <c r="C934" i="15"/>
  <c r="D934" i="15"/>
  <c r="F933" i="15"/>
  <c r="H933" i="15"/>
  <c r="E933" i="15"/>
  <c r="G933" i="15" l="1"/>
  <c r="C935" i="15"/>
  <c r="D935" i="15"/>
  <c r="E934" i="15"/>
  <c r="F934" i="15"/>
  <c r="H934" i="15"/>
  <c r="G934" i="15" l="1"/>
  <c r="C936" i="15"/>
  <c r="D936" i="15"/>
  <c r="F935" i="15"/>
  <c r="H935" i="15"/>
  <c r="E935" i="15"/>
  <c r="D937" i="15" l="1"/>
  <c r="C937" i="15"/>
  <c r="G935" i="15"/>
  <c r="F936" i="15"/>
  <c r="H936" i="15"/>
  <c r="E936" i="15"/>
  <c r="G936" i="15" l="1"/>
  <c r="E937" i="15"/>
  <c r="F937" i="15"/>
  <c r="H937" i="15"/>
  <c r="D938" i="15"/>
  <c r="C938" i="15"/>
  <c r="H938" i="15" l="1"/>
  <c r="F938" i="15"/>
  <c r="E938" i="15"/>
  <c r="G937" i="15"/>
  <c r="D939" i="15"/>
  <c r="C939" i="15"/>
  <c r="G938" i="15" l="1"/>
  <c r="E939" i="15"/>
  <c r="F939" i="15"/>
  <c r="H939" i="15"/>
  <c r="D940" i="15"/>
  <c r="C940" i="15"/>
  <c r="C941" i="15" l="1"/>
  <c r="D941" i="15"/>
  <c r="H940" i="15"/>
  <c r="E940" i="15"/>
  <c r="F940" i="15"/>
  <c r="G939" i="15"/>
  <c r="G940" i="15" l="1"/>
  <c r="C942" i="15"/>
  <c r="D942" i="15"/>
  <c r="F941" i="15"/>
  <c r="H941" i="15"/>
  <c r="E941" i="15"/>
  <c r="C943" i="15" l="1"/>
  <c r="D943" i="15"/>
  <c r="G941" i="15"/>
  <c r="E942" i="15"/>
  <c r="H942" i="15"/>
  <c r="F942" i="15"/>
  <c r="G942" i="15" l="1"/>
  <c r="C944" i="15"/>
  <c r="D944" i="15"/>
  <c r="F943" i="15"/>
  <c r="H943" i="15"/>
  <c r="E943" i="15"/>
  <c r="D945" i="15" l="1"/>
  <c r="C945" i="15"/>
  <c r="G943" i="15"/>
  <c r="F944" i="15"/>
  <c r="E944" i="15"/>
  <c r="H944" i="15"/>
  <c r="E945" i="15" l="1"/>
  <c r="F945" i="15"/>
  <c r="H945" i="15"/>
  <c r="G944" i="15"/>
  <c r="D946" i="15"/>
  <c r="C946" i="15"/>
  <c r="G945" i="15" l="1"/>
  <c r="H946" i="15"/>
  <c r="F946" i="15"/>
  <c r="E946" i="15"/>
  <c r="D947" i="15"/>
  <c r="C947" i="15"/>
  <c r="G946" i="15" l="1"/>
  <c r="D948" i="15"/>
  <c r="C948" i="15"/>
  <c r="E947" i="15"/>
  <c r="F947" i="15"/>
  <c r="H947" i="15"/>
  <c r="G947" i="15" l="1"/>
  <c r="H948" i="15"/>
  <c r="E948" i="15"/>
  <c r="F948" i="15"/>
  <c r="C949" i="15"/>
  <c r="D949" i="15"/>
  <c r="F949" i="15" l="1"/>
  <c r="H949" i="15"/>
  <c r="E949" i="15"/>
  <c r="G948" i="15"/>
  <c r="C950" i="15"/>
  <c r="D950" i="15"/>
  <c r="G949" i="15" l="1"/>
  <c r="C951" i="15"/>
  <c r="D951" i="15"/>
  <c r="E950" i="15"/>
  <c r="H950" i="15"/>
  <c r="F950" i="15"/>
  <c r="G950" i="15" l="1"/>
  <c r="C952" i="15"/>
  <c r="D952" i="15"/>
  <c r="F951" i="15"/>
  <c r="H951" i="15"/>
  <c r="E951" i="15"/>
  <c r="D953" i="15" l="1"/>
  <c r="C953" i="15"/>
  <c r="G951" i="15"/>
  <c r="E952" i="15"/>
  <c r="F952" i="15"/>
  <c r="H952" i="15"/>
  <c r="G952" i="15" l="1"/>
  <c r="E953" i="15"/>
  <c r="F953" i="15"/>
  <c r="H953" i="15"/>
  <c r="D954" i="15"/>
  <c r="C954" i="15"/>
  <c r="D955" i="15" l="1"/>
  <c r="C955" i="15"/>
  <c r="H954" i="15"/>
  <c r="F954" i="15"/>
  <c r="E954" i="15"/>
  <c r="G953" i="15"/>
  <c r="E955" i="15" l="1"/>
  <c r="F955" i="15"/>
  <c r="H955" i="15"/>
  <c r="G954" i="15"/>
  <c r="D956" i="15"/>
  <c r="C956" i="15"/>
  <c r="G955" i="15" l="1"/>
  <c r="C957" i="15"/>
  <c r="D957" i="15"/>
  <c r="H956" i="15"/>
  <c r="E956" i="15"/>
  <c r="F956" i="15"/>
  <c r="G956" i="15" l="1"/>
  <c r="C958" i="15"/>
  <c r="D958" i="15"/>
  <c r="F957" i="15"/>
  <c r="H957" i="15"/>
  <c r="E957" i="15"/>
  <c r="G957" i="15" l="1"/>
  <c r="C959" i="15"/>
  <c r="D959" i="15"/>
  <c r="E958" i="15"/>
  <c r="H958" i="15"/>
  <c r="F958" i="15"/>
  <c r="G958" i="15" l="1"/>
  <c r="C960" i="15"/>
  <c r="D960" i="15"/>
  <c r="F959" i="15"/>
  <c r="E959" i="15"/>
  <c r="H959" i="15"/>
  <c r="G959" i="15" l="1"/>
  <c r="D961" i="15"/>
  <c r="C961" i="15"/>
  <c r="F960" i="15"/>
  <c r="H960" i="15"/>
  <c r="E960" i="15"/>
  <c r="G960" i="15" l="1"/>
  <c r="E961" i="15"/>
  <c r="F961" i="15"/>
  <c r="H961" i="15"/>
  <c r="D962" i="15"/>
  <c r="C962" i="15"/>
  <c r="D963" i="15" l="1"/>
  <c r="C963" i="15"/>
  <c r="H962" i="15"/>
  <c r="F962" i="15"/>
  <c r="E962" i="15"/>
  <c r="G961" i="15"/>
  <c r="E963" i="15" l="1"/>
  <c r="F963" i="15"/>
  <c r="H963" i="15"/>
  <c r="G962" i="15"/>
  <c r="D964" i="15"/>
  <c r="C964" i="15"/>
  <c r="H964" i="15" l="1"/>
  <c r="E964" i="15"/>
  <c r="F964" i="15"/>
  <c r="C965" i="15"/>
  <c r="D965" i="15"/>
  <c r="G963" i="15"/>
  <c r="H965" i="15" l="1"/>
  <c r="E965" i="15"/>
  <c r="F965" i="15"/>
  <c r="G964" i="15"/>
  <c r="C966" i="15"/>
  <c r="D966" i="15"/>
  <c r="E966" i="15" l="1"/>
  <c r="H966" i="15"/>
  <c r="F966" i="15"/>
  <c r="C967" i="15"/>
  <c r="D967" i="15"/>
  <c r="G965" i="15"/>
  <c r="F967" i="15" l="1"/>
  <c r="H967" i="15"/>
  <c r="E967" i="15"/>
  <c r="C968" i="15"/>
  <c r="D968" i="15"/>
  <c r="G966" i="15"/>
  <c r="G967" i="15" l="1"/>
  <c r="F968" i="15"/>
  <c r="H968" i="15"/>
  <c r="E968" i="15"/>
  <c r="D969" i="15"/>
  <c r="C969" i="15"/>
  <c r="G968" i="15" l="1"/>
  <c r="D970" i="15"/>
  <c r="C970" i="15"/>
  <c r="E969" i="15"/>
  <c r="F969" i="15"/>
  <c r="H969" i="15"/>
  <c r="G969" i="15" l="1"/>
  <c r="H970" i="15"/>
  <c r="F970" i="15"/>
  <c r="E970" i="15"/>
  <c r="D971" i="15"/>
  <c r="C971" i="15"/>
  <c r="G970" i="15" l="1"/>
  <c r="D972" i="15"/>
  <c r="C972" i="15"/>
  <c r="E971" i="15"/>
  <c r="F971" i="15"/>
  <c r="H971" i="15"/>
  <c r="G971" i="15" l="1"/>
  <c r="H972" i="15"/>
  <c r="E972" i="15"/>
  <c r="F972" i="15"/>
  <c r="C973" i="15"/>
  <c r="D973" i="15"/>
  <c r="G972" i="15" l="1"/>
  <c r="C974" i="15"/>
  <c r="D974" i="15"/>
  <c r="F973" i="15"/>
  <c r="E973" i="15"/>
  <c r="H973" i="15"/>
  <c r="G973" i="15" l="1"/>
  <c r="C975" i="15"/>
  <c r="D975" i="15"/>
  <c r="E974" i="15"/>
  <c r="F974" i="15"/>
  <c r="H974" i="15"/>
  <c r="G974" i="15" l="1"/>
  <c r="C976" i="15"/>
  <c r="D976" i="15"/>
  <c r="F975" i="15"/>
  <c r="H975" i="15"/>
  <c r="E975" i="15"/>
  <c r="G975" i="15" l="1"/>
  <c r="D977" i="15"/>
  <c r="C977" i="15"/>
  <c r="F976" i="15"/>
  <c r="E976" i="15"/>
  <c r="H976" i="15"/>
  <c r="G976" i="15" l="1"/>
  <c r="E977" i="15"/>
  <c r="F977" i="15"/>
  <c r="H977" i="15"/>
  <c r="D978" i="15"/>
  <c r="C978" i="15"/>
  <c r="D979" i="15" l="1"/>
  <c r="C979" i="15"/>
  <c r="H978" i="15"/>
  <c r="F978" i="15"/>
  <c r="E978" i="15"/>
  <c r="G977" i="15"/>
  <c r="E979" i="15" l="1"/>
  <c r="F979" i="15"/>
  <c r="H979" i="15"/>
  <c r="G978" i="15"/>
  <c r="D980" i="15"/>
  <c r="C980" i="15"/>
  <c r="H980" i="15" l="1"/>
  <c r="E980" i="15"/>
  <c r="F980" i="15"/>
  <c r="C981" i="15"/>
  <c r="D981" i="15"/>
  <c r="G979" i="15"/>
  <c r="F981" i="15" l="1"/>
  <c r="H981" i="15"/>
  <c r="E981" i="15"/>
  <c r="G980" i="15"/>
  <c r="C982" i="15"/>
  <c r="D982" i="15"/>
  <c r="G981" i="15" l="1"/>
  <c r="C983" i="15"/>
  <c r="D983" i="15"/>
  <c r="E982" i="15"/>
  <c r="F982" i="15"/>
  <c r="H982" i="15"/>
  <c r="G982" i="15" l="1"/>
  <c r="C984" i="15"/>
  <c r="D984" i="15"/>
  <c r="F983" i="15"/>
  <c r="E983" i="15"/>
  <c r="H983" i="15"/>
  <c r="G983" i="15" l="1"/>
  <c r="C985" i="15"/>
  <c r="D985" i="15"/>
  <c r="F984" i="15"/>
  <c r="H984" i="15"/>
  <c r="E984" i="15"/>
  <c r="C986" i="15" l="1"/>
  <c r="D986" i="15"/>
  <c r="G984" i="15"/>
  <c r="H985" i="15"/>
  <c r="E985" i="15"/>
  <c r="F985" i="15"/>
  <c r="G985" i="15" l="1"/>
  <c r="C987" i="15"/>
  <c r="D987" i="15"/>
  <c r="E986" i="15"/>
  <c r="F986" i="15"/>
  <c r="H986" i="15"/>
  <c r="G986" i="15" l="1"/>
  <c r="C988" i="15"/>
  <c r="D988" i="15"/>
  <c r="H987" i="15"/>
  <c r="E987" i="15"/>
  <c r="F987" i="15"/>
  <c r="G987" i="15" l="1"/>
  <c r="D989" i="15"/>
  <c r="C989" i="15"/>
  <c r="E988" i="15"/>
  <c r="F988" i="15"/>
  <c r="H988" i="15"/>
  <c r="G988" i="15" l="1"/>
  <c r="E989" i="15"/>
  <c r="F989" i="15"/>
  <c r="H989" i="15"/>
  <c r="D990" i="15"/>
  <c r="C990" i="15"/>
  <c r="D991" i="15" l="1"/>
  <c r="C991" i="15"/>
  <c r="H990" i="15"/>
  <c r="E990" i="15"/>
  <c r="F990" i="15"/>
  <c r="G989" i="15"/>
  <c r="G990" i="15" l="1"/>
  <c r="E991" i="15"/>
  <c r="F991" i="15"/>
  <c r="H991" i="15"/>
  <c r="D992" i="15"/>
  <c r="C992" i="15"/>
  <c r="C993" i="15" l="1"/>
  <c r="D993" i="15"/>
  <c r="H992" i="15"/>
  <c r="E992" i="15"/>
  <c r="F992" i="15"/>
  <c r="G991" i="15"/>
  <c r="G992" i="15" l="1"/>
  <c r="C994" i="15"/>
  <c r="D994" i="15"/>
  <c r="H993" i="15"/>
  <c r="F993" i="15"/>
  <c r="E993" i="15"/>
  <c r="C995" i="15" l="1"/>
  <c r="D995" i="15"/>
  <c r="G993" i="15"/>
  <c r="E994" i="15"/>
  <c r="H994" i="15"/>
  <c r="F994" i="15"/>
  <c r="G994" i="15" l="1"/>
  <c r="C996" i="15"/>
  <c r="D996" i="15"/>
  <c r="H995" i="15"/>
  <c r="F995" i="15"/>
  <c r="E995" i="15"/>
  <c r="C997" i="15" l="1"/>
  <c r="D997" i="15"/>
  <c r="G995" i="15"/>
  <c r="E996" i="15"/>
  <c r="F996" i="15"/>
  <c r="H996" i="15"/>
  <c r="G996" i="15" l="1"/>
  <c r="C998" i="15"/>
  <c r="D998" i="15"/>
  <c r="H997" i="15"/>
  <c r="E997" i="15"/>
  <c r="F997" i="15"/>
  <c r="G997" i="15" l="1"/>
  <c r="C999" i="15"/>
  <c r="D999" i="15"/>
  <c r="F998" i="15"/>
  <c r="E998" i="15"/>
  <c r="H998" i="15"/>
  <c r="G998" i="15" l="1"/>
  <c r="C1000" i="15"/>
  <c r="D1000" i="15"/>
  <c r="H999" i="15"/>
  <c r="E999" i="15"/>
  <c r="F999" i="15"/>
  <c r="G999" i="15" l="1"/>
  <c r="C1001" i="15"/>
  <c r="D1001" i="15"/>
  <c r="E1000" i="15"/>
  <c r="F1000" i="15"/>
  <c r="H1000" i="15"/>
  <c r="G1000" i="15" l="1"/>
  <c r="C1002" i="15"/>
  <c r="D1002" i="15"/>
  <c r="H1001" i="15"/>
  <c r="E1001" i="15"/>
  <c r="F1001" i="15"/>
  <c r="C1003" i="15" l="1"/>
  <c r="D1003" i="15"/>
  <c r="E1002" i="15"/>
  <c r="F1002" i="15"/>
  <c r="H1002" i="15"/>
  <c r="G1001" i="15"/>
  <c r="G1002" i="15" l="1"/>
  <c r="C1004" i="15"/>
  <c r="D1004" i="15"/>
  <c r="H1003" i="15"/>
  <c r="E1003" i="15"/>
  <c r="F1003" i="15"/>
  <c r="G1003" i="15" l="1"/>
  <c r="D1005" i="15"/>
  <c r="C1005" i="15"/>
  <c r="E1004" i="15"/>
  <c r="F1004" i="15"/>
  <c r="H1004" i="15"/>
  <c r="G1004" i="15" l="1"/>
  <c r="E1005" i="15"/>
  <c r="F1005" i="15"/>
  <c r="H1005" i="15"/>
  <c r="G1005" i="15" l="1"/>
</calcChain>
</file>

<file path=xl/sharedStrings.xml><?xml version="1.0" encoding="utf-8"?>
<sst xmlns="http://schemas.openxmlformats.org/spreadsheetml/2006/main" count="1639" uniqueCount="911">
  <si>
    <t>Automation List</t>
  </si>
  <si>
    <t>name</t>
  </si>
  <si>
    <t>Home status from device tracker</t>
  </si>
  <si>
    <t>Away status from device tracker</t>
  </si>
  <si>
    <t>Computer status from monitor status</t>
  </si>
  <si>
    <t>Home status from monitor status</t>
  </si>
  <si>
    <t>alias</t>
  </si>
  <si>
    <t>on</t>
  </si>
  <si>
    <t>friendly_name</t>
  </si>
  <si>
    <t>Amp off at 3 AM</t>
  </si>
  <si>
    <t>Amp off with Humvee</t>
  </si>
  <si>
    <t>Chromecast volume to 4 on start</t>
  </si>
  <si>
    <t>Devices in bedroom off when at the computer</t>
  </si>
  <si>
    <t>Devices off when away</t>
  </si>
  <si>
    <t>Devices on desk off when leave the computer</t>
  </si>
  <si>
    <t>Fan off at 12 PM</t>
  </si>
  <si>
    <t>Friend Visiting off from device tracker</t>
  </si>
  <si>
    <t>Friend Visiting on from device tracker</t>
  </si>
  <si>
    <t>Notification when multi-sensor battery is low</t>
  </si>
  <si>
    <t>Notification when Tank turns off</t>
  </si>
  <si>
    <t>One bulb off at sunset</t>
  </si>
  <si>
    <t>One bulb on with switch at night</t>
  </si>
  <si>
    <t>Speed test record</t>
  </si>
  <si>
    <t>TV on with chromecast</t>
  </si>
  <si>
    <t>Vacation mode off when home</t>
  </si>
  <si>
    <t>Vacation mode on when gone 24 hours</t>
  </si>
  <si>
    <t>wake_up script triggered by alarm clock</t>
  </si>
  <si>
    <t>rm-lv</t>
  </si>
  <si>
    <t>rm-bd</t>
  </si>
  <si>
    <t>loc-away</t>
  </si>
  <si>
    <t>almclk</t>
  </si>
  <si>
    <t>stat-friend</t>
  </si>
  <si>
    <t>stat-ron</t>
  </si>
  <si>
    <t>rm-lv-tv</t>
  </si>
  <si>
    <t>stat-vac</t>
  </si>
  <si>
    <t>not</t>
  </si>
  <si>
    <t>Alarm Clock</t>
  </si>
  <si>
    <t>filename</t>
  </si>
  <si>
    <t>Category</t>
  </si>
  <si>
    <t>Cat Short</t>
  </si>
  <si>
    <t>Card</t>
  </si>
  <si>
    <t>Card Name</t>
  </si>
  <si>
    <t>Bedroom</t>
  </si>
  <si>
    <t>Living Room</t>
  </si>
  <si>
    <t>Living Room TV</t>
  </si>
  <si>
    <t>Ron Status</t>
  </si>
  <si>
    <t>Vacation Status</t>
  </si>
  <si>
    <t>Friend Status</t>
  </si>
  <si>
    <t>Away</t>
  </si>
  <si>
    <t>Notifications</t>
  </si>
  <si>
    <t>card</t>
  </si>
  <si>
    <t>entities</t>
  </si>
  <si>
    <t>automation</t>
  </si>
  <si>
    <t>blank</t>
  </si>
  <si>
    <t>Type of syntax</t>
  </si>
  <si>
    <t/>
  </si>
  <si>
    <t xml:space="preserve">  entities:</t>
  </si>
  <si>
    <t>Code Beginning</t>
  </si>
  <si>
    <t>Cat #</t>
  </si>
  <si>
    <t>Auto #</t>
  </si>
  <si>
    <t>Cat Auto #</t>
  </si>
  <si>
    <t>Short Cat</t>
  </si>
  <si>
    <t>Line #</t>
  </si>
  <si>
    <t>Num Automations</t>
  </si>
  <si>
    <t xml:space="preserve">  name: "</t>
  </si>
  <si>
    <t>Code End</t>
  </si>
  <si>
    <t>:</t>
  </si>
  <si>
    <t>"</t>
  </si>
  <si>
    <t>Unique Code</t>
  </si>
  <si>
    <t>Auto Index</t>
  </si>
  <si>
    <t>automation.almclk_wake_up_script_triggered_by_alarm_clock</t>
  </si>
  <si>
    <t>automation.locaway_devices_in_bedroom_off_when_at_the_computer</t>
  </si>
  <si>
    <t>automation.locaway_devices_off_when_away</t>
  </si>
  <si>
    <t>automation.locaway_devices_on_desk_off_when_leave_the_computer</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</si>
  <si>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</si>
  <si>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</si>
  <si>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</si>
  <si>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</si>
  <si>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</si>
  <si>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</si>
  <si>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</si>
  <si>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automation.rmlvtv_chromecast_volume_to_4_on_start</t>
  </si>
  <si>
    <t>automation.rmlvtv_tv_on_with_chromecast</t>
  </si>
  <si>
    <t>automation.statfriend_friend_visiting_off_from_device_tracker</t>
  </si>
  <si>
    <t>automation.statfriend_friend_visiting_on_from_device_tracker</t>
  </si>
  <si>
    <t>automation.statron_away_status_from_device_tracker</t>
  </si>
  <si>
    <t>automation.statron_computer_status_from_monitor_status</t>
  </si>
  <si>
    <t>automation.statron_home_status_from_device_tracker</t>
  </si>
  <si>
    <t>automation.statron_home_status_from_monitor_status</t>
  </si>
  <si>
    <t>automation.statvac_vacation_mode_off_when_home</t>
  </si>
  <si>
    <t>automation.statvac_vacation_mode_on_when_gone_24_hours</t>
  </si>
  <si>
    <t>off</t>
  </si>
  <si>
    <t>device_tracker.carolyn_phone</t>
  </si>
  <si>
    <t>not_home</t>
  </si>
  <si>
    <t>device_tracker.carolyn_smbp</t>
  </si>
  <si>
    <t>device_tracker.carolyn_tablet</t>
  </si>
  <si>
    <t>device_tracker.carolyn_watch</t>
  </si>
  <si>
    <t>device_tracker.carolynsair</t>
  </si>
  <si>
    <t>device_tracker.chromecast</t>
  </si>
  <si>
    <t>device_tracker.chromecast_2</t>
  </si>
  <si>
    <t>home</t>
  </si>
  <si>
    <t>device_tracker.daniel_br</t>
  </si>
  <si>
    <t>device_tracker.daniel_laptop</t>
  </si>
  <si>
    <t>device_tracker.daniel_phone</t>
  </si>
  <si>
    <t>device_tracker.echo_dot</t>
  </si>
  <si>
    <t>device_tracker.gear_fit_2</t>
  </si>
  <si>
    <t>device_tracker.growler</t>
  </si>
  <si>
    <t>device_tracker.hue_hub</t>
  </si>
  <si>
    <t>device_tracker.humvee</t>
  </si>
  <si>
    <t>device_tracker.jeep</t>
  </si>
  <si>
    <t>device_tracker.jtac</t>
  </si>
  <si>
    <t>device_tracker.raspi_vpn</t>
  </si>
  <si>
    <t>device_tracker.ron_phone</t>
  </si>
  <si>
    <t>device_tracker.tank</t>
  </si>
  <si>
    <t>device_tracker.tplink_switch</t>
  </si>
  <si>
    <t>device_tracker.vera_lite</t>
  </si>
  <si>
    <t>device_tracker.wf2ir</t>
  </si>
  <si>
    <t>device_tracker.withings_scale</t>
  </si>
  <si>
    <t>group.alarm_clock</t>
  </si>
  <si>
    <t>group.all_automations</t>
  </si>
  <si>
    <t>group.all_devices</t>
  </si>
  <si>
    <t>group.all_lights</t>
  </si>
  <si>
    <t>group.all_scripts</t>
  </si>
  <si>
    <t>group.all_switches</t>
  </si>
  <si>
    <t>group.automation_almclk</t>
  </si>
  <si>
    <t>group.automation_ifttt</t>
  </si>
  <si>
    <t>group.automation_locaway</t>
  </si>
  <si>
    <t>group.automation_not</t>
  </si>
  <si>
    <t>group.automation_rmbd</t>
  </si>
  <si>
    <t>group.automation_rmlv</t>
  </si>
  <si>
    <t>group.automation_rmlvtv</t>
  </si>
  <si>
    <t>group.automation_statfriend</t>
  </si>
  <si>
    <t>group.automation_statron</t>
  </si>
  <si>
    <t>group.automation_statvac</t>
  </si>
  <si>
    <t>group.bedroom</t>
  </si>
  <si>
    <t>group.bedroom_lights</t>
  </si>
  <si>
    <t>group.bedroom_view</t>
  </si>
  <si>
    <t>group.environment</t>
  </si>
  <si>
    <t>unknown</t>
  </si>
  <si>
    <t>group.environment_detail</t>
  </si>
  <si>
    <t>group.environment_view</t>
  </si>
  <si>
    <t>group.host_device</t>
  </si>
  <si>
    <t>group.iot_devices</t>
  </si>
  <si>
    <t>group.network</t>
  </si>
  <si>
    <t>group.network_view</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</si>
  <si>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</si>
  <si>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</si>
  <si>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</si>
  <si>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</si>
  <si>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</si>
  <si>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</si>
  <si>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</si>
  <si>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</si>
  <si>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</si>
  <si>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</si>
  <si>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</si>
  <si>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</si>
  <si>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</si>
  <si>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</si>
  <si>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script.full_bright</t>
  </si>
  <si>
    <t>script.half_bright</t>
  </si>
  <si>
    <t>script.reading</t>
  </si>
  <si>
    <t>script.twilight</t>
  </si>
  <si>
    <t>script.wake_up</t>
  </si>
  <si>
    <t>sensor.alarm_clock_hour</t>
  </si>
  <si>
    <t>sensor.alarm_clock_minute</t>
  </si>
  <si>
    <t>sensor.alarm_clock_time</t>
  </si>
  <si>
    <t>sensor.alarm_clock_time_long</t>
  </si>
  <si>
    <t>sensor.batt_multi_sensor</t>
  </si>
  <si>
    <t>sensor.cpu_temp</t>
  </si>
  <si>
    <t>sensor.cpu_use</t>
  </si>
  <si>
    <t>sensor.dark_sky_apparent_temperature</t>
  </si>
  <si>
    <t>sensor.dark_sky_cloud_coverage</t>
  </si>
  <si>
    <t>sensor.dark_sky_daily_high_apparent_temperature</t>
  </si>
  <si>
    <t>sensor.dark_sky_daily_high_temperature</t>
  </si>
  <si>
    <t>sensor.dark_sky_daily_low_apparent_temperature</t>
  </si>
  <si>
    <t>sensor.dark_sky_daily_low_temperature</t>
  </si>
  <si>
    <t>sensor.dark_sky_daily_max_precip_intensity</t>
  </si>
  <si>
    <t>sensor.dark_sky_daily_summary</t>
  </si>
  <si>
    <t>sensor.dark_sky_hourly_summary</t>
  </si>
  <si>
    <t>sensor.dark_sky_humidity</t>
  </si>
  <si>
    <t>sensor.dark_sky_minutely_summary</t>
  </si>
  <si>
    <t>sensor.dark_sky_precip</t>
  </si>
  <si>
    <t>sensor.dark_sky_precip_intensity</t>
  </si>
  <si>
    <t>sensor.dark_sky_precip_probability</t>
  </si>
  <si>
    <t>sensor.dark_sky_temperature</t>
  </si>
  <si>
    <t>sensor.dark_sky_visibility</t>
  </si>
  <si>
    <t>sensor.date</t>
  </si>
  <si>
    <t>sensor.date_odd</t>
  </si>
  <si>
    <t>sensor.disk_use_home</t>
  </si>
  <si>
    <t>sensor.last_boot</t>
  </si>
  <si>
    <t>sensor.ram_free</t>
  </si>
  <si>
    <t>sensor.speedtest_download</t>
  </si>
  <si>
    <t>sensor.speedtest_ping</t>
  </si>
  <si>
    <t>sensor.speedtest_upload</t>
  </si>
  <si>
    <t>sensor.time</t>
  </si>
  <si>
    <t>sun.sun</t>
  </si>
  <si>
    <t>switch.amp</t>
  </si>
  <si>
    <t>switch.bedroom_fan</t>
  </si>
  <si>
    <t>switch.bedroom_nightstand</t>
  </si>
  <si>
    <t>switch.switch4</t>
  </si>
  <si>
    <t>switch.switch5</t>
  </si>
  <si>
    <t>zone.home</t>
  </si>
  <si>
    <t>zoning</t>
  </si>
  <si>
    <t>hidden</t>
  </si>
  <si>
    <t>icon</t>
  </si>
  <si>
    <t>entity_id</t>
  </si>
  <si>
    <t>domain</t>
  </si>
  <si>
    <t>object_id</t>
  </si>
  <si>
    <t>binary_sensor</t>
  </si>
  <si>
    <t>device_tracker</t>
  </si>
  <si>
    <t>carolyn_phone</t>
  </si>
  <si>
    <t>carolyn_smbp</t>
  </si>
  <si>
    <t>carolyn_tablet</t>
  </si>
  <si>
    <t>carolyn_watch</t>
  </si>
  <si>
    <t>carolynsair</t>
  </si>
  <si>
    <t>chromecast</t>
  </si>
  <si>
    <t>chromecast_2</t>
  </si>
  <si>
    <t>daniel_br</t>
  </si>
  <si>
    <t>daniel_laptop</t>
  </si>
  <si>
    <t>daniel_phone</t>
  </si>
  <si>
    <t>echo_dot</t>
  </si>
  <si>
    <t>gear_fit_2</t>
  </si>
  <si>
    <t>growler</t>
  </si>
  <si>
    <t>hue_hub</t>
  </si>
  <si>
    <t>humvee</t>
  </si>
  <si>
    <t>jeep</t>
  </si>
  <si>
    <t>jtac</t>
  </si>
  <si>
    <t>raspi_vpn</t>
  </si>
  <si>
    <t>ron_phone</t>
  </si>
  <si>
    <t>tank</t>
  </si>
  <si>
    <t>tplink_switch</t>
  </si>
  <si>
    <t>vera_lite</t>
  </si>
  <si>
    <t>wf2ir</t>
  </si>
  <si>
    <t>withings_scale</t>
  </si>
  <si>
    <t>input_boolean</t>
  </si>
  <si>
    <t>alarm_clock_status</t>
  </si>
  <si>
    <t>friend_visiting</t>
  </si>
  <si>
    <t>vacation_mode</t>
  </si>
  <si>
    <t>input_select</t>
  </si>
  <si>
    <t>ron_status</t>
  </si>
  <si>
    <t>input_slider</t>
  </si>
  <si>
    <t>alarm_clock_hour</t>
  </si>
  <si>
    <t>alarm_clock_minute</t>
  </si>
  <si>
    <t>light</t>
  </si>
  <si>
    <t>lux_lamp</t>
  </si>
  <si>
    <t>lux_lamp_1</t>
  </si>
  <si>
    <t>script</t>
  </si>
  <si>
    <t>all_off</t>
  </si>
  <si>
    <t>bright</t>
  </si>
  <si>
    <t>dusk</t>
  </si>
  <si>
    <t>full_bright</t>
  </si>
  <si>
    <t>half_bright</t>
  </si>
  <si>
    <t>reading</t>
  </si>
  <si>
    <t>twilight</t>
  </si>
  <si>
    <t>wake_up</t>
  </si>
  <si>
    <t>sensor</t>
  </si>
  <si>
    <t>alarm_clock_time</t>
  </si>
  <si>
    <t>alarm_clock_time_long</t>
  </si>
  <si>
    <t>batt_multi_sensor</t>
  </si>
  <si>
    <t>cpu_temp</t>
  </si>
  <si>
    <t>cpu_use</t>
  </si>
  <si>
    <t>dark_sky_apparent_temperature</t>
  </si>
  <si>
    <t>dark_sky_cloud_coverage</t>
  </si>
  <si>
    <t>dark_sky_daily_high_apparent_temperature</t>
  </si>
  <si>
    <t>dark_sky_daily_high_temperature</t>
  </si>
  <si>
    <t>dark_sky_daily_low_apparent_temperature</t>
  </si>
  <si>
    <t>dark_sky_daily_low_temperature</t>
  </si>
  <si>
    <t>dark_sky_daily_max_precip_intensity</t>
  </si>
  <si>
    <t>dark_sky_daily_summary</t>
  </si>
  <si>
    <t>dark_sky_hourly_summary</t>
  </si>
  <si>
    <t>dark_sky_humidity</t>
  </si>
  <si>
    <t>dark_sky_minutely_summary</t>
  </si>
  <si>
    <t>dark_sky_precip</t>
  </si>
  <si>
    <t>dark_sky_precip_intensity</t>
  </si>
  <si>
    <t>dark_sky_precip_probability</t>
  </si>
  <si>
    <t>dark_sky_temperature</t>
  </si>
  <si>
    <t>dark_sky_visibility</t>
  </si>
  <si>
    <t>date</t>
  </si>
  <si>
    <t>date_odd</t>
  </si>
  <si>
    <t>disk_use_home</t>
  </si>
  <si>
    <t>last_boot</t>
  </si>
  <si>
    <t>ram_free</t>
  </si>
  <si>
    <t>speedtest_download</t>
  </si>
  <si>
    <t>speedtest_ping</t>
  </si>
  <si>
    <t>speedtest_upload</t>
  </si>
  <si>
    <t>time</t>
  </si>
  <si>
    <t>sun</t>
  </si>
  <si>
    <t>switch</t>
  </si>
  <si>
    <t>amp</t>
  </si>
  <si>
    <t>bedroom_fan</t>
  </si>
  <si>
    <t>bedroom_nightstand</t>
  </si>
  <si>
    <t>switch4</t>
  </si>
  <si>
    <t>switch5</t>
  </si>
  <si>
    <t>true</t>
  </si>
  <si>
    <t>Motion</t>
  </si>
  <si>
    <t>mdi:account-switch</t>
  </si>
  <si>
    <t>loc of mdi</t>
  </si>
  <si>
    <t>mdi:cellphone-iphone</t>
  </si>
  <si>
    <t>mdi:tablet-ipad</t>
  </si>
  <si>
    <t>mdi:laptop-mac</t>
  </si>
  <si>
    <t>mdi:google-chrome</t>
  </si>
  <si>
    <t>mdi:disk</t>
  </si>
  <si>
    <t>mdi:laptop</t>
  </si>
  <si>
    <t>mdi:amazon</t>
  </si>
  <si>
    <t>mdi:laptop-windows</t>
  </si>
  <si>
    <t>mdi:desktop-tower</t>
  </si>
  <si>
    <t>mdi:pi</t>
  </si>
  <si>
    <t>mdi:cellphone-android</t>
  </si>
  <si>
    <t>mdi:tablet-android</t>
  </si>
  <si>
    <t>mdi:server</t>
  </si>
  <si>
    <t>mdi:remote</t>
  </si>
  <si>
    <t>mdi:scale-bathroom</t>
  </si>
  <si>
    <t>mdi:alarm-check</t>
  </si>
  <si>
    <t>Alarm Clock Status</t>
  </si>
  <si>
    <t>Temp</t>
  </si>
  <si>
    <t>Light</t>
  </si>
  <si>
    <t>mdi:candle</t>
  </si>
  <si>
    <t>mdi:water-percent</t>
  </si>
  <si>
    <t>Humidity</t>
  </si>
  <si>
    <t>mdi:raspberrypi</t>
  </si>
  <si>
    <t>mdi:download</t>
  </si>
  <si>
    <t>mdi:lan-connect</t>
  </si>
  <si>
    <t>mdi:upload</t>
  </si>
  <si>
    <t>Feels Like</t>
  </si>
  <si>
    <t>Now</t>
  </si>
  <si>
    <t>Today</t>
  </si>
  <si>
    <t>Week</t>
  </si>
  <si>
    <t>Precip Chance</t>
  </si>
  <si>
    <t>Alarm Clock Setting</t>
  </si>
  <si>
    <t>Headphone Amp</t>
  </si>
  <si>
    <t>Bedroom Fan</t>
  </si>
  <si>
    <t>Nightstand</t>
  </si>
  <si>
    <t>Multi-Sensor</t>
  </si>
  <si>
    <t>Nightstand Light</t>
  </si>
  <si>
    <t xml:space="preserve">emulated_hue_name: </t>
  </si>
  <si>
    <t>humvee_monitor</t>
  </si>
  <si>
    <t>icon parsed</t>
  </si>
  <si>
    <t>emulated_hue:</t>
  </si>
  <si>
    <t>false</t>
  </si>
  <si>
    <t>Hour</t>
  </si>
  <si>
    <t>Minute</t>
  </si>
  <si>
    <t>TV</t>
  </si>
  <si>
    <t>Bright</t>
  </si>
  <si>
    <t>Twilight</t>
  </si>
  <si>
    <t>Dusk</t>
  </si>
  <si>
    <t>Reading</t>
  </si>
  <si>
    <t>All Off</t>
  </si>
  <si>
    <t>loc of space after mdi</t>
  </si>
  <si>
    <t>Custom Attributes</t>
  </si>
  <si>
    <t>custom entity #</t>
  </si>
  <si>
    <t>attributes</t>
  </si>
  <si>
    <t>1</t>
  </si>
  <si>
    <t>2</t>
  </si>
  <si>
    <t>3</t>
  </si>
  <si>
    <t>Attribute</t>
  </si>
  <si>
    <t>syntax start</t>
  </si>
  <si>
    <t xml:space="preserve">  emulated_hue_name: </t>
  </si>
  <si>
    <t xml:space="preserve">  hidden: </t>
  </si>
  <si>
    <t xml:space="preserve">  friendly_name: </t>
  </si>
  <si>
    <t xml:space="preserve">  emulated_hue: </t>
  </si>
  <si>
    <t xml:space="preserve">  icon: </t>
  </si>
  <si>
    <t>line 1</t>
  </si>
  <si>
    <t>line 2</t>
  </si>
  <si>
    <t>line 3</t>
  </si>
  <si>
    <t>Unique att</t>
  </si>
  <si>
    <t>attribute #</t>
  </si>
  <si>
    <t>attribute code</t>
  </si>
  <si>
    <t>entity code</t>
  </si>
  <si>
    <t>mdi:amplifier</t>
  </si>
  <si>
    <t>mdi:fan</t>
  </si>
  <si>
    <t>mdi:lamp</t>
  </si>
  <si>
    <t>mdi:toggle-switch</t>
  </si>
  <si>
    <t>mdi:timer</t>
  </si>
  <si>
    <t>mdi:weather-night</t>
  </si>
  <si>
    <t>mdi:weather-sunny</t>
  </si>
  <si>
    <t>mdi:weather-sunset-down</t>
  </si>
  <si>
    <t>mdi:book-open-variant</t>
  </si>
  <si>
    <t>mdi:weather-sunset</t>
  </si>
  <si>
    <t>Customize</t>
  </si>
  <si>
    <t>In "States"?</t>
  </si>
  <si>
    <t>In 'Entities' tab?</t>
  </si>
  <si>
    <t>almclk_wake_up_script_triggered_by_alarm_clock</t>
  </si>
  <si>
    <t>locaway_devices_in_bedroom_off_when_at_the_computer</t>
  </si>
  <si>
    <t>locaway_devices_off_when_away</t>
  </si>
  <si>
    <t>locaway_devices_on_desk_off_when_leave_the_computer</t>
  </si>
  <si>
    <t>not_notification_when_multisensor_battery_is_low</t>
  </si>
  <si>
    <t>not_notification_when_tank_turns_off</t>
  </si>
  <si>
    <t>rmbd_fan_off_at_12_pm</t>
  </si>
  <si>
    <t>rmbd_one_bulb_off_at_sunset</t>
  </si>
  <si>
    <t>rmbd_one_bulb_on_with_switch_at_night</t>
  </si>
  <si>
    <t>rmlv_amp_off_at_3_am</t>
  </si>
  <si>
    <t>rmlv_amp_off_with_humvee</t>
  </si>
  <si>
    <t>rmlvtv_chromecast_volume_to_4_on_start</t>
  </si>
  <si>
    <t>rmlvtv_tv_on_with_chromecast</t>
  </si>
  <si>
    <t>statfriend_friend_visiting_off_from_device_tracker</t>
  </si>
  <si>
    <t>statfriend_friend_visiting_on_from_device_tracker</t>
  </si>
  <si>
    <t>statron_away_status_from_device_tracker</t>
  </si>
  <si>
    <t>statron_computer_status_from_monitor_status</t>
  </si>
  <si>
    <t>statron_home_status_from_device_tracker</t>
  </si>
  <si>
    <t>statron_home_status_from_monitor_status</t>
  </si>
  <si>
    <t>statvac_vacation_mode_off_when_home</t>
  </si>
  <si>
    <t>statvac_vacation_mode_on_when_gone_24_hours</t>
  </si>
  <si>
    <t>view</t>
  </si>
  <si>
    <t>Organization</t>
  </si>
  <si>
    <t>View</t>
  </si>
  <si>
    <t>Entities</t>
  </si>
  <si>
    <t>Views</t>
  </si>
  <si>
    <t>bedroom_view</t>
  </si>
  <si>
    <t>environment_view</t>
  </si>
  <si>
    <t>network_view</t>
  </si>
  <si>
    <t>Network</t>
  </si>
  <si>
    <t>mdi:access-point-network</t>
  </si>
  <si>
    <t>Environment</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</si>
  <si>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</si>
  <si>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</si>
  <si>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</si>
  <si>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</si>
  <si>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</si>
  <si>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</si>
  <si>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</si>
  <si>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</si>
  <si>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</si>
  <si>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</si>
  <si>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</si>
  <si>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</si>
  <si>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</si>
  <si>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</si>
  <si>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</si>
  <si>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</si>
  <si>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</si>
  <si>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</si>
  <si>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</si>
  <si>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</si>
  <si>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</si>
  <si>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</si>
  <si>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</si>
  <si>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</si>
  <si>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</si>
  <si>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view: yes</t>
  </si>
  <si>
    <t xml:space="preserve">  name: Network</t>
  </si>
  <si>
    <t xml:space="preserve">    - device_tracker.ron_phone</t>
  </si>
  <si>
    <t xml:space="preserve">    - device_tracker.daniel_phone</t>
  </si>
  <si>
    <t xml:space="preserve">    - device_tracker.carolyn_phone</t>
  </si>
  <si>
    <t>First space</t>
  </si>
  <si>
    <t>No Blanks</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</si>
  <si>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</si>
  <si>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</si>
  <si>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</si>
  <si>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</si>
  <si>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</si>
  <si>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</si>
  <si>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</si>
  <si>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</si>
  <si>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</si>
  <si>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</si>
  <si>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</si>
  <si>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</si>
  <si>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</si>
  <si>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</si>
  <si>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</si>
  <si>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</si>
  <si>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</si>
  <si>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</si>
  <si>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</si>
  <si>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</si>
  <si>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</si>
  <si>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</si>
  <si>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</si>
  <si>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</si>
  <si>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</si>
  <si>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</si>
  <si>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</si>
  <si>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</si>
  <si>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</si>
  <si>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</si>
  <si>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</si>
  <si>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</si>
  <si>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</si>
  <si>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</si>
  <si>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</si>
  <si>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</si>
  <si>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</si>
  <si>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</si>
  <si>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</si>
  <si>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</si>
  <si>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</si>
  <si>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</si>
  <si>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</si>
  <si>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</si>
  <si>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</si>
  <si>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</si>
  <si>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</si>
  <si>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</si>
  <si>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</si>
  <si>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</si>
  <si>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</si>
  <si>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</si>
  <si>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</si>
  <si>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</si>
  <si>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</si>
  <si>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</si>
  <si>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</si>
  <si>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</si>
  <si>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</si>
  <si>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</si>
  <si>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</si>
  <si>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</si>
  <si>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</si>
  <si>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</si>
  <si>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</si>
  <si>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</si>
  <si>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</si>
  <si>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</si>
  <si>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</si>
  <si>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</si>
  <si>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</si>
  <si>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</si>
  <si>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</si>
  <si>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</si>
  <si>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</si>
  <si>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</si>
  <si>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</si>
  <si>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</si>
  <si>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</si>
  <si>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</si>
  <si>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</si>
  <si>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</si>
  <si>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</si>
  <si>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</si>
  <si>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</si>
  <si>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</si>
  <si>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</si>
  <si>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</si>
  <si>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</si>
  <si>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</si>
  <si>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</si>
  <si>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</si>
  <si>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</si>
  <si>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</si>
  <si>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</si>
  <si>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</si>
  <si>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</si>
  <si>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</si>
  <si>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</si>
  <si>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</si>
  <si>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</si>
  <si>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</si>
  <si>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</si>
  <si>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</si>
  <si>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</si>
  <si>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</si>
  <si>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</si>
  <si>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</si>
  <si>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</si>
  <si>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</si>
  <si>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</si>
  <si>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</si>
  <si>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</si>
  <si>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</si>
  <si>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</si>
  <si>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</si>
  <si>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</si>
  <si>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</si>
  <si>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</si>
  <si>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</si>
  <si>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</si>
  <si>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</si>
  <si>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</si>
  <si>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</si>
  <si>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</si>
  <si>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</si>
  <si>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</si>
  <si>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</si>
  <si>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</si>
  <si>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</si>
  <si>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</si>
  <si>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</si>
  <si>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</si>
  <si>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</si>
  <si>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</si>
  <si>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</si>
  <si>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</si>
  <si>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</si>
  <si>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</si>
  <si>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</si>
  <si>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</si>
  <si>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</si>
  <si>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</si>
  <si>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</si>
  <si>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</si>
  <si>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</si>
  <si>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</si>
  <si>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</si>
  <si>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</si>
  <si>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</si>
  <si>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</si>
  <si>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</si>
  <si>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</si>
  <si>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</si>
  <si>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</si>
  <si>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</si>
  <si>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</si>
  <si>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</si>
  <si>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</si>
  <si>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</si>
  <si>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</si>
  <si>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</si>
  <si>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</si>
  <si>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</si>
  <si>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</si>
  <si>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</si>
  <si>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</si>
  <si>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</si>
  <si>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</si>
  <si>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</si>
  <si>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</si>
  <si>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</si>
  <si>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</si>
  <si>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</si>
  <si>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</si>
  <si>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</si>
  <si>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</si>
  <si>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</si>
  <si>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</si>
  <si>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</si>
  <si>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</si>
  <si>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</si>
  <si>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</si>
  <si>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</si>
  <si>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</si>
  <si>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</si>
  <si>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</si>
  <si>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</si>
  <si>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</si>
  <si>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</si>
  <si>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</si>
  <si>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Card Code Processing</t>
  </si>
  <si>
    <t>text</t>
  </si>
  <si>
    <t>modified</t>
  </si>
  <si>
    <t>modified1</t>
  </si>
  <si>
    <t>modified2</t>
  </si>
  <si>
    <t>CODE</t>
  </si>
  <si>
    <t>automation_almclk</t>
  </si>
  <si>
    <t>automation_ifttt</t>
  </si>
  <si>
    <t>automation_locaway</t>
  </si>
  <si>
    <t>automation_not</t>
  </si>
  <si>
    <t>automation_rmbd</t>
  </si>
  <si>
    <t>automation_rmlv</t>
  </si>
  <si>
    <t>automation_rmlvtv</t>
  </si>
  <si>
    <t>automation_statfriend</t>
  </si>
  <si>
    <t>automation_statron</t>
  </si>
  <si>
    <t>automation_statvac</t>
  </si>
  <si>
    <t>bedroom</t>
  </si>
  <si>
    <t>bedroom_lights</t>
  </si>
  <si>
    <t>alarm_clock</t>
  </si>
  <si>
    <t>environment</t>
  </si>
  <si>
    <t>environment_detail</t>
  </si>
  <si>
    <t>status</t>
  </si>
  <si>
    <t>network</t>
  </si>
  <si>
    <t>phones</t>
  </si>
  <si>
    <t>personal_devices</t>
  </si>
  <si>
    <t>iot_devices</t>
  </si>
  <si>
    <t>host_device</t>
  </si>
  <si>
    <t>Automation - Vacation Status</t>
  </si>
  <si>
    <t>Bedroom Lights</t>
  </si>
  <si>
    <t>Environment Detail</t>
  </si>
  <si>
    <t>Status</t>
  </si>
  <si>
    <t>Flags</t>
  </si>
  <si>
    <t>name repeated</t>
  </si>
  <si>
    <t>Cards</t>
  </si>
  <si>
    <t>object_id #</t>
  </si>
  <si>
    <t>Num entities</t>
  </si>
  <si>
    <t>entity #</t>
  </si>
  <si>
    <t>Line type</t>
  </si>
  <si>
    <t xml:space="preserve">    - </t>
  </si>
  <si>
    <t>entities header</t>
  </si>
  <si>
    <t>entities end</t>
  </si>
  <si>
    <t>End of code</t>
  </si>
  <si>
    <t>Code</t>
  </si>
  <si>
    <t>End of code?</t>
  </si>
  <si>
    <t>Entities count</t>
  </si>
  <si>
    <t>Code type</t>
  </si>
  <si>
    <t>code line</t>
  </si>
  <si>
    <t>lines</t>
  </si>
  <si>
    <t>Next code typical</t>
  </si>
  <si>
    <t>end</t>
  </si>
  <si>
    <t>## View group code (generated by spreadsheet)</t>
  </si>
  <si>
    <t>view code</t>
  </si>
  <si>
    <t>card code</t>
  </si>
  <si>
    <t>## View code</t>
  </si>
  <si>
    <t>## Card code</t>
  </si>
  <si>
    <t>Code for 'group:' section</t>
  </si>
  <si>
    <t>Copy the text with a yellow background into your configuration.</t>
  </si>
  <si>
    <t>Instructions: fill out the green columns with relevant data</t>
  </si>
  <si>
    <t>Checks</t>
  </si>
  <si>
    <t>Check</t>
  </si>
  <si>
    <t>'Entities' tab</t>
  </si>
  <si>
    <t>note: the orange values are formulas</t>
  </si>
  <si>
    <t>'card-code' tab</t>
  </si>
  <si>
    <t>'view-code' tab</t>
  </si>
  <si>
    <t>'group-code' tab</t>
  </si>
  <si>
    <t>Lookup tables for creating code</t>
  </si>
  <si>
    <t>In HA?</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</si>
  <si>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</si>
  <si>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</si>
  <si>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</si>
  <si>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</si>
  <si>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</si>
  <si>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</si>
  <si>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</si>
  <si>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</si>
  <si>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</si>
  <si>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</si>
  <si>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</si>
  <si>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</si>
  <si>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</si>
  <si>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</si>
  <si>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</si>
  <si>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</si>
  <si>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</si>
  <si>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</si>
  <si>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</si>
  <si>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</si>
  <si>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</si>
  <si>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</si>
  <si>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</si>
  <si>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</si>
  <si>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</si>
  <si>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</si>
  <si>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Not in 'Entitiy' tab</t>
  </si>
  <si>
    <t>View from card</t>
  </si>
  <si>
    <t>View from entitiy</t>
  </si>
  <si>
    <t>Not in other tabs</t>
  </si>
  <si>
    <t>## Customizations (generated by spreadsheet)</t>
  </si>
  <si>
    <t>Code for 'customize:' section</t>
  </si>
  <si>
    <t>Enter the 'entity_id' for all entities in the numbered columns</t>
  </si>
  <si>
    <t>Not in view</t>
  </si>
  <si>
    <t>No blanks</t>
  </si>
  <si>
    <t>default_view</t>
  </si>
  <si>
    <t>name adjustment</t>
  </si>
  <si>
    <t>icon adjustment</t>
  </si>
  <si>
    <t>Type Index</t>
  </si>
  <si>
    <t>entity adjust</t>
  </si>
  <si>
    <t>Index Line Type</t>
  </si>
  <si>
    <t>Line type index</t>
  </si>
  <si>
    <t>See below for an example of how I parsed yaml to populate the 'Cards' tab. I pasted yaml code in the green cells.</t>
  </si>
  <si>
    <t>entity</t>
  </si>
  <si>
    <t>script.good_night</t>
  </si>
  <si>
    <t>good_night</t>
  </si>
  <si>
    <t>Good Night</t>
  </si>
  <si>
    <t>mdi:sleep</t>
  </si>
  <si>
    <t>bedroom_devices</t>
  </si>
  <si>
    <t>group.bedroom_devices</t>
  </si>
  <si>
    <t>bazooka</t>
  </si>
  <si>
    <t>device_tracker.bazooka</t>
  </si>
  <si>
    <t>mdi:vpn</t>
  </si>
  <si>
    <t>Misc Devices</t>
  </si>
  <si>
    <t>misc_devices</t>
  </si>
  <si>
    <t>line 4</t>
  </si>
  <si>
    <t>remote.tv</t>
  </si>
  <si>
    <t>group.all_remotes</t>
  </si>
  <si>
    <t>group.misc_devices</t>
  </si>
  <si>
    <t>media_player</t>
  </si>
  <si>
    <t>tv_master</t>
  </si>
  <si>
    <t>HA Host</t>
  </si>
  <si>
    <t>binary_sensor.tv_status</t>
  </si>
  <si>
    <t>remote</t>
  </si>
  <si>
    <t>tv</t>
  </si>
  <si>
    <t>tv_status</t>
  </si>
  <si>
    <t>TV status from chromecast</t>
  </si>
  <si>
    <t>light.dimmable_light_5</t>
  </si>
  <si>
    <t>media_player.living_room</t>
  </si>
  <si>
    <t>even</t>
  </si>
  <si>
    <t>sensor.humidity_sensor_14</t>
  </si>
  <si>
    <t>sensor.light_sensor_13</t>
  </si>
  <si>
    <t>sensor.temperature_sensor_12</t>
  </si>
  <si>
    <t>above_horizon</t>
  </si>
  <si>
    <t>switch.smart_switch1_3</t>
  </si>
  <si>
    <t>switch.smart_switch2_7</t>
  </si>
  <si>
    <t>dimmable_light_5</t>
  </si>
  <si>
    <t>living_room</t>
  </si>
  <si>
    <t>humidity_sensor_14</t>
  </si>
  <si>
    <t>light_sensor_13</t>
  </si>
  <si>
    <t>temperature_sensor_12</t>
  </si>
  <si>
    <t>smart_switch1_3</t>
  </si>
  <si>
    <t>smart_switch2_7</t>
  </si>
  <si>
    <t>living_room_tv</t>
  </si>
  <si>
    <t>multi_sensor_4</t>
  </si>
  <si>
    <t>binary_sensor.multi_sensor_4</t>
  </si>
  <si>
    <t>media_player.living_room_tv</t>
  </si>
  <si>
    <t>## Code</t>
  </si>
  <si>
    <t>TV off with chromecast from playing</t>
  </si>
  <si>
    <t>TV off with chromecast from idle</t>
  </si>
  <si>
    <t>TV off with chromecast from paused</t>
  </si>
  <si>
    <t>rmlvtv_tv_off_with_chromecast_from_playing</t>
  </si>
  <si>
    <t>rmlvtv_tv_off_with_chromecast_from_idle</t>
  </si>
  <si>
    <t>rmlvtv_tv_off_with_chromecast_from_paused</t>
  </si>
  <si>
    <t>Entity</t>
  </si>
  <si>
    <t>State</t>
  </si>
  <si>
    <t>Attributes</t>
  </si>
  <si>
    <t>automation.rmlvtv_tv_off_with_chromecast_from_idle</t>
  </si>
  <si>
    <t>automation.rmlvtv_tv_off_with_chromecast_from_paused</t>
  </si>
  <si>
    <t>automation.rmlvtv_tv_off_with_chromecast_from_playing</t>
  </si>
  <si>
    <t>automation.statron_tv_status_from_chromecast</t>
  </si>
  <si>
    <t>group.default_view</t>
  </si>
  <si>
    <t>script.living_room_vol_to_4</t>
  </si>
  <si>
    <t>switch.multi_sensor_4</t>
  </si>
  <si>
    <t>statron_tv_status_from_chromecast</t>
  </si>
  <si>
    <t>living_room_vol_to_4</t>
  </si>
  <si>
    <t>group</t>
  </si>
  <si>
    <t>all_automations</t>
  </si>
  <si>
    <t>all_devices</t>
  </si>
  <si>
    <t>all_lights</t>
  </si>
  <si>
    <t>all_remotes</t>
  </si>
  <si>
    <t>all_scripts</t>
  </si>
  <si>
    <t>all_switches</t>
  </si>
  <si>
    <t>zone</t>
  </si>
  <si>
    <t>environment_living_room</t>
  </si>
  <si>
    <t>humvee_monitor_status</t>
  </si>
  <si>
    <t>living_room_view</t>
  </si>
  <si>
    <t>group.living_room</t>
  </si>
  <si>
    <t>binary_sensor.humvee_monitor_status</t>
  </si>
  <si>
    <t>group.environment_living_room</t>
  </si>
  <si>
    <t>group.living_room_view</t>
  </si>
  <si>
    <t>galaxy_s7</t>
  </si>
  <si>
    <t>Vacation lights at sunset when vacation mode on</t>
  </si>
  <si>
    <t>automation.statvac_vacation_lights_at_sunset_when_vacation_mode_on</t>
  </si>
  <si>
    <t>script.vacation_lights</t>
  </si>
  <si>
    <t>statvac_vacation_lights_at_sunset_when_vacation_mode_on</t>
  </si>
  <si>
    <t>vacation_lights</t>
  </si>
  <si>
    <t>object_id order</t>
  </si>
  <si>
    <t>Calculations</t>
  </si>
  <si>
    <t>Note: The order (i.e., the row) of each view in the table impacts the order in Home Assistant. Be careful when sorting the table! Entities in orange-highlighted cells are not in the 'Entities' or 'Cards' tabs.</t>
  </si>
  <si>
    <t>Note: The order (i.e., the row) of each card in the table impacts the order in Home Assistant. Be careful when sorting the table! Entities in orange-highlighted cells are not in the 'Entities' tab.</t>
  </si>
  <si>
    <t>#</t>
  </si>
  <si>
    <t>device_tracker.echo_tap</t>
  </si>
  <si>
    <t>Using Computer</t>
  </si>
  <si>
    <t>Mixed precipitation tomorrow through Thursday, with temperatures bottoming out at 35°F on Saturday.</t>
  </si>
  <si>
    <t>Light snow (under 1 in.) tomorrow morning.</t>
  </si>
  <si>
    <t>Clear for the hour.</t>
  </si>
  <si>
    <t>echo_tap</t>
  </si>
  <si>
    <t>alert</t>
  </si>
  <si>
    <t>Alert</t>
  </si>
  <si>
    <t>Turn off TV if chromecast off</t>
  </si>
  <si>
    <t>Notification when Humvee left on</t>
  </si>
  <si>
    <t>automation.not_notification_when_humvee_left_on</t>
  </si>
  <si>
    <t>automation.not_speed_test_record</t>
  </si>
  <si>
    <t>automation.rmlvtv_turn_off_tv_if_chromecast_off</t>
  </si>
  <si>
    <t>last_triggered: null friendly_name: almclk_wake_up script triggered by alarm clock hidden: true</t>
  </si>
  <si>
    <t>last_triggered: null friendly_name: loc-away_Devices in bedroom off when at the computer hidden: true</t>
  </si>
  <si>
    <t>last_triggered: null friendly_name: loc-away_Devices off when away hidden: true</t>
  </si>
  <si>
    <t>last_triggered: null friendly_name: loc-away_Devices on desk off when leave the computer hidden: true</t>
  </si>
  <si>
    <t>last_triggered: 2017-03-30T15:29:12.605611+00:00 friendly_name: not_Notification when Humvee left on</t>
  </si>
  <si>
    <t>last_triggered: null friendly_name: not_Notification when multi-sensor battery is low hidden: true</t>
  </si>
  <si>
    <t>last_triggered: 2017-03-30T15:06:06.322898+00:00 friendly_name: not_Notification when Tank turns off</t>
  </si>
  <si>
    <t>last_triggered: null friendly_name: rm-bd_Fan off at 12 PM hidden: true</t>
  </si>
  <si>
    <t>last_triggered: null friendly_name: rm-bd_One bulb off at sunset hidden: true</t>
  </si>
  <si>
    <t>last_triggered: null friendly_name: rm-lv_Amp off at 3 AM hidden: true</t>
  </si>
  <si>
    <t>last_triggered: null friendly_name: rm-lv_Amp off with Humvee hidden: true</t>
  </si>
  <si>
    <t>last_triggered: null friendly_name: rm-lv-tv_Chromecast volume to 4 on start hidden: true</t>
  </si>
  <si>
    <t>last_triggered: null friendly_name: rm-lv-tv_Turn off TV if chromecast off</t>
  </si>
  <si>
    <t>last_triggered: null friendly_name: rm-lv-tv_TV off with chromecast from idle hidden: true</t>
  </si>
  <si>
    <t>last_triggered: null friendly_name: rm-lv-tv_TV off with chromecast from paused hidden: true</t>
  </si>
  <si>
    <t>last_triggered: null friendly_name: rm-lv-tv_TV off with chromecast from playing hidden: true</t>
  </si>
  <si>
    <t>last_triggered: null friendly_name: rm-lv-tv_TV on with chromecast hidden: true</t>
  </si>
  <si>
    <t>last_triggered: null friendly_name: stat-friend_Friend Visiting off from device tracker hidden: true</t>
  </si>
  <si>
    <t>last_triggered: null friendly_name: stat-friend_Friend Visiting on from device tracker hidden: true</t>
  </si>
  <si>
    <t>last_triggered: null friendly_name: stat-ron_Away status from device tracker hidden: true</t>
  </si>
  <si>
    <t>last_triggered: null friendly_name: stat-ron_Computer status from monitor status hidden: true</t>
  </si>
  <si>
    <t>last_triggered: null friendly_name: stat-ron_Home status from device tracker hidden: true</t>
  </si>
  <si>
    <t>last_triggered: null friendly_name: stat-ron_Home status from monitor status hidden: true</t>
  </si>
  <si>
    <t>last_triggered: null friendly_name: stat-ron_TV status from chromecast hidden: true</t>
  </si>
  <si>
    <t>last_triggered: null friendly_name: stat-vac_Vacation lights at sunset when vacation mode on hidden: true</t>
  </si>
  <si>
    <t>last_triggered: null friendly_name: stat-vac_Vacation mode off when home hidden: true</t>
  </si>
  <si>
    <t>last_triggered: null friendly_name: stat-vac_Vacation mode on when gone 24 hours hidden: true</t>
  </si>
  <si>
    <t>not_notification_when_humvee_left_on</t>
  </si>
  <si>
    <t>not_speed_test_record</t>
  </si>
  <si>
    <t>rmlvtv_turn_off_tv_if_chromecast_off</t>
  </si>
  <si>
    <t>last_triggered: 2017-03-30T15:41:14.677746+00:00 friendly_name: not_Speed test record</t>
  </si>
  <si>
    <t>last_triggered: 2017-03-30T15:41:47.704310+00:00 friendly_name: rm-bd_One bulb on with switch at night hidden: true</t>
  </si>
  <si>
    <t>This sheets allows the quick processing of Entities from Home Assistant</t>
  </si>
  <si>
    <t>Note: Note, if your prior configuration had many entities, some may remain after copying new data from Home Assistant. After step 1, ensure that there aren't any duplicate or old entries in the table.</t>
  </si>
  <si>
    <t>States (from Home Assistant)</t>
  </si>
  <si>
    <t xml:space="preserve"> </t>
  </si>
  <si>
    <t>Export new entities to "Entities" tab: (1) Filter the table by column J to show rows labeled "missing...". (Note: If all the rows say "yes", then the "Entities" tab is already updated); (2) Select the "domain" and "object_id" (Coumns E and F) of the "missing" rows and copy. (3) Navigate to the "Entities" tab and paste the new 'domain' and 'object_id' entries into the corresponding columns. Use the shortcut [ctrl]+[alt]+[v] to 'Paste Special', then press [v] then [enter] to just paste the values to the new table (not the formulas).</t>
  </si>
  <si>
    <t>Populate from Home Assistant</t>
  </si>
  <si>
    <t>Copy to "Entities" tab</t>
  </si>
  <si>
    <t>Copy from "States" tab</t>
  </si>
  <si>
    <t>Populate with your preferences</t>
  </si>
  <si>
    <t>Instructions: (1) Copy the 'domain' and 'object_id' from the "States" tab. (described in the instructions on that tab). (2) Populate columns D - H with your customization preferences. (3) Copy the "entitiy_id" from I to the "Cards" and "Views" tabs to populate those. (4) Check the "Cards" and "Views" with the 'Organization' Coumns (Yellow cells do not have any organization preferences specified). (5) Check the entitiy is still present in Home Assistant with the "In HA?" column.</t>
  </si>
  <si>
    <t>Copy to "Cards" or "Views" tabs</t>
  </si>
  <si>
    <t>Assigned Card</t>
  </si>
  <si>
    <t>Card Displayed</t>
  </si>
  <si>
    <t>View Displayed</t>
  </si>
  <si>
    <t>Assigned View</t>
  </si>
  <si>
    <t>Environment || Living Room</t>
  </si>
  <si>
    <t>Automation || Ron Status</t>
  </si>
  <si>
    <t>LAN || Phones</t>
  </si>
  <si>
    <t>LAN || Computers</t>
  </si>
  <si>
    <t>LAN || IoT</t>
  </si>
  <si>
    <t>Environment || Forecast</t>
  </si>
  <si>
    <t>Bedroom || Devices</t>
  </si>
  <si>
    <t>Automation || Friend Status</t>
  </si>
  <si>
    <t>Automation || Living Room TV</t>
  </si>
  <si>
    <t>Automation || Alarm Clock</t>
  </si>
  <si>
    <t>Automation || Away</t>
  </si>
  <si>
    <t>Automation || Notifications</t>
  </si>
  <si>
    <t>Automation || Bedroom</t>
  </si>
  <si>
    <t>Automation || Living Room</t>
  </si>
  <si>
    <t>Import entities from Home Assistant: (1) From Home Assistant in a browser, find the "States" by: [open side panel] &gt; [navigate to "Developer Tools"] &gt; [press the "&lt;&gt;" button]. (2) Copy the table including the headers, starting from the "Entity" column heading. (3) Paste the text in the first cell of the table (4). Clear all formatting - you can use the shortcut by holding [Alt] and pressing [h], [e], then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</si>
</sst>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rgb="FFFFC000"/>
        <bgColor indexed="64"/>
      </patternFill>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1">
    <xf numFmtId="0" fontId="0" fillId="0" borderId="0"/>
  </cellStyleXfs>
  <cellXfs count="32">
    <xf numFmtId="0" fontId="0" fillId="0" borderId="0" xfId="0"/>
    <xf numFmtId="0" fontId="2" fillId="0" borderId="0" xfId="0" applyFont="1"/>
    <xf numFmtId="0" fontId="0" fillId="2" borderId="0" xfId="0" applyFill="1"/>
    <xf numFmtId="0" fontId="3" fillId="0" borderId="0" xfId="0" applyFont="1"/>
    <xf numFmtId="0" fontId="0" fillId="0" borderId="0" xfId="0" quotePrefix="1"/>
    <xf numFmtId="0" fontId="4" fillId="0" borderId="0" xfId="0" applyFont="1"/>
    <xf numFmtId="0" fontId="0" fillId="0" borderId="0" xfId="0" applyNumberFormat="1"/>
    <xf numFmtId="0" fontId="4" fillId="3" borderId="0" xfId="0" applyFont="1" applyFill="1"/>
    <xf numFmtId="0" fontId="0" fillId="3" borderId="0" xfId="0" applyFill="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4" fontId="0" fillId="4" borderId="0" xfId="0" applyNumberFormat="1" applyFill="1"/>
    <xf numFmtId="0" fontId="0" fillId="0" borderId="0" xfId="0" applyFont="1"/>
    <xf numFmtId="0" fontId="0" fillId="5" borderId="0" xfId="0" applyFill="1"/>
    <xf numFmtId="0" fontId="0" fillId="0" borderId="0" xfId="0" applyAlignment="1">
      <alignment horizontal="right"/>
    </xf>
    <xf numFmtId="0" fontId="6" fillId="0" borderId="0" xfId="0" applyFont="1"/>
    <xf numFmtId="0" fontId="4" fillId="3" borderId="0" xfId="0" quotePrefix="1" applyFont="1" applyFill="1"/>
    <xf numFmtId="0" fontId="4" fillId="0" borderId="1" xfId="0" applyFont="1" applyBorder="1"/>
    <xf numFmtId="0" fontId="3" fillId="0" borderId="1" xfId="0" applyFont="1" applyBorder="1"/>
    <xf numFmtId="0" fontId="5" fillId="6" borderId="1" xfId="0" applyFont="1" applyFill="1" applyBorder="1"/>
    <xf numFmtId="0" fontId="0" fillId="7" borderId="0" xfId="0" applyFill="1"/>
    <xf numFmtId="0" fontId="0" fillId="8" borderId="1" xfId="0" applyFill="1" applyBorder="1"/>
    <xf numFmtId="0" fontId="6" fillId="0" borderId="0" xfId="0" applyFont="1" applyFill="1" applyBorder="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9" borderId="0" xfId="0" applyFill="1"/>
    <xf numFmtId="0" fontId="6" fillId="0" borderId="2" xfId="0" applyFont="1" applyBorder="1" applyAlignment="1">
      <alignment horizontal="centerContinuous"/>
    </xf>
    <xf numFmtId="0" fontId="0" fillId="0" borderId="2" xfId="0" applyBorder="1" applyAlignment="1">
      <alignment horizontal="centerContinuous"/>
    </xf>
  </cellXfs>
  <cellStyles count="1">
    <cellStyle name="Normal" xfId="0" builtinId="0"/>
  </cellStyles>
  <dxfs count="8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font>
      <fill>
        <patternFill>
          <bgColor rgb="FFFFFF00"/>
        </patternFill>
      </fill>
    </dxf>
    <dxf>
      <font>
        <b val="0"/>
        <i val="0"/>
      </font>
      <fill>
        <patternFill>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C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7" tint="-0.499984740745262"/>
      </font>
      <fill>
        <patternFill>
          <bgColor theme="7" tint="0.59996337778862885"/>
        </patternFill>
      </fill>
    </dxf>
    <dxf>
      <fill>
        <patternFill>
          <bgColor rgb="FFFFC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4" name="Table4" displayName="Table4" ref="B10:J172" totalsRowShown="0">
  <autoFilter ref="B10:J172"/>
  <sortState ref="B8:J168">
    <sortCondition ref="H7:H168"/>
  </sortState>
  <tableColumns count="9">
    <tableColumn id="1" name="Entity"/>
    <tableColumn id="2" name="State"/>
    <tableColumn id="3" name="Attributes"/>
    <tableColumn id="7" name="loc of mdi" dataDxfId="84">
      <calculatedColumnFormula>IFERROR(FIND("mdi:",Table4[[#This Row],[Attributes]]),"")</calculatedColumnFormula>
    </tableColumn>
    <tableColumn id="8" name="loc of space after mdi" dataDxfId="83">
      <calculatedColumnFormula>IF(Table4[[#This Row],[loc of mdi]]="","",IFERROR(FIND(" ",Table4[[#This Row],[Attributes]],Table4[[#This Row],[loc of mdi]]+3),LEN(Table4[[#This Row],[Attributes]])+1))</calculatedColumnFormula>
    </tableColumn>
    <tableColumn id="9" name="icon parsed" dataDxfId="82">
      <calculatedColumnFormula>IFERROR(MID(Table4[[#This Row],[Attributes]],Table4[[#This Row],[loc of mdi]],Table4[[#This Row],[loc of space after mdi]]-Table4[[#This Row],[loc of mdi]]),"")</calculatedColumnFormula>
    </tableColumn>
    <tableColumn id="6" name="In 'Entities' tab?" dataDxfId="81">
      <calculatedColumnFormula>IF(COUNTIFS(entities[entity_id],Table4[[#This Row],[Entity]])=1,"yes","missing from 'Entities' tab")</calculatedColumnFormula>
    </tableColumn>
    <tableColumn id="4" name="domain" dataDxfId="80">
      <calculatedColumnFormula>LEFT(Table4[[#This Row],[Entity]],FIND(".",Table4[[#This Row],[Entity]])-1)</calculatedColumnFormula>
    </tableColumn>
    <tableColumn id="5" name="object_id" dataDxfId="79">
      <calculatedColumnFormula>MID(Table4[[#This Row],[Entity]],FIND(".",Table4[[#This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entities" displayName="entities" ref="B6:AB169" totalsRowShown="0">
  <autoFilter ref="B6:AB169"/>
  <sortState ref="B7:AA169">
    <sortCondition ref="B6:B169"/>
  </sortState>
  <tableColumns count="27">
    <tableColumn id="1" name="domain"/>
    <tableColumn id="2" name="object_id"/>
    <tableColumn id="5" name="hidden"/>
    <tableColumn id="4" name="friendly_name"/>
    <tableColumn id="11" name="emulated_hue:"/>
    <tableColumn id="10" name="emulated_hue_name: "/>
    <tableColumn id="6" name="icon"/>
    <tableColumn id="14" name="entity_id" dataDxfId="75">
      <calculatedColumnFormula>entities[[#This Row],[domain]]&amp;"."&amp;entities[[#This Row],[object_id]]</calculatedColumnFormula>
    </tableColumn>
    <tableColumn id="12" name="Custom Attributes" dataDxfId="74">
      <calculatedColumnFormula>5-COUNTBLANK(entities[[#This Row],[hidden]:[icon]])</calculatedColumnFormula>
    </tableColumn>
    <tableColumn id="13" name="custom entity #" dataDxfId="73">
      <calculatedColumnFormula>IF(entities[[#This Row],[Custom Attributes]]=0,"",
COUNTIFS(entities[Custom Attributes],"&gt;0",entities[entity_id],"&lt;="&amp;entities[[#This Row],[entity_id]]))</calculatedColumnFormula>
    </tableColumn>
    <tableColumn id="15" name="1" dataDxfId="72">
      <calculatedColumnFormula array="1">IF(entities[[#This Row],[Custom Attributes]]&lt;1,"",
MATCH(FALSE, ISBLANK(OFFSET(entities[[#This Row],[hidden]],0,0,1,5)), 0))</calculatedColumnFormula>
    </tableColumn>
    <tableColumn id="16" name="2" dataDxfId="71">
      <calculatedColumnFormula array="1">IF(entities[[#This Row],[Custom Attributes]]&lt;2,"",
IF(entities[[#This Row],[1]]=5-1,5,
MATCH(FALSE, ISBLANK(OFFSET(entities[[#This Row],[hidden]],0,entities[[#This Row],[1]],1,5-entities[[#This Row],[1]])), 0)+entities[[#This Row],[1]]))</calculatedColumnFormula>
    </tableColumn>
    <tableColumn id="7" name="3" dataDxfId="70">
      <calculatedColumnFormula array="1">IF(entities[[#This Row],[Custom Attributes]]&lt;3,"",
IF(entities[[#This Row],[2]]=5-1,5,
MATCH(FALSE, ISBLANK(OFFSET(entities[[#This Row],[hidden]],0,entities[[#This Row],[2]],1,5-entities[[#This Row],[2]])), 0)+entities[[#This Row],[2]]))</calculatedColumnFormula>
    </tableColumn>
    <tableColumn id="17" name="4" dataDxfId="69">
      <calculatedColumnFormula array="1">IF(entities[[#This Row],[Custom Attributes]]&lt;4,"",
IF(entities[[#This Row],[3]]=5-1,5,
MATCH(FALSE, ISBLANK(OFFSET(entities[[#This Row],[hidden]],0,entities[[#This Row],[3]],1,5-entities[[#This Row],[3]])), 0)+entities[[#This Row],[3]]))</calculatedColumnFormula>
    </tableColumn>
    <tableColumn id="19" name="line 1" dataDxfId="68">
      <calculatedColumnFormula>IF(entities[[#This Row],[1]]="","",
VLOOKUP(entities[[#This Row],[1]],Lookup!$B$5:$D$9,3,FALSE)  &amp;  INDEX(entities[[#This Row],[hidden]:[icon]],entities[[#This Row],[1]])
)</calculatedColumnFormula>
    </tableColumn>
    <tableColumn id="20" name="line 2" dataDxfId="67">
      <calculatedColumnFormula>IF(entities[[#This Row],[2]]="","",
VLOOKUP(entities[[#This Row],[2]],Lookup!$B$5:$D$9,3,FALSE)  &amp;  INDEX(entities[[#This Row],[hidden]:[icon]],entities[[#This Row],[2]])
)</calculatedColumnFormula>
    </tableColumn>
    <tableColumn id="21" name="line 3" dataDxfId="66">
      <calculatedColumnFormula>IF(entities[[#This Row],[3]]="","",
VLOOKUP(entities[[#This Row],[3]],Lookup!$B$5:$D$9,3,FALSE)  &amp;  INDEX(entities[[#This Row],[hidden]:[icon]],entities[[#This Row],[3]])
)</calculatedColumnFormula>
    </tableColumn>
    <tableColumn id="8" name="line 4" dataDxfId="65">
      <calculatedColumnFormula>IF(entities[[#This Row],[4]]="","",
VLOOKUP(entities[[#This Row],[4]],Lookup!$B$5:$D$9,3,FALSE)  &amp;  INDEX(entities[[#This Row],[hidden]:[icon]],entities[[#This Row],[4]])
)</calculatedColumnFormula>
    </tableColumn>
    <tableColumn id="3" name="Card" dataDxfId="64">
      <calculatedColumnFormula array="1">IFERROR(INDEX(cards[object_id],SMALL(IF(cards[[1]:[25]]=entities[[#This Row],[entity_id]],ROW(cards[])-7,99^99),1)),"")</calculatedColumnFormula>
    </tableColumn>
    <tableColumn id="26" name="Card Displayed" dataDxfId="63">
      <calculatedColumnFormula>IF(entities[[#This Row],[In HA?]]&lt;&gt;"ok",  "Not in Home Assistant",
IF(entities[[#This Row],[hidden]]="true",  "Hidden",
IF(entities[[#This Row],[Card]]&lt;&gt;"",
INDEX(cards[name],MATCH(entities[[#This Row],[Card]],cards[object_id],0)),  "Badge / automatic card")))</calculatedColumnFormula>
    </tableColumn>
    <tableColumn id="22" name="Assigned Card" dataDxfId="62">
      <calculatedColumnFormula>IF(entities[[#This Row],[Card]]&lt;&gt;"","group."&amp;entities[[#This Row],[Card]],"")</calculatedColumnFormula>
    </tableColumn>
    <tableColumn id="23" name="View from card" dataDxfId="61">
      <calculatedColumnFormula array="1">IFERROR(IF(entities[[#This Row],[Assigned Card]]="","",INDEX(views[object_id],SMALL(IF(views[[1]:[25]]=entities[[#This Row],[Assigned Card]],ROW(views[])-7,99^99),1))),"")</calculatedColumnFormula>
    </tableColumn>
    <tableColumn id="24" name="View from entitiy" dataDxfId="60">
      <calculatedColumnFormula array="1">IFERROR(INDEX(views[object_id],SMALL(IF(views[[1]:[25]]=entities[[#This Row],[entity_id]],ROW(views[])-7,99^99),1)),"")</calculatedColumnFormula>
    </tableColumn>
    <tableColumn id="18" name="View" dataDxfId="59">
      <calculatedColumnFormula>IF(entities[[#This Row],[View from card]]&lt;&gt;"",entities[[#This Row],[View from card]],entities[[#This Row],[View from entitiy]])</calculatedColumnFormula>
    </tableColumn>
    <tableColumn id="28" name="View Displayed" dataDxfId="58">
      <calculatedColumnFormula>IF(entities[[#This Row],[In HA?]]&lt;&gt;"ok",  "Not in Home Assistant",
IF(entities[[#This Row],[hidden]]="true",  "Hidden",
IF(entities[[#This Row],[View]]&lt;&gt;"",
INDEX(views[name],MATCH(entities[[#This Row],[View]],views[object_id],0)),  "Default view")))</calculatedColumnFormula>
    </tableColumn>
    <tableColumn id="27" name="Assigned View" dataDxfId="57">
      <calculatedColumnFormula>IF(entities[[#This Row],[View]]&lt;&gt;"","group."&amp;entities[[#This Row],[View]],"")</calculatedColumnFormula>
    </tableColumn>
    <tableColumn id="9" name="In HA?" dataDxfId="56">
      <calculatedColumnFormula>IF(COUNTIF(Table4[Entity],entities[[#This Row],[entity_id]]),"ok","Missing from States tab")</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cards" displayName="cards" ref="B7:BK31" totalsRowShown="0">
  <autoFilter ref="B7:BK31"/>
  <sortState ref="B8:BK31">
    <sortCondition ref="B7:B31"/>
  </sortState>
  <tableColumns count="62">
    <tableColumn id="62" name="#"/>
    <tableColumn id="1" name="object_id"/>
    <tableColumn id="2" name="name"/>
    <tableColumn id="58" name="icon"/>
    <tableColumn id="5" name="1" dataDxfId="53"/>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52">
      <calculatedColumnFormula>ROW(cards[[#This Row],[object_id order]])-ROW(cards[])+1</calculatedColumnFormula>
    </tableColumn>
    <tableColumn id="31" name="Entities count" dataDxfId="51">
      <calculatedColumnFormula>COUNTA(cards[[#This Row],[1]:[25]])</calculatedColumnFormula>
    </tableColumn>
    <tableColumn id="30" name="First space" dataDxfId="50">
      <calculatedColumnFormula array="1">MATCH(TRUE,INDEX(ISBLANK(cards[[#This Row],[1]:[25]]),0,0),0)</calculatedColumnFormula>
    </tableColumn>
    <tableColumn id="33" name="C1" dataDxfId="49">
      <calculatedColumnFormula>IF(OFFSET(cards[[#This Row],[1]],0,AH$5-1)="","",  IF(COUNTIF(entities[entity_id],OFFSET(cards[[#This Row],[1]],0,AH$5-1))=1,"ok","missing"))</calculatedColumnFormula>
    </tableColumn>
    <tableColumn id="34" name="C2" dataDxfId="48">
      <calculatedColumnFormula>IF(OFFSET(cards[[#This Row],[1]],0,AI$5-1)="","",  IF(COUNTIF(entities[entity_id],OFFSET(cards[[#This Row],[1]],0,AI$5-1))=1,"ok","missing"))</calculatedColumnFormula>
    </tableColumn>
    <tableColumn id="35" name="C3" dataDxfId="47">
      <calculatedColumnFormula>IF(OFFSET(cards[[#This Row],[1]],0,AJ$5-1)="","",  IF(COUNTIF(entities[entity_id],OFFSET(cards[[#This Row],[1]],0,AJ$5-1))=1,"ok","missing"))</calculatedColumnFormula>
    </tableColumn>
    <tableColumn id="36" name="C4" dataDxfId="46">
      <calculatedColumnFormula>IF(OFFSET(cards[[#This Row],[1]],0,AK$5-1)="","",  IF(COUNTIF(entities[entity_id],OFFSET(cards[[#This Row],[1]],0,AK$5-1))=1,"ok","missing"))</calculatedColumnFormula>
    </tableColumn>
    <tableColumn id="37" name="C5" dataDxfId="45">
      <calculatedColumnFormula>IF(OFFSET(cards[[#This Row],[1]],0,AL$5-1)="","",  IF(COUNTIF(entities[entity_id],OFFSET(cards[[#This Row],[1]],0,AL$5-1))=1,"ok","missing"))</calculatedColumnFormula>
    </tableColumn>
    <tableColumn id="38" name="C6" dataDxfId="44">
      <calculatedColumnFormula>IF(OFFSET(cards[[#This Row],[1]],0,AM$5-1)="","",  IF(COUNTIF(entities[entity_id],OFFSET(cards[[#This Row],[1]],0,AM$5-1))=1,"ok","missing"))</calculatedColumnFormula>
    </tableColumn>
    <tableColumn id="39" name="C7" dataDxfId="43">
      <calculatedColumnFormula>IF(OFFSET(cards[[#This Row],[1]],0,AN$5-1)="","",  IF(COUNTIF(entities[entity_id],OFFSET(cards[[#This Row],[1]],0,AN$5-1))=1,"ok","missing"))</calculatedColumnFormula>
    </tableColumn>
    <tableColumn id="40" name="C8" dataDxfId="42">
      <calculatedColumnFormula>IF(OFFSET(cards[[#This Row],[1]],0,AO$5-1)="","",  IF(COUNTIF(entities[entity_id],OFFSET(cards[[#This Row],[1]],0,AO$5-1))=1,"ok","missing"))</calculatedColumnFormula>
    </tableColumn>
    <tableColumn id="41" name="C9" dataDxfId="41">
      <calculatedColumnFormula>IF(OFFSET(cards[[#This Row],[1]],0,AP$5-1)="","",  IF(COUNTIF(entities[entity_id],OFFSET(cards[[#This Row],[1]],0,AP$5-1))=1,"ok","missing"))</calculatedColumnFormula>
    </tableColumn>
    <tableColumn id="42" name="C10" dataDxfId="40">
      <calculatedColumnFormula>IF(OFFSET(cards[[#This Row],[1]],0,AQ$5-1)="","",  IF(COUNTIF(entities[entity_id],OFFSET(cards[[#This Row],[1]],0,AQ$5-1))=1,"ok","missing"))</calculatedColumnFormula>
    </tableColumn>
    <tableColumn id="43" name="C11" dataDxfId="39">
      <calculatedColumnFormula>IF(OFFSET(cards[[#This Row],[1]],0,AR$5-1)="","",  IF(COUNTIF(entities[entity_id],OFFSET(cards[[#This Row],[1]],0,AR$5-1))=1,"ok","missing"))</calculatedColumnFormula>
    </tableColumn>
    <tableColumn id="44" name="C12" dataDxfId="38">
      <calculatedColumnFormula>IF(OFFSET(cards[[#This Row],[1]],0,AS$5-1)="","",  IF(COUNTIF(entities[entity_id],OFFSET(cards[[#This Row],[1]],0,AS$5-1))=1,"ok","missing"))</calculatedColumnFormula>
    </tableColumn>
    <tableColumn id="45" name="C13" dataDxfId="37">
      <calculatedColumnFormula>IF(OFFSET(cards[[#This Row],[1]],0,AT$5-1)="","",  IF(COUNTIF(entities[entity_id],OFFSET(cards[[#This Row],[1]],0,AT$5-1))=1,"ok","missing"))</calculatedColumnFormula>
    </tableColumn>
    <tableColumn id="46" name="C14" dataDxfId="36">
      <calculatedColumnFormula>IF(OFFSET(cards[[#This Row],[1]],0,AU$5-1)="","",  IF(COUNTIF(entities[entity_id],OFFSET(cards[[#This Row],[1]],0,AU$5-1))=1,"ok","missing"))</calculatedColumnFormula>
    </tableColumn>
    <tableColumn id="47" name="C15" dataDxfId="35">
      <calculatedColumnFormula>IF(OFFSET(cards[[#This Row],[1]],0,AV$5-1)="","",  IF(COUNTIF(entities[entity_id],OFFSET(cards[[#This Row],[1]],0,AV$5-1))=1,"ok","missing"))</calculatedColumnFormula>
    </tableColumn>
    <tableColumn id="48" name="C16" dataDxfId="34">
      <calculatedColumnFormula>IF(OFFSET(cards[[#This Row],[1]],0,AW$5-1)="","",  IF(COUNTIF(entities[entity_id],OFFSET(cards[[#This Row],[1]],0,AW$5-1))=1,"ok","missing"))</calculatedColumnFormula>
    </tableColumn>
    <tableColumn id="49" name="C17" dataDxfId="33">
      <calculatedColumnFormula>IF(OFFSET(cards[[#This Row],[1]],0,AX$5-1)="","",  IF(COUNTIF(entities[entity_id],OFFSET(cards[[#This Row],[1]],0,AX$5-1))=1,"ok","missing"))</calculatedColumnFormula>
    </tableColumn>
    <tableColumn id="50" name="C18" dataDxfId="32">
      <calculatedColumnFormula>IF(OFFSET(cards[[#This Row],[1]],0,AY$5-1)="","",  IF(COUNTIF(entities[entity_id],OFFSET(cards[[#This Row],[1]],0,AY$5-1))=1,"ok","missing"))</calculatedColumnFormula>
    </tableColumn>
    <tableColumn id="51" name="C19" dataDxfId="31">
      <calculatedColumnFormula>IF(OFFSET(cards[[#This Row],[1]],0,AZ$5-1)="","",  IF(COUNTIF(entities[entity_id],OFFSET(cards[[#This Row],[1]],0,AZ$5-1))=1,"ok","missing"))</calculatedColumnFormula>
    </tableColumn>
    <tableColumn id="52" name="C20" dataDxfId="30">
      <calculatedColumnFormula>IF(OFFSET(cards[[#This Row],[1]],0,BA$5-1)="","",  IF(COUNTIF(entities[entity_id],OFFSET(cards[[#This Row],[1]],0,BA$5-1))=1,"ok","missing"))</calculatedColumnFormula>
    </tableColumn>
    <tableColumn id="53" name="C21" dataDxfId="29">
      <calculatedColumnFormula>IF(OFFSET(cards[[#This Row],[1]],0,BB$5-1)="","",  IF(COUNTIF(entities[entity_id],OFFSET(cards[[#This Row],[1]],0,BB$5-1))=1,"ok","missing"))</calculatedColumnFormula>
    </tableColumn>
    <tableColumn id="54" name="C22" dataDxfId="28">
      <calculatedColumnFormula>IF(OFFSET(cards[[#This Row],[1]],0,BC$5-1)="","",  IF(COUNTIF(entities[entity_id],OFFSET(cards[[#This Row],[1]],0,BC$5-1))=1,"ok","missing"))</calculatedColumnFormula>
    </tableColumn>
    <tableColumn id="55" name="C23" dataDxfId="27">
      <calculatedColumnFormula>IF(OFFSET(cards[[#This Row],[1]],0,BD$5-1)="","",  IF(COUNTIF(entities[entity_id],OFFSET(cards[[#This Row],[1]],0,BD$5-1))=1,"ok","missing"))</calculatedColumnFormula>
    </tableColumn>
    <tableColumn id="56" name="C24" dataDxfId="26">
      <calculatedColumnFormula>IF(OFFSET(cards[[#This Row],[1]],0,BE$5-1)="","",  IF(COUNTIF(entities[entity_id],OFFSET(cards[[#This Row],[1]],0,BE$5-1))=1,"ok","missing"))</calculatedColumnFormula>
    </tableColumn>
    <tableColumn id="57" name="C25" dataDxfId="25">
      <calculatedColumnFormula>IF(OFFSET(cards[[#This Row],[1]],0,BF$5-1)="","",  IF(COUNTIF(entities[entity_id],OFFSET(cards[[#This Row],[1]],0,BF$5-1))=1,"ok","missing"))</calculatedColumnFormula>
    </tableColumn>
    <tableColumn id="59" name="entity_id" dataDxfId="24">
      <calculatedColumnFormula>"group."&amp;cards[[#This Row],[object_id]]</calculatedColumnFormula>
    </tableColumn>
    <tableColumn id="60" name="View" dataDxfId="23">
      <calculatedColumnFormula array="1">IFERROR(INDEX(views[object_id],SMALL(IF(views[[1]:[25]]=cards[[#This Row],[entity_id]],ROW(views[])-7,99^99),1)),"")</calculatedColumnFormula>
    </tableColumn>
    <tableColumn id="32" name="No blanks" dataDxfId="22">
      <calculatedColumnFormula>IF(cards[[#This Row],[First space]]-cards[[#This Row],[Entities count]]=1,"ok","Check entitiy names")</calculatedColumnFormula>
    </tableColumn>
    <tableColumn id="61" name="Not in view" dataDxfId="21">
      <calculatedColumnFormula>IF(cards[[#This Row],[View]]&lt;&gt;"","ok","not in view")</calculatedColumnFormula>
    </tableColumn>
    <tableColumn id="3" name="Not in 'Entitiy' tab" dataDxfId="20">
      <calculatedColumnFormula>IF(COUNTIF(cards[[#This Row],[C1]:[C25]],"missing")=0,"ok","some entities missing from Entities tab")</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views" displayName="views" ref="B7:BH12" totalsRowShown="0">
  <autoFilter ref="B7:BH12"/>
  <sortState ref="B8:BH12">
    <sortCondition ref="B7:B12"/>
  </sortState>
  <tableColumns count="59">
    <tableColumn id="59" name="#"/>
    <tableColumn id="1" name="object_id"/>
    <tableColumn id="2" name="name"/>
    <tableColumn id="3" name="icon"/>
    <tableColumn id="5" name="1"/>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18">
      <calculatedColumnFormula>ROW(views[[#This Row],[object_id order]])-ROW(views[])+1</calculatedColumnFormula>
    </tableColumn>
    <tableColumn id="31" name="Entities count" dataDxfId="17">
      <calculatedColumnFormula>COUNTA(views[[#This Row],[1]:[25]])</calculatedColumnFormula>
    </tableColumn>
    <tableColumn id="30" name="First space" dataDxfId="16">
      <calculatedColumnFormula array="1">MATCH(TRUE,INDEX(ISBLANK(views[[#This Row],[1]:[25]]),0,0),0)</calculatedColumnFormula>
    </tableColumn>
    <tableColumn id="33" name="C1" dataDxfId="15">
      <calculatedColumnFormula>IF(OFFSET(views[[#This Row],[1]],0,AH$5-1)="","",  IF(COUNTIF(entities[entity_id],OFFSET(views[[#This Row],[1]],0,AH$5-1))+COUNTIF(cards[entity_id],OFFSET(views[[#This Row],[1]],0,AH$5-1))&gt;1,"ok","missing"))</calculatedColumnFormula>
    </tableColumn>
    <tableColumn id="34" name="C2">
      <calculatedColumnFormula>IF(OFFSET(views[[#This Row],[1]],0,AI$5-1)="","",  IF(COUNTIF(entities[entity_id],OFFSET(views[[#This Row],[1]],0,AI$5-1))+COUNTIF(cards[entity_id],OFFSET(views[[#This Row],[1]],0,AI$5-1))&gt;1,"ok","missing"))</calculatedColumnFormula>
    </tableColumn>
    <tableColumn id="35" name="C3">
      <calculatedColumnFormula>IF(OFFSET(views[[#This Row],[1]],0,AJ$5-1)="","",  IF(COUNTIF(entities[entity_id],OFFSET(views[[#This Row],[1]],0,AJ$5-1))+COUNTIF(cards[entity_id],OFFSET(views[[#This Row],[1]],0,AJ$5-1))&gt;1,"ok","missing"))</calculatedColumnFormula>
    </tableColumn>
    <tableColumn id="36" name="C4">
      <calculatedColumnFormula>IF(OFFSET(views[[#This Row],[1]],0,AK$5-1)="","",  IF(COUNTIF(entities[entity_id],OFFSET(views[[#This Row],[1]],0,AK$5-1))+COUNTIF(cards[entity_id],OFFSET(views[[#This Row],[1]],0,AK$5-1))&gt;1,"ok","missing"))</calculatedColumnFormula>
    </tableColumn>
    <tableColumn id="37" name="C5">
      <calculatedColumnFormula>IF(OFFSET(views[[#This Row],[1]],0,AL$5-1)="","",  IF(COUNTIF(entities[entity_id],OFFSET(views[[#This Row],[1]],0,AL$5-1))+COUNTIF(cards[entity_id],OFFSET(views[[#This Row],[1]],0,AL$5-1))&gt;1,"ok","missing"))</calculatedColumnFormula>
    </tableColumn>
    <tableColumn id="38" name="C6">
      <calculatedColumnFormula>IF(OFFSET(views[[#This Row],[1]],0,AM$5-1)="","",  IF(COUNTIF(entities[entity_id],OFFSET(views[[#This Row],[1]],0,AM$5-1))+COUNTIF(cards[entity_id],OFFSET(views[[#This Row],[1]],0,AM$5-1))&gt;1,"ok","missing"))</calculatedColumnFormula>
    </tableColumn>
    <tableColumn id="39" name="C7">
      <calculatedColumnFormula>IF(OFFSET(views[[#This Row],[1]],0,AN$5-1)="","",  IF(COUNTIF(entities[entity_id],OFFSET(views[[#This Row],[1]],0,AN$5-1))+COUNTIF(cards[entity_id],OFFSET(views[[#This Row],[1]],0,AN$5-1))&gt;1,"ok","missing"))</calculatedColumnFormula>
    </tableColumn>
    <tableColumn id="40" name="C8">
      <calculatedColumnFormula>IF(OFFSET(views[[#This Row],[1]],0,AO$5-1)="","",  IF(COUNTIF(entities[entity_id],OFFSET(views[[#This Row],[1]],0,AO$5-1))+COUNTIF(cards[entity_id],OFFSET(views[[#This Row],[1]],0,AO$5-1))&gt;1,"ok","missing"))</calculatedColumnFormula>
    </tableColumn>
    <tableColumn id="41" name="C9">
      <calculatedColumnFormula>IF(OFFSET(views[[#This Row],[1]],0,AP$5-1)="","",  IF(COUNTIF(entities[entity_id],OFFSET(views[[#This Row],[1]],0,AP$5-1))+COUNTIF(cards[entity_id],OFFSET(views[[#This Row],[1]],0,AP$5-1))&gt;1,"ok","missing"))</calculatedColumnFormula>
    </tableColumn>
    <tableColumn id="42" name="C10">
      <calculatedColumnFormula>IF(OFFSET(views[[#This Row],[1]],0,AQ$5-1)="","",  IF(COUNTIF(entities[entity_id],OFFSET(views[[#This Row],[1]],0,AQ$5-1))+COUNTIF(cards[entity_id],OFFSET(views[[#This Row],[1]],0,AQ$5-1))&gt;1,"ok","missing"))</calculatedColumnFormula>
    </tableColumn>
    <tableColumn id="43" name="C11">
      <calculatedColumnFormula>IF(OFFSET(views[[#This Row],[1]],0,AR$5-1)="","",  IF(COUNTIF(entities[entity_id],OFFSET(views[[#This Row],[1]],0,AR$5-1))+COUNTIF(cards[entity_id],OFFSET(views[[#This Row],[1]],0,AR$5-1))&gt;1,"ok","missing"))</calculatedColumnFormula>
    </tableColumn>
    <tableColumn id="44" name="C12">
      <calculatedColumnFormula>IF(OFFSET(views[[#This Row],[1]],0,AS$5-1)="","",  IF(COUNTIF(entities[entity_id],OFFSET(views[[#This Row],[1]],0,AS$5-1))+COUNTIF(cards[entity_id],OFFSET(views[[#This Row],[1]],0,AS$5-1))&gt;1,"ok","missing"))</calculatedColumnFormula>
    </tableColumn>
    <tableColumn id="45" name="C13">
      <calculatedColumnFormula>IF(OFFSET(views[[#This Row],[1]],0,AT$5-1)="","",  IF(COUNTIF(entities[entity_id],OFFSET(views[[#This Row],[1]],0,AT$5-1))+COUNTIF(cards[entity_id],OFFSET(views[[#This Row],[1]],0,AT$5-1))&gt;1,"ok","missing"))</calculatedColumnFormula>
    </tableColumn>
    <tableColumn id="46" name="C14">
      <calculatedColumnFormula>IF(OFFSET(views[[#This Row],[1]],0,AU$5-1)="","",  IF(COUNTIF(entities[entity_id],OFFSET(views[[#This Row],[1]],0,AU$5-1))+COUNTIF(cards[entity_id],OFFSET(views[[#This Row],[1]],0,AU$5-1))&gt;1,"ok","missing"))</calculatedColumnFormula>
    </tableColumn>
    <tableColumn id="47" name="C15">
      <calculatedColumnFormula>IF(OFFSET(views[[#This Row],[1]],0,AV$5-1)="","",  IF(COUNTIF(entities[entity_id],OFFSET(views[[#This Row],[1]],0,AV$5-1))+COUNTIF(cards[entity_id],OFFSET(views[[#This Row],[1]],0,AV$5-1))&gt;1,"ok","missing"))</calculatedColumnFormula>
    </tableColumn>
    <tableColumn id="48" name="C16">
      <calculatedColumnFormula>IF(OFFSET(views[[#This Row],[1]],0,AW$5-1)="","",  IF(COUNTIF(entities[entity_id],OFFSET(views[[#This Row],[1]],0,AW$5-1))+COUNTIF(cards[entity_id],OFFSET(views[[#This Row],[1]],0,AW$5-1))&gt;1,"ok","missing"))</calculatedColumnFormula>
    </tableColumn>
    <tableColumn id="49" name="C17">
      <calculatedColumnFormula>IF(OFFSET(views[[#This Row],[1]],0,AX$5-1)="","",  IF(COUNTIF(entities[entity_id],OFFSET(views[[#This Row],[1]],0,AX$5-1))+COUNTIF(cards[entity_id],OFFSET(views[[#This Row],[1]],0,AX$5-1))&gt;1,"ok","missing"))</calculatedColumnFormula>
    </tableColumn>
    <tableColumn id="50" name="C18">
      <calculatedColumnFormula>IF(OFFSET(views[[#This Row],[1]],0,AY$5-1)="","",  IF(COUNTIF(entities[entity_id],OFFSET(views[[#This Row],[1]],0,AY$5-1))+COUNTIF(cards[entity_id],OFFSET(views[[#This Row],[1]],0,AY$5-1))&gt;1,"ok","missing"))</calculatedColumnFormula>
    </tableColumn>
    <tableColumn id="51" name="C19">
      <calculatedColumnFormula>IF(OFFSET(views[[#This Row],[1]],0,AZ$5-1)="","",  IF(COUNTIF(entities[entity_id],OFFSET(views[[#This Row],[1]],0,AZ$5-1))+COUNTIF(cards[entity_id],OFFSET(views[[#This Row],[1]],0,AZ$5-1))&gt;1,"ok","missing"))</calculatedColumnFormula>
    </tableColumn>
    <tableColumn id="52" name="C20">
      <calculatedColumnFormula>IF(OFFSET(views[[#This Row],[1]],0,BA$5-1)="","",  IF(COUNTIF(entities[entity_id],OFFSET(views[[#This Row],[1]],0,BA$5-1))+COUNTIF(cards[entity_id],OFFSET(views[[#This Row],[1]],0,BA$5-1))&gt;1,"ok","missing"))</calculatedColumnFormula>
    </tableColumn>
    <tableColumn id="53" name="C21">
      <calculatedColumnFormula>IF(OFFSET(views[[#This Row],[1]],0,BB$5-1)="","",  IF(COUNTIF(entities[entity_id],OFFSET(views[[#This Row],[1]],0,BB$5-1))+COUNTIF(cards[entity_id],OFFSET(views[[#This Row],[1]],0,BB$5-1))&gt;1,"ok","missing"))</calculatedColumnFormula>
    </tableColumn>
    <tableColumn id="54" name="C22">
      <calculatedColumnFormula>IF(OFFSET(views[[#This Row],[1]],0,BC$5-1)="","",  IF(COUNTIF(entities[entity_id],OFFSET(views[[#This Row],[1]],0,BC$5-1))+COUNTIF(cards[entity_id],OFFSET(views[[#This Row],[1]],0,BC$5-1))&gt;1,"ok","missing"))</calculatedColumnFormula>
    </tableColumn>
    <tableColumn id="55" name="C23">
      <calculatedColumnFormula>IF(OFFSET(views[[#This Row],[1]],0,BD$5-1)="","",  IF(COUNTIF(entities[entity_id],OFFSET(views[[#This Row],[1]],0,BD$5-1))+COUNTIF(cards[entity_id],OFFSET(views[[#This Row],[1]],0,BD$5-1))&gt;1,"ok","missing"))</calculatedColumnFormula>
    </tableColumn>
    <tableColumn id="56" name="C24">
      <calculatedColumnFormula>IF(OFFSET(views[[#This Row],[1]],0,BE$5-1)="","",  IF(COUNTIF(entities[entity_id],OFFSET(views[[#This Row],[1]],0,BE$5-1))+COUNTIF(cards[entity_id],OFFSET(views[[#This Row],[1]],0,BE$5-1))&gt;1,"ok","missing"))</calculatedColumnFormula>
    </tableColumn>
    <tableColumn id="57" name="C25">
      <calculatedColumnFormula>IF(OFFSET(views[[#This Row],[1]],0,BF$5-1)="","",  IF(COUNTIF(entities[entity_id],OFFSET(views[[#This Row],[1]],0,BF$5-1))+COUNTIF(cards[entity_id],OFFSET(views[[#This Row],[1]],0,BF$5-1))&gt;1,"ok","missing"))</calculatedColumnFormula>
    </tableColumn>
    <tableColumn id="32" name="No Blanks" dataDxfId="14">
      <calculatedColumnFormula>IF(views[[#This Row],[First space]]-views[[#This Row],[Entities count]]=1,"ok","Check entitiy names")</calculatedColumnFormula>
    </tableColumn>
    <tableColumn id="60" name="Not in other tabs" dataDxfId="13">
      <calculatedColumnFormula>IF(COUNTIF(views[[#This Row],[C1]:[C25]],"missing")=0,"ok","some entities missing from other tabs")</calculatedColumnFormula>
    </tableColumn>
  </tableColumns>
  <tableStyleInfo name="TableStyleMedium7" showFirstColumn="0" showLastColumn="0" showRowStripes="1" showColumnStripes="0"/>
</table>
</file>

<file path=xl/tables/table5.xml><?xml version="1.0" encoding="utf-8"?>
<table xmlns="http://schemas.openxmlformats.org/spreadsheetml/2006/main" id="3" name="automation_categories" displayName="automation_categories" ref="B2:H12" totalsRowShown="0">
  <autoFilter ref="B2:H12"/>
  <sortState ref="B3:F12">
    <sortCondition ref="C2:C12"/>
  </sortState>
  <tableColumns count="7">
    <tableColumn id="1" name="Category"/>
    <tableColumn id="2" name="Cat Short"/>
    <tableColumn id="3" name="filename">
      <calculatedColumnFormula>LOWER(SUBSTITUTE(B3," ","-"))&amp;".yaml"</calculatedColumnFormula>
    </tableColumn>
    <tableColumn id="4" name="Card" dataDxfId="10">
      <calculatedColumnFormula>"automation_"&amp;automation_categories[[#This Row],[Cat Short]]</calculatedColumnFormula>
    </tableColumn>
    <tableColumn id="5" name="Card Name" dataDxfId="9">
      <calculatedColumnFormula>"Automation - "&amp;automation_categories[[#This Row],[Category]]</calculatedColumnFormula>
    </tableColumn>
    <tableColumn id="7" name="Cat #" dataDxfId="8">
      <calculatedColumnFormula>COUNTIF(automation_categories[Cat Short],"&lt;="&amp;automation_categories[[#This Row],[Cat Short]])</calculatedColumnFormula>
    </tableColumn>
    <tableColumn id="6" name="Num Automations" dataDxfId="7">
      <calculatedColumnFormula>COUNTIF(automations[Category],automation_categories[[#This Row],[Category]])</calculatedColumnFormula>
    </tableColumn>
  </tableColumns>
  <tableStyleInfo name="TableStyleMedium4" showFirstColumn="0" showLastColumn="0" showRowStripes="1" showColumnStripes="0"/>
</table>
</file>

<file path=xl/tables/table6.xml><?xml version="1.0" encoding="utf-8"?>
<table xmlns="http://schemas.openxmlformats.org/spreadsheetml/2006/main" id="2" name="automations" displayName="automations" ref="B3:J33" totalsRowShown="0">
  <autoFilter ref="B3:J33"/>
  <sortState ref="B4:O28">
    <sortCondition ref="E3:E28"/>
  </sortState>
  <tableColumns count="9">
    <tableColumn id="1" name="Category"/>
    <tableColumn id="2" name="name"/>
    <tableColumn id="10" name="In &quot;States&quot;?" dataDxfId="6">
      <calculatedColumnFormula>IF(COUNTIFS(Table4[domain],"automation",Table4[object_id],automations[[#This Row],[alias]]),"OK","Error")</calculatedColumnFormula>
    </tableColumn>
    <tableColumn id="3" name="alias" dataDxfId="5">
      <calculatedColumnFormula>SUBSTITUTE(INDEX(automation_categories[Cat Short],MATCH(automations[[#This Row],[Category]],automation_categories[Category],0))&amp;"_"&amp;LOWER(SUBSTITUTE(automations[[#This Row],[name]]," ","_")),"-","")</calculatedColumnFormula>
    </tableColumn>
    <tableColumn id="7" name="Short Cat" dataDxfId="4">
      <calculatedColumnFormula>INDEX(automation_categories[Cat Short],MATCH(automations[[#This Row],[Category]],automation_categories[Category],0))</calculatedColumnFormula>
    </tableColumn>
    <tableColumn id="5" name="Auto #" dataDxfId="3">
      <calculatedColumnFormula>COUNTIF(automations[alias],"&lt;="&amp;automations[[#This Row],[alias]])</calculatedColumnFormula>
    </tableColumn>
    <tableColumn id="8" name="Cat #" dataDxfId="2">
      <calculatedColumnFormula>INDEX(automation_categories[Cat '#],MATCH(automations[[#This Row],[Category]],automation_categories[Category],0))</calculatedColumnFormula>
    </tableColumn>
    <tableColumn id="6" name="Cat Auto #" dataDxfId="1">
      <calculatedColumnFormula>COUNTIFS(automations[alias],"&lt;="&amp;automations[[#This Row],[alias]],automations[Short Cat],automations[[#This Row],[Short Cat]])</calculatedColumnFormula>
    </tableColumn>
    <tableColumn id="9" name="Auto Index" dataDxfId="0">
      <calculatedColumnFormula>automations[[#This Row],[Cat '#]]&amp;"-"&amp;automations[[#This Row],[Cat Auto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192.168.0.132:8123/dev-state" TargetMode="External"/><Relationship Id="rId117" Type="http://schemas.openxmlformats.org/officeDocument/2006/relationships/hyperlink" Target="http://192.168.0.132:8123/dev-state" TargetMode="External"/><Relationship Id="rId21" Type="http://schemas.openxmlformats.org/officeDocument/2006/relationships/hyperlink" Target="http://192.168.0.132:8123/dev-state" TargetMode="External"/><Relationship Id="rId42" Type="http://schemas.openxmlformats.org/officeDocument/2006/relationships/hyperlink" Target="http://192.168.0.132:8123/dev-state" TargetMode="External"/><Relationship Id="rId47" Type="http://schemas.openxmlformats.org/officeDocument/2006/relationships/hyperlink" Target="http://192.168.0.132:8123/dev-state" TargetMode="External"/><Relationship Id="rId63" Type="http://schemas.openxmlformats.org/officeDocument/2006/relationships/hyperlink" Target="http://192.168.0.132:8123/dev-state" TargetMode="External"/><Relationship Id="rId68" Type="http://schemas.openxmlformats.org/officeDocument/2006/relationships/hyperlink" Target="http://192.168.0.132:8123/dev-state" TargetMode="External"/><Relationship Id="rId84" Type="http://schemas.openxmlformats.org/officeDocument/2006/relationships/hyperlink" Target="http://192.168.0.132:8123/dev-state" TargetMode="External"/><Relationship Id="rId89" Type="http://schemas.openxmlformats.org/officeDocument/2006/relationships/hyperlink" Target="http://192.168.0.132:8123/dev-state" TargetMode="External"/><Relationship Id="rId112" Type="http://schemas.openxmlformats.org/officeDocument/2006/relationships/hyperlink" Target="http://192.168.0.132:8123/dev-state" TargetMode="External"/><Relationship Id="rId133" Type="http://schemas.openxmlformats.org/officeDocument/2006/relationships/hyperlink" Target="http://192.168.0.132:8123/dev-state" TargetMode="External"/><Relationship Id="rId138" Type="http://schemas.openxmlformats.org/officeDocument/2006/relationships/hyperlink" Target="http://192.168.0.132:8123/dev-state" TargetMode="External"/><Relationship Id="rId154" Type="http://schemas.openxmlformats.org/officeDocument/2006/relationships/hyperlink" Target="http://192.168.0.132:8123/dev-state" TargetMode="External"/><Relationship Id="rId159" Type="http://schemas.openxmlformats.org/officeDocument/2006/relationships/hyperlink" Target="http://192.168.0.132:8123/dev-state" TargetMode="External"/><Relationship Id="rId16" Type="http://schemas.openxmlformats.org/officeDocument/2006/relationships/hyperlink" Target="http://192.168.0.132:8123/dev-state" TargetMode="External"/><Relationship Id="rId107" Type="http://schemas.openxmlformats.org/officeDocument/2006/relationships/hyperlink" Target="http://192.168.0.132:8123/dev-state" TargetMode="External"/><Relationship Id="rId11" Type="http://schemas.openxmlformats.org/officeDocument/2006/relationships/hyperlink" Target="http://192.168.0.132:8123/dev-state" TargetMode="External"/><Relationship Id="rId32" Type="http://schemas.openxmlformats.org/officeDocument/2006/relationships/hyperlink" Target="http://192.168.0.132:8123/dev-state" TargetMode="External"/><Relationship Id="rId37" Type="http://schemas.openxmlformats.org/officeDocument/2006/relationships/hyperlink" Target="http://192.168.0.132:8123/dev-state" TargetMode="External"/><Relationship Id="rId53" Type="http://schemas.openxmlformats.org/officeDocument/2006/relationships/hyperlink" Target="http://192.168.0.132:8123/dev-state" TargetMode="External"/><Relationship Id="rId58" Type="http://schemas.openxmlformats.org/officeDocument/2006/relationships/hyperlink" Target="http://192.168.0.132:8123/dev-state" TargetMode="External"/><Relationship Id="rId74" Type="http://schemas.openxmlformats.org/officeDocument/2006/relationships/hyperlink" Target="http://192.168.0.132:8123/dev-state" TargetMode="External"/><Relationship Id="rId79" Type="http://schemas.openxmlformats.org/officeDocument/2006/relationships/hyperlink" Target="http://192.168.0.132:8123/dev-state" TargetMode="External"/><Relationship Id="rId102" Type="http://schemas.openxmlformats.org/officeDocument/2006/relationships/hyperlink" Target="http://192.168.0.132:8123/dev-state" TargetMode="External"/><Relationship Id="rId123" Type="http://schemas.openxmlformats.org/officeDocument/2006/relationships/hyperlink" Target="http://192.168.0.132:8123/dev-state" TargetMode="External"/><Relationship Id="rId128" Type="http://schemas.openxmlformats.org/officeDocument/2006/relationships/hyperlink" Target="http://192.168.0.132:8123/dev-state" TargetMode="External"/><Relationship Id="rId144" Type="http://schemas.openxmlformats.org/officeDocument/2006/relationships/hyperlink" Target="http://192.168.0.132:8123/dev-state" TargetMode="External"/><Relationship Id="rId149" Type="http://schemas.openxmlformats.org/officeDocument/2006/relationships/hyperlink" Target="http://192.168.0.132:8123/dev-state" TargetMode="External"/><Relationship Id="rId5" Type="http://schemas.openxmlformats.org/officeDocument/2006/relationships/hyperlink" Target="http://192.168.0.132:8123/dev-state" TargetMode="External"/><Relationship Id="rId90" Type="http://schemas.openxmlformats.org/officeDocument/2006/relationships/hyperlink" Target="http://192.168.0.132:8123/dev-state" TargetMode="External"/><Relationship Id="rId95" Type="http://schemas.openxmlformats.org/officeDocument/2006/relationships/hyperlink" Target="http://192.168.0.132:8123/dev-state" TargetMode="External"/><Relationship Id="rId160" Type="http://schemas.openxmlformats.org/officeDocument/2006/relationships/hyperlink" Target="http://192.168.0.132:8123/dev-state" TargetMode="External"/><Relationship Id="rId22" Type="http://schemas.openxmlformats.org/officeDocument/2006/relationships/hyperlink" Target="http://192.168.0.132:8123/dev-state" TargetMode="External"/><Relationship Id="rId27" Type="http://schemas.openxmlformats.org/officeDocument/2006/relationships/hyperlink" Target="http://192.168.0.132:8123/dev-state" TargetMode="External"/><Relationship Id="rId43" Type="http://schemas.openxmlformats.org/officeDocument/2006/relationships/hyperlink" Target="http://192.168.0.132:8123/dev-state" TargetMode="External"/><Relationship Id="rId48" Type="http://schemas.openxmlformats.org/officeDocument/2006/relationships/hyperlink" Target="http://192.168.0.132:8123/dev-state" TargetMode="External"/><Relationship Id="rId64" Type="http://schemas.openxmlformats.org/officeDocument/2006/relationships/hyperlink" Target="http://192.168.0.132:8123/dev-state" TargetMode="External"/><Relationship Id="rId69" Type="http://schemas.openxmlformats.org/officeDocument/2006/relationships/hyperlink" Target="http://192.168.0.132:8123/dev-state" TargetMode="External"/><Relationship Id="rId113" Type="http://schemas.openxmlformats.org/officeDocument/2006/relationships/hyperlink" Target="http://192.168.0.132:8123/dev-state" TargetMode="External"/><Relationship Id="rId118" Type="http://schemas.openxmlformats.org/officeDocument/2006/relationships/hyperlink" Target="http://192.168.0.132:8123/dev-state" TargetMode="External"/><Relationship Id="rId134" Type="http://schemas.openxmlformats.org/officeDocument/2006/relationships/hyperlink" Target="http://192.168.0.132:8123/dev-state" TargetMode="External"/><Relationship Id="rId139" Type="http://schemas.openxmlformats.org/officeDocument/2006/relationships/hyperlink" Target="http://192.168.0.132:8123/dev-state" TargetMode="External"/><Relationship Id="rId80" Type="http://schemas.openxmlformats.org/officeDocument/2006/relationships/hyperlink" Target="http://192.168.0.132:8123/dev-state" TargetMode="External"/><Relationship Id="rId85" Type="http://schemas.openxmlformats.org/officeDocument/2006/relationships/hyperlink" Target="http://192.168.0.132:8123/dev-state" TargetMode="External"/><Relationship Id="rId150" Type="http://schemas.openxmlformats.org/officeDocument/2006/relationships/hyperlink" Target="http://192.168.0.132:8123/dev-state" TargetMode="External"/><Relationship Id="rId155" Type="http://schemas.openxmlformats.org/officeDocument/2006/relationships/hyperlink" Target="http://192.168.0.132:8123/dev-state" TargetMode="External"/><Relationship Id="rId12" Type="http://schemas.openxmlformats.org/officeDocument/2006/relationships/hyperlink" Target="http://192.168.0.132:8123/dev-state" TargetMode="External"/><Relationship Id="rId17" Type="http://schemas.openxmlformats.org/officeDocument/2006/relationships/hyperlink" Target="http://192.168.0.132:8123/dev-state" TargetMode="External"/><Relationship Id="rId33" Type="http://schemas.openxmlformats.org/officeDocument/2006/relationships/hyperlink" Target="http://192.168.0.132:8123/dev-state" TargetMode="External"/><Relationship Id="rId38" Type="http://schemas.openxmlformats.org/officeDocument/2006/relationships/hyperlink" Target="http://192.168.0.132:8123/dev-state" TargetMode="External"/><Relationship Id="rId59" Type="http://schemas.openxmlformats.org/officeDocument/2006/relationships/hyperlink" Target="http://192.168.0.132:8123/dev-state" TargetMode="External"/><Relationship Id="rId103" Type="http://schemas.openxmlformats.org/officeDocument/2006/relationships/hyperlink" Target="http://192.168.0.132:8123/dev-state" TargetMode="External"/><Relationship Id="rId108" Type="http://schemas.openxmlformats.org/officeDocument/2006/relationships/hyperlink" Target="http://192.168.0.132:8123/dev-state" TargetMode="External"/><Relationship Id="rId124" Type="http://schemas.openxmlformats.org/officeDocument/2006/relationships/hyperlink" Target="http://192.168.0.132:8123/dev-state" TargetMode="External"/><Relationship Id="rId129" Type="http://schemas.openxmlformats.org/officeDocument/2006/relationships/hyperlink" Target="http://192.168.0.132:8123/dev-state" TargetMode="External"/><Relationship Id="rId54" Type="http://schemas.openxmlformats.org/officeDocument/2006/relationships/hyperlink" Target="http://192.168.0.132:8123/dev-state" TargetMode="External"/><Relationship Id="rId70" Type="http://schemas.openxmlformats.org/officeDocument/2006/relationships/hyperlink" Target="http://192.168.0.132:8123/dev-state" TargetMode="External"/><Relationship Id="rId75" Type="http://schemas.openxmlformats.org/officeDocument/2006/relationships/hyperlink" Target="http://192.168.0.132:8123/dev-state" TargetMode="External"/><Relationship Id="rId91" Type="http://schemas.openxmlformats.org/officeDocument/2006/relationships/hyperlink" Target="http://192.168.0.132:8123/dev-state" TargetMode="External"/><Relationship Id="rId96" Type="http://schemas.openxmlformats.org/officeDocument/2006/relationships/hyperlink" Target="http://192.168.0.132:8123/dev-state" TargetMode="External"/><Relationship Id="rId140" Type="http://schemas.openxmlformats.org/officeDocument/2006/relationships/hyperlink" Target="http://192.168.0.132:8123/dev-state" TargetMode="External"/><Relationship Id="rId145" Type="http://schemas.openxmlformats.org/officeDocument/2006/relationships/hyperlink" Target="http://192.168.0.132:8123/dev-state" TargetMode="External"/><Relationship Id="rId161" Type="http://schemas.openxmlformats.org/officeDocument/2006/relationships/hyperlink" Target="http://192.168.0.132:8123/dev-state" TargetMode="External"/><Relationship Id="rId1" Type="http://schemas.openxmlformats.org/officeDocument/2006/relationships/hyperlink" Target="http://192.168.0.132:8123/dev-state" TargetMode="External"/><Relationship Id="rId6" Type="http://schemas.openxmlformats.org/officeDocument/2006/relationships/hyperlink" Target="http://192.168.0.132:8123/dev-state" TargetMode="External"/><Relationship Id="rId15" Type="http://schemas.openxmlformats.org/officeDocument/2006/relationships/hyperlink" Target="http://192.168.0.132:8123/dev-state" TargetMode="External"/><Relationship Id="rId23" Type="http://schemas.openxmlformats.org/officeDocument/2006/relationships/hyperlink" Target="http://192.168.0.132:8123/dev-state" TargetMode="External"/><Relationship Id="rId28" Type="http://schemas.openxmlformats.org/officeDocument/2006/relationships/hyperlink" Target="http://192.168.0.132:8123/dev-state" TargetMode="External"/><Relationship Id="rId36" Type="http://schemas.openxmlformats.org/officeDocument/2006/relationships/hyperlink" Target="http://192.168.0.132:8123/dev-state" TargetMode="External"/><Relationship Id="rId49" Type="http://schemas.openxmlformats.org/officeDocument/2006/relationships/hyperlink" Target="http://192.168.0.132:8123/dev-state" TargetMode="External"/><Relationship Id="rId57" Type="http://schemas.openxmlformats.org/officeDocument/2006/relationships/hyperlink" Target="http://192.168.0.132:8123/dev-state" TargetMode="External"/><Relationship Id="rId106" Type="http://schemas.openxmlformats.org/officeDocument/2006/relationships/hyperlink" Target="http://192.168.0.132:8123/dev-state" TargetMode="External"/><Relationship Id="rId114" Type="http://schemas.openxmlformats.org/officeDocument/2006/relationships/hyperlink" Target="http://192.168.0.132:8123/dev-state" TargetMode="External"/><Relationship Id="rId119" Type="http://schemas.openxmlformats.org/officeDocument/2006/relationships/hyperlink" Target="http://192.168.0.132:8123/dev-state" TargetMode="External"/><Relationship Id="rId127" Type="http://schemas.openxmlformats.org/officeDocument/2006/relationships/hyperlink" Target="http://192.168.0.132:8123/dev-state" TargetMode="External"/><Relationship Id="rId10" Type="http://schemas.openxmlformats.org/officeDocument/2006/relationships/hyperlink" Target="http://192.168.0.132:8123/dev-state" TargetMode="External"/><Relationship Id="rId31" Type="http://schemas.openxmlformats.org/officeDocument/2006/relationships/hyperlink" Target="http://192.168.0.132:8123/dev-state" TargetMode="External"/><Relationship Id="rId44" Type="http://schemas.openxmlformats.org/officeDocument/2006/relationships/hyperlink" Target="http://192.168.0.132:8123/dev-state" TargetMode="External"/><Relationship Id="rId52" Type="http://schemas.openxmlformats.org/officeDocument/2006/relationships/hyperlink" Target="http://192.168.0.132:8123/dev-state" TargetMode="External"/><Relationship Id="rId60" Type="http://schemas.openxmlformats.org/officeDocument/2006/relationships/hyperlink" Target="http://192.168.0.132:8123/dev-state" TargetMode="External"/><Relationship Id="rId65" Type="http://schemas.openxmlformats.org/officeDocument/2006/relationships/hyperlink" Target="http://192.168.0.132:8123/dev-state" TargetMode="External"/><Relationship Id="rId73" Type="http://schemas.openxmlformats.org/officeDocument/2006/relationships/hyperlink" Target="http://192.168.0.132:8123/dev-state" TargetMode="External"/><Relationship Id="rId78" Type="http://schemas.openxmlformats.org/officeDocument/2006/relationships/hyperlink" Target="http://192.168.0.132:8123/dev-state" TargetMode="External"/><Relationship Id="rId81" Type="http://schemas.openxmlformats.org/officeDocument/2006/relationships/hyperlink" Target="http://192.168.0.132:8123/dev-state" TargetMode="External"/><Relationship Id="rId86" Type="http://schemas.openxmlformats.org/officeDocument/2006/relationships/hyperlink" Target="http://192.168.0.132:8123/dev-state" TargetMode="External"/><Relationship Id="rId94" Type="http://schemas.openxmlformats.org/officeDocument/2006/relationships/hyperlink" Target="http://192.168.0.132:8123/dev-state" TargetMode="External"/><Relationship Id="rId99" Type="http://schemas.openxmlformats.org/officeDocument/2006/relationships/hyperlink" Target="http://192.168.0.132:8123/dev-state" TargetMode="External"/><Relationship Id="rId101" Type="http://schemas.openxmlformats.org/officeDocument/2006/relationships/hyperlink" Target="http://192.168.0.132:8123/dev-state" TargetMode="External"/><Relationship Id="rId122" Type="http://schemas.openxmlformats.org/officeDocument/2006/relationships/hyperlink" Target="http://192.168.0.132:8123/dev-state" TargetMode="External"/><Relationship Id="rId130" Type="http://schemas.openxmlformats.org/officeDocument/2006/relationships/hyperlink" Target="http://192.168.0.132:8123/dev-state" TargetMode="External"/><Relationship Id="rId135" Type="http://schemas.openxmlformats.org/officeDocument/2006/relationships/hyperlink" Target="http://192.168.0.132:8123/dev-state" TargetMode="External"/><Relationship Id="rId143" Type="http://schemas.openxmlformats.org/officeDocument/2006/relationships/hyperlink" Target="http://192.168.0.132:8123/dev-state" TargetMode="External"/><Relationship Id="rId148" Type="http://schemas.openxmlformats.org/officeDocument/2006/relationships/hyperlink" Target="http://192.168.0.132:8123/dev-state" TargetMode="External"/><Relationship Id="rId151" Type="http://schemas.openxmlformats.org/officeDocument/2006/relationships/hyperlink" Target="http://192.168.0.132:8123/dev-state" TargetMode="External"/><Relationship Id="rId156" Type="http://schemas.openxmlformats.org/officeDocument/2006/relationships/hyperlink" Target="http://192.168.0.132:8123/dev-state" TargetMode="External"/><Relationship Id="rId164" Type="http://schemas.openxmlformats.org/officeDocument/2006/relationships/table" Target="../tables/table1.xml"/><Relationship Id="rId4" Type="http://schemas.openxmlformats.org/officeDocument/2006/relationships/hyperlink" Target="http://192.168.0.132:8123/dev-state" TargetMode="External"/><Relationship Id="rId9" Type="http://schemas.openxmlformats.org/officeDocument/2006/relationships/hyperlink" Target="http://192.168.0.132:8123/dev-state" TargetMode="External"/><Relationship Id="rId13" Type="http://schemas.openxmlformats.org/officeDocument/2006/relationships/hyperlink" Target="http://192.168.0.132:8123/dev-state" TargetMode="External"/><Relationship Id="rId18" Type="http://schemas.openxmlformats.org/officeDocument/2006/relationships/hyperlink" Target="http://192.168.0.132:8123/dev-state" TargetMode="External"/><Relationship Id="rId39" Type="http://schemas.openxmlformats.org/officeDocument/2006/relationships/hyperlink" Target="http://192.168.0.132:8123/dev-state" TargetMode="External"/><Relationship Id="rId109" Type="http://schemas.openxmlformats.org/officeDocument/2006/relationships/hyperlink" Target="http://192.168.0.132:8123/dev-state" TargetMode="External"/><Relationship Id="rId34" Type="http://schemas.openxmlformats.org/officeDocument/2006/relationships/hyperlink" Target="http://192.168.0.132:8123/dev-state" TargetMode="External"/><Relationship Id="rId50" Type="http://schemas.openxmlformats.org/officeDocument/2006/relationships/hyperlink" Target="http://192.168.0.132:8123/dev-state" TargetMode="External"/><Relationship Id="rId55" Type="http://schemas.openxmlformats.org/officeDocument/2006/relationships/hyperlink" Target="http://192.168.0.132:8123/dev-state" TargetMode="External"/><Relationship Id="rId76" Type="http://schemas.openxmlformats.org/officeDocument/2006/relationships/hyperlink" Target="http://192.168.0.132:8123/dev-state" TargetMode="External"/><Relationship Id="rId97" Type="http://schemas.openxmlformats.org/officeDocument/2006/relationships/hyperlink" Target="http://192.168.0.132:8123/dev-state" TargetMode="External"/><Relationship Id="rId104" Type="http://schemas.openxmlformats.org/officeDocument/2006/relationships/hyperlink" Target="http://192.168.0.132:8123/dev-state" TargetMode="External"/><Relationship Id="rId120" Type="http://schemas.openxmlformats.org/officeDocument/2006/relationships/hyperlink" Target="http://192.168.0.132:8123/dev-state" TargetMode="External"/><Relationship Id="rId125" Type="http://schemas.openxmlformats.org/officeDocument/2006/relationships/hyperlink" Target="http://192.168.0.132:8123/dev-state" TargetMode="External"/><Relationship Id="rId141" Type="http://schemas.openxmlformats.org/officeDocument/2006/relationships/hyperlink" Target="http://192.168.0.132:8123/dev-state" TargetMode="External"/><Relationship Id="rId146" Type="http://schemas.openxmlformats.org/officeDocument/2006/relationships/hyperlink" Target="http://192.168.0.132:8123/dev-state" TargetMode="External"/><Relationship Id="rId7" Type="http://schemas.openxmlformats.org/officeDocument/2006/relationships/hyperlink" Target="http://192.168.0.132:8123/dev-state" TargetMode="External"/><Relationship Id="rId71" Type="http://schemas.openxmlformats.org/officeDocument/2006/relationships/hyperlink" Target="http://192.168.0.132:8123/dev-state" TargetMode="External"/><Relationship Id="rId92" Type="http://schemas.openxmlformats.org/officeDocument/2006/relationships/hyperlink" Target="http://192.168.0.132:8123/dev-state" TargetMode="External"/><Relationship Id="rId162" Type="http://schemas.openxmlformats.org/officeDocument/2006/relationships/hyperlink" Target="http://192.168.0.132:8123/dev-state" TargetMode="External"/><Relationship Id="rId2" Type="http://schemas.openxmlformats.org/officeDocument/2006/relationships/hyperlink" Target="http://192.168.0.132:8123/dev-state" TargetMode="External"/><Relationship Id="rId29" Type="http://schemas.openxmlformats.org/officeDocument/2006/relationships/hyperlink" Target="http://192.168.0.132:8123/dev-state" TargetMode="External"/><Relationship Id="rId24" Type="http://schemas.openxmlformats.org/officeDocument/2006/relationships/hyperlink" Target="http://192.168.0.132:8123/dev-state" TargetMode="External"/><Relationship Id="rId40" Type="http://schemas.openxmlformats.org/officeDocument/2006/relationships/hyperlink" Target="http://192.168.0.132:8123/dev-state" TargetMode="External"/><Relationship Id="rId45" Type="http://schemas.openxmlformats.org/officeDocument/2006/relationships/hyperlink" Target="http://192.168.0.132:8123/dev-state" TargetMode="External"/><Relationship Id="rId66" Type="http://schemas.openxmlformats.org/officeDocument/2006/relationships/hyperlink" Target="http://192.168.0.132:8123/dev-state" TargetMode="External"/><Relationship Id="rId87" Type="http://schemas.openxmlformats.org/officeDocument/2006/relationships/hyperlink" Target="http://192.168.0.132:8123/dev-state" TargetMode="External"/><Relationship Id="rId110" Type="http://schemas.openxmlformats.org/officeDocument/2006/relationships/hyperlink" Target="http://192.168.0.132:8123/dev-state" TargetMode="External"/><Relationship Id="rId115" Type="http://schemas.openxmlformats.org/officeDocument/2006/relationships/hyperlink" Target="http://192.168.0.132:8123/dev-state" TargetMode="External"/><Relationship Id="rId131" Type="http://schemas.openxmlformats.org/officeDocument/2006/relationships/hyperlink" Target="http://192.168.0.132:8123/dev-state" TargetMode="External"/><Relationship Id="rId136" Type="http://schemas.openxmlformats.org/officeDocument/2006/relationships/hyperlink" Target="http://192.168.0.132:8123/dev-state" TargetMode="External"/><Relationship Id="rId157" Type="http://schemas.openxmlformats.org/officeDocument/2006/relationships/hyperlink" Target="http://192.168.0.132:8123/dev-state" TargetMode="External"/><Relationship Id="rId61" Type="http://schemas.openxmlformats.org/officeDocument/2006/relationships/hyperlink" Target="http://192.168.0.132:8123/dev-state" TargetMode="External"/><Relationship Id="rId82" Type="http://schemas.openxmlformats.org/officeDocument/2006/relationships/hyperlink" Target="http://192.168.0.132:8123/dev-state" TargetMode="External"/><Relationship Id="rId152" Type="http://schemas.openxmlformats.org/officeDocument/2006/relationships/hyperlink" Target="http://192.168.0.132:8123/dev-state" TargetMode="External"/><Relationship Id="rId19" Type="http://schemas.openxmlformats.org/officeDocument/2006/relationships/hyperlink" Target="http://192.168.0.132:8123/dev-state" TargetMode="External"/><Relationship Id="rId14" Type="http://schemas.openxmlformats.org/officeDocument/2006/relationships/hyperlink" Target="http://192.168.0.132:8123/dev-state" TargetMode="External"/><Relationship Id="rId30" Type="http://schemas.openxmlformats.org/officeDocument/2006/relationships/hyperlink" Target="http://192.168.0.132:8123/dev-state" TargetMode="External"/><Relationship Id="rId35" Type="http://schemas.openxmlformats.org/officeDocument/2006/relationships/hyperlink" Target="http://192.168.0.132:8123/dev-state" TargetMode="External"/><Relationship Id="rId56" Type="http://schemas.openxmlformats.org/officeDocument/2006/relationships/hyperlink" Target="http://192.168.0.132:8123/dev-state" TargetMode="External"/><Relationship Id="rId77" Type="http://schemas.openxmlformats.org/officeDocument/2006/relationships/hyperlink" Target="http://192.168.0.132:8123/dev-state" TargetMode="External"/><Relationship Id="rId100" Type="http://schemas.openxmlformats.org/officeDocument/2006/relationships/hyperlink" Target="http://192.168.0.132:8123/dev-state" TargetMode="External"/><Relationship Id="rId105" Type="http://schemas.openxmlformats.org/officeDocument/2006/relationships/hyperlink" Target="http://192.168.0.132:8123/dev-state" TargetMode="External"/><Relationship Id="rId126" Type="http://schemas.openxmlformats.org/officeDocument/2006/relationships/hyperlink" Target="http://192.168.0.132:8123/dev-state" TargetMode="External"/><Relationship Id="rId147" Type="http://schemas.openxmlformats.org/officeDocument/2006/relationships/hyperlink" Target="http://192.168.0.132:8123/dev-state" TargetMode="External"/><Relationship Id="rId8" Type="http://schemas.openxmlformats.org/officeDocument/2006/relationships/hyperlink" Target="http://192.168.0.132:8123/dev-state" TargetMode="External"/><Relationship Id="rId51" Type="http://schemas.openxmlformats.org/officeDocument/2006/relationships/hyperlink" Target="http://192.168.0.132:8123/dev-state" TargetMode="External"/><Relationship Id="rId72" Type="http://schemas.openxmlformats.org/officeDocument/2006/relationships/hyperlink" Target="http://192.168.0.132:8123/dev-state" TargetMode="External"/><Relationship Id="rId93" Type="http://schemas.openxmlformats.org/officeDocument/2006/relationships/hyperlink" Target="http://192.168.0.132:8123/dev-state" TargetMode="External"/><Relationship Id="rId98" Type="http://schemas.openxmlformats.org/officeDocument/2006/relationships/hyperlink" Target="http://192.168.0.132:8123/dev-state" TargetMode="External"/><Relationship Id="rId121" Type="http://schemas.openxmlformats.org/officeDocument/2006/relationships/hyperlink" Target="http://192.168.0.132:8123/dev-state" TargetMode="External"/><Relationship Id="rId142" Type="http://schemas.openxmlformats.org/officeDocument/2006/relationships/hyperlink" Target="http://192.168.0.132:8123/dev-state" TargetMode="External"/><Relationship Id="rId163" Type="http://schemas.openxmlformats.org/officeDocument/2006/relationships/printerSettings" Target="../printerSettings/printerSettings1.bin"/><Relationship Id="rId3" Type="http://schemas.openxmlformats.org/officeDocument/2006/relationships/hyperlink" Target="http://192.168.0.132:8123/dev-state" TargetMode="External"/><Relationship Id="rId25" Type="http://schemas.openxmlformats.org/officeDocument/2006/relationships/hyperlink" Target="http://192.168.0.132:8123/dev-state" TargetMode="External"/><Relationship Id="rId46" Type="http://schemas.openxmlformats.org/officeDocument/2006/relationships/hyperlink" Target="http://192.168.0.132:8123/dev-state" TargetMode="External"/><Relationship Id="rId67" Type="http://schemas.openxmlformats.org/officeDocument/2006/relationships/hyperlink" Target="http://192.168.0.132:8123/dev-state" TargetMode="External"/><Relationship Id="rId116" Type="http://schemas.openxmlformats.org/officeDocument/2006/relationships/hyperlink" Target="http://192.168.0.132:8123/dev-state" TargetMode="External"/><Relationship Id="rId137" Type="http://schemas.openxmlformats.org/officeDocument/2006/relationships/hyperlink" Target="http://192.168.0.132:8123/dev-state" TargetMode="External"/><Relationship Id="rId158" Type="http://schemas.openxmlformats.org/officeDocument/2006/relationships/hyperlink" Target="http://192.168.0.132:8123/dev-state" TargetMode="External"/><Relationship Id="rId20" Type="http://schemas.openxmlformats.org/officeDocument/2006/relationships/hyperlink" Target="http://192.168.0.132:8123/dev-state" TargetMode="External"/><Relationship Id="rId41" Type="http://schemas.openxmlformats.org/officeDocument/2006/relationships/hyperlink" Target="http://192.168.0.132:8123/dev-state" TargetMode="External"/><Relationship Id="rId62" Type="http://schemas.openxmlformats.org/officeDocument/2006/relationships/hyperlink" Target="http://192.168.0.132:8123/dev-state" TargetMode="External"/><Relationship Id="rId83" Type="http://schemas.openxmlformats.org/officeDocument/2006/relationships/hyperlink" Target="http://192.168.0.132:8123/dev-state" TargetMode="External"/><Relationship Id="rId88" Type="http://schemas.openxmlformats.org/officeDocument/2006/relationships/hyperlink" Target="http://192.168.0.132:8123/dev-state" TargetMode="External"/><Relationship Id="rId111" Type="http://schemas.openxmlformats.org/officeDocument/2006/relationships/hyperlink" Target="http://192.168.0.132:8123/dev-state" TargetMode="External"/><Relationship Id="rId132" Type="http://schemas.openxmlformats.org/officeDocument/2006/relationships/hyperlink" Target="http://192.168.0.132:8123/dev-state" TargetMode="External"/><Relationship Id="rId153" Type="http://schemas.openxmlformats.org/officeDocument/2006/relationships/hyperlink" Target="http://192.168.0.132:8123/dev-state"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172"/>
  <sheetViews>
    <sheetView showGridLines="0" tabSelected="1" topLeftCell="A147" workbookViewId="0">
      <selection activeCell="D147" sqref="D147"/>
    </sheetView>
  </sheetViews>
  <sheetFormatPr defaultRowHeight="14.25" outlineLevelCol="1" x14ac:dyDescent="0.45"/>
  <cols>
    <col min="1" max="1" width="2.3984375" customWidth="1"/>
    <col min="2" max="2" width="66.265625" bestFit="1" customWidth="1"/>
    <col min="4" max="4" width="12.1328125" customWidth="1"/>
    <col min="5" max="7" width="9.1328125" hidden="1" customWidth="1" outlineLevel="1"/>
    <col min="8" max="8" width="9.1328125" customWidth="1" collapsed="1"/>
    <col min="9" max="9" width="14.1328125" bestFit="1" customWidth="1"/>
    <col min="10" max="10" width="56.3984375" bestFit="1" customWidth="1"/>
    <col min="11" max="11" width="14.1328125" bestFit="1" customWidth="1"/>
    <col min="12" max="12" width="45.59765625" customWidth="1"/>
    <col min="14" max="14" width="14.1328125" customWidth="1"/>
  </cols>
  <sheetData>
    <row r="1" spans="1:10" ht="21" x14ac:dyDescent="0.65">
      <c r="A1" s="1" t="s">
        <v>883</v>
      </c>
    </row>
    <row r="3" spans="1:10" x14ac:dyDescent="0.45">
      <c r="A3" s="19" t="s">
        <v>881</v>
      </c>
    </row>
    <row r="4" spans="1:10" x14ac:dyDescent="0.45">
      <c r="A4" s="19" t="s">
        <v>910</v>
      </c>
    </row>
    <row r="5" spans="1:10" x14ac:dyDescent="0.45">
      <c r="A5" s="19" t="s">
        <v>885</v>
      </c>
    </row>
    <row r="7" spans="1:10" x14ac:dyDescent="0.45">
      <c r="A7" s="19" t="s">
        <v>882</v>
      </c>
    </row>
    <row r="9" spans="1:10" x14ac:dyDescent="0.45">
      <c r="B9" s="30" t="s">
        <v>886</v>
      </c>
      <c r="C9" s="30"/>
      <c r="D9" s="30"/>
      <c r="E9" s="30"/>
      <c r="F9" s="30"/>
      <c r="G9" s="30"/>
      <c r="H9" s="30" t="s">
        <v>696</v>
      </c>
      <c r="I9" s="30" t="s">
        <v>887</v>
      </c>
      <c r="J9" s="31"/>
    </row>
    <row r="10" spans="1:10" x14ac:dyDescent="0.45">
      <c r="B10" t="s">
        <v>798</v>
      </c>
      <c r="C10" t="s">
        <v>799</v>
      </c>
      <c r="D10" t="s">
        <v>800</v>
      </c>
      <c r="E10" s="13" t="s">
        <v>297</v>
      </c>
      <c r="F10" s="13" t="s">
        <v>348</v>
      </c>
      <c r="G10" s="13" t="s">
        <v>337</v>
      </c>
      <c r="H10" s="13" t="s">
        <v>381</v>
      </c>
      <c r="I10" s="29" t="s">
        <v>207</v>
      </c>
      <c r="J10" s="29" t="s">
        <v>208</v>
      </c>
    </row>
    <row r="11" spans="1:10" x14ac:dyDescent="0.45">
      <c r="B11" t="s">
        <v>70</v>
      </c>
      <c r="C11" t="s">
        <v>7</v>
      </c>
      <c r="D11" t="s">
        <v>849</v>
      </c>
      <c r="E11" t="str">
        <f>IFERROR(FIND("mdi:",Table4[[#This Row],[Attributes]]),"")</f>
        <v/>
      </c>
      <c r="F11" t="str">
        <f>IF(Table4[[#This Row],[loc of mdi]]="","",IFERROR(FIND(" ",Table4[[#This Row],[Attributes]],Table4[[#This Row],[loc of mdi]]+3),LEN(Table4[[#This Row],[Attributes]])+1))</f>
        <v/>
      </c>
      <c r="G11" t="str">
        <f>IFERROR(MID(Table4[[#This Row],[Attributes]],Table4[[#This Row],[loc of mdi]],Table4[[#This Row],[loc of space after mdi]]-Table4[[#This Row],[loc of mdi]]),"")</f>
        <v/>
      </c>
      <c r="H11" s="6" t="str">
        <f>IF(COUNTIFS(entities[entity_id],Table4[[#This Row],[Entity]])=1,"yes","missing from 'Entities' tab")</f>
        <v>yes</v>
      </c>
      <c r="I11" t="str">
        <f>LEFT(Table4[[#This Row],[Entity]],FIND(".",Table4[[#This Row],[Entity]])-1)</f>
        <v>automation</v>
      </c>
      <c r="J11" t="str">
        <f>MID(Table4[[#This Row],[Entity]],FIND(".",Table4[[#This Row],[Entity]])+1,999)</f>
        <v>almclk_wake_up_script_triggered_by_alarm_clock</v>
      </c>
    </row>
    <row r="12" spans="1:10" x14ac:dyDescent="0.45">
      <c r="B12" t="s">
        <v>71</v>
      </c>
      <c r="C12" t="s">
        <v>7</v>
      </c>
      <c r="D12" t="s">
        <v>850</v>
      </c>
      <c r="E12" t="str">
        <f>IFERROR(FIND("mdi:",Table4[[#This Row],[Attributes]]),"")</f>
        <v/>
      </c>
      <c r="F12" t="str">
        <f>IF(Table4[[#This Row],[loc of mdi]]="","",IFERROR(FIND(" ",Table4[[#This Row],[Attributes]],Table4[[#This Row],[loc of mdi]]+3),LEN(Table4[[#This Row],[Attributes]])+1))</f>
        <v/>
      </c>
      <c r="G12" t="str">
        <f>IFERROR(MID(Table4[[#This Row],[Attributes]],Table4[[#This Row],[loc of mdi]],Table4[[#This Row],[loc of space after mdi]]-Table4[[#This Row],[loc of mdi]]),"")</f>
        <v/>
      </c>
      <c r="H12" s="6" t="str">
        <f>IF(COUNTIFS(entities[entity_id],Table4[[#This Row],[Entity]])=1,"yes","missing from 'Entities' tab")</f>
        <v>yes</v>
      </c>
      <c r="I12" t="str">
        <f>LEFT(Table4[[#This Row],[Entity]],FIND(".",Table4[[#This Row],[Entity]])-1)</f>
        <v>automation</v>
      </c>
      <c r="J12" t="str">
        <f>MID(Table4[[#This Row],[Entity]],FIND(".",Table4[[#This Row],[Entity]])+1,999)</f>
        <v>locaway_devices_in_bedroom_off_when_at_the_computer</v>
      </c>
    </row>
    <row r="13" spans="1:10" x14ac:dyDescent="0.45">
      <c r="B13" t="s">
        <v>72</v>
      </c>
      <c r="C13" t="s">
        <v>7</v>
      </c>
      <c r="D13" t="s">
        <v>851</v>
      </c>
      <c r="E13" t="str">
        <f>IFERROR(FIND("mdi:",Table4[[#This Row],[Attributes]]),"")</f>
        <v/>
      </c>
      <c r="F13" t="str">
        <f>IF(Table4[[#This Row],[loc of mdi]]="","",IFERROR(FIND(" ",Table4[[#This Row],[Attributes]],Table4[[#This Row],[loc of mdi]]+3),LEN(Table4[[#This Row],[Attributes]])+1))</f>
        <v/>
      </c>
      <c r="G13" t="str">
        <f>IFERROR(MID(Table4[[#This Row],[Attributes]],Table4[[#This Row],[loc of mdi]],Table4[[#This Row],[loc of space after mdi]]-Table4[[#This Row],[loc of mdi]]),"")</f>
        <v/>
      </c>
      <c r="H13" s="6" t="str">
        <f>IF(COUNTIFS(entities[entity_id],Table4[[#This Row],[Entity]])=1,"yes","missing from 'Entities' tab")</f>
        <v>yes</v>
      </c>
      <c r="I13" t="str">
        <f>LEFT(Table4[[#This Row],[Entity]],FIND(".",Table4[[#This Row],[Entity]])-1)</f>
        <v>automation</v>
      </c>
      <c r="J13" t="str">
        <f>MID(Table4[[#This Row],[Entity]],FIND(".",Table4[[#This Row],[Entity]])+1,999)</f>
        <v>locaway_devices_off_when_away</v>
      </c>
    </row>
    <row r="14" spans="1:10" x14ac:dyDescent="0.45">
      <c r="B14" t="s">
        <v>73</v>
      </c>
      <c r="C14" t="s">
        <v>7</v>
      </c>
      <c r="D14" t="s">
        <v>852</v>
      </c>
      <c r="E14" t="str">
        <f>IFERROR(FIND("mdi:",Table4[[#This Row],[Attributes]]),"")</f>
        <v/>
      </c>
      <c r="F14" t="str">
        <f>IF(Table4[[#This Row],[loc of mdi]]="","",IFERROR(FIND(" ",Table4[[#This Row],[Attributes]],Table4[[#This Row],[loc of mdi]]+3),LEN(Table4[[#This Row],[Attributes]])+1))</f>
        <v/>
      </c>
      <c r="G14" t="str">
        <f>IFERROR(MID(Table4[[#This Row],[Attributes]],Table4[[#This Row],[loc of mdi]],Table4[[#This Row],[loc of space after mdi]]-Table4[[#This Row],[loc of mdi]]),"")</f>
        <v/>
      </c>
      <c r="H14" s="6" t="str">
        <f>IF(COUNTIFS(entities[entity_id],Table4[[#This Row],[Entity]])=1,"yes","missing from 'Entities' tab")</f>
        <v>yes</v>
      </c>
      <c r="I14" t="str">
        <f>LEFT(Table4[[#This Row],[Entity]],FIND(".",Table4[[#This Row],[Entity]])-1)</f>
        <v>automation</v>
      </c>
      <c r="J14" t="str">
        <f>MID(Table4[[#This Row],[Entity]],FIND(".",Table4[[#This Row],[Entity]])+1,999)</f>
        <v>locaway_devices_on_desk_off_when_leave_the_computer</v>
      </c>
    </row>
    <row r="15" spans="1:10" x14ac:dyDescent="0.45">
      <c r="B15" t="s">
        <v>846</v>
      </c>
      <c r="C15" t="s">
        <v>7</v>
      </c>
      <c r="D15" t="s">
        <v>853</v>
      </c>
      <c r="E15" t="str">
        <f>IFERROR(FIND("mdi:",Table4[[#This Row],[Attributes]]),"")</f>
        <v/>
      </c>
      <c r="F15" t="str">
        <f>IF(Table4[[#This Row],[loc of mdi]]="","",IFERROR(FIND(" ",Table4[[#This Row],[Attributes]],Table4[[#This Row],[loc of mdi]]+3),LEN(Table4[[#This Row],[Attributes]])+1))</f>
        <v/>
      </c>
      <c r="G15" t="str">
        <f>IFERROR(MID(Table4[[#This Row],[Attributes]],Table4[[#This Row],[loc of mdi]],Table4[[#This Row],[loc of space after mdi]]-Table4[[#This Row],[loc of mdi]]),"")</f>
        <v/>
      </c>
      <c r="H15" s="6" t="str">
        <f>IF(COUNTIFS(entities[entity_id],Table4[[#This Row],[Entity]])=1,"yes","missing from 'Entities' tab")</f>
        <v>yes</v>
      </c>
      <c r="I15" t="str">
        <f>LEFT(Table4[[#This Row],[Entity]],FIND(".",Table4[[#This Row],[Entity]])-1)</f>
        <v>automation</v>
      </c>
      <c r="J15" t="str">
        <f>MID(Table4[[#This Row],[Entity]],FIND(".",Table4[[#This Row],[Entity]])+1,999)</f>
        <v>not_notification_when_humvee_left_on</v>
      </c>
    </row>
    <row r="16" spans="1:10" x14ac:dyDescent="0.45">
      <c r="B16" t="s">
        <v>74</v>
      </c>
      <c r="C16" t="s">
        <v>7</v>
      </c>
      <c r="D16" t="s">
        <v>854</v>
      </c>
      <c r="E16" t="str">
        <f>IFERROR(FIND("mdi:",Table4[[#This Row],[Attributes]]),"")</f>
        <v/>
      </c>
      <c r="F16" t="str">
        <f>IF(Table4[[#This Row],[loc of mdi]]="","",IFERROR(FIND(" ",Table4[[#This Row],[Attributes]],Table4[[#This Row],[loc of mdi]]+3),LEN(Table4[[#This Row],[Attributes]])+1))</f>
        <v/>
      </c>
      <c r="G16" t="str">
        <f>IFERROR(MID(Table4[[#This Row],[Attributes]],Table4[[#This Row],[loc of mdi]],Table4[[#This Row],[loc of space after mdi]]-Table4[[#This Row],[loc of mdi]]),"")</f>
        <v/>
      </c>
      <c r="H16" s="6" t="str">
        <f>IF(COUNTIFS(entities[entity_id],Table4[[#This Row],[Entity]])=1,"yes","missing from 'Entities' tab")</f>
        <v>yes</v>
      </c>
      <c r="I16" t="str">
        <f>LEFT(Table4[[#This Row],[Entity]],FIND(".",Table4[[#This Row],[Entity]])-1)</f>
        <v>automation</v>
      </c>
      <c r="J16" t="str">
        <f>MID(Table4[[#This Row],[Entity]],FIND(".",Table4[[#This Row],[Entity]])+1,999)</f>
        <v>not_notification_when_multisensor_battery_is_low</v>
      </c>
    </row>
    <row r="17" spans="2:10" x14ac:dyDescent="0.45">
      <c r="B17" t="s">
        <v>75</v>
      </c>
      <c r="C17" t="s">
        <v>7</v>
      </c>
      <c r="D17" t="s">
        <v>855</v>
      </c>
      <c r="E17" t="str">
        <f>IFERROR(FIND("mdi:",Table4[[#This Row],[Attributes]]),"")</f>
        <v/>
      </c>
      <c r="F17" t="str">
        <f>IF(Table4[[#This Row],[loc of mdi]]="","",IFERROR(FIND(" ",Table4[[#This Row],[Attributes]],Table4[[#This Row],[loc of mdi]]+3),LEN(Table4[[#This Row],[Attributes]])+1))</f>
        <v/>
      </c>
      <c r="G17" t="str">
        <f>IFERROR(MID(Table4[[#This Row],[Attributes]],Table4[[#This Row],[loc of mdi]],Table4[[#This Row],[loc of space after mdi]]-Table4[[#This Row],[loc of mdi]]),"")</f>
        <v/>
      </c>
      <c r="H17" s="6" t="str">
        <f>IF(COUNTIFS(entities[entity_id],Table4[[#This Row],[Entity]])=1,"yes","missing from 'Entities' tab")</f>
        <v>yes</v>
      </c>
      <c r="I17" t="str">
        <f>LEFT(Table4[[#This Row],[Entity]],FIND(".",Table4[[#This Row],[Entity]])-1)</f>
        <v>automation</v>
      </c>
      <c r="J17" t="str">
        <f>MID(Table4[[#This Row],[Entity]],FIND(".",Table4[[#This Row],[Entity]])+1,999)</f>
        <v>not_notification_when_tank_turns_off</v>
      </c>
    </row>
    <row r="18" spans="2:10" x14ac:dyDescent="0.45">
      <c r="B18" t="s">
        <v>847</v>
      </c>
      <c r="C18" t="s">
        <v>7</v>
      </c>
      <c r="D18" t="s">
        <v>879</v>
      </c>
      <c r="E18" t="str">
        <f>IFERROR(FIND("mdi:",Table4[[#This Row],[Attributes]]),"")</f>
        <v/>
      </c>
      <c r="F18" t="str">
        <f>IF(Table4[[#This Row],[loc of mdi]]="","",IFERROR(FIND(" ",Table4[[#This Row],[Attributes]],Table4[[#This Row],[loc of mdi]]+3),LEN(Table4[[#This Row],[Attributes]])+1))</f>
        <v/>
      </c>
      <c r="G18" t="str">
        <f>IFERROR(MID(Table4[[#This Row],[Attributes]],Table4[[#This Row],[loc of mdi]],Table4[[#This Row],[loc of space after mdi]]-Table4[[#This Row],[loc of mdi]]),"")</f>
        <v/>
      </c>
      <c r="H18" s="6" t="str">
        <f>IF(COUNTIFS(entities[entity_id],Table4[[#This Row],[Entity]])=1,"yes","missing from 'Entities' tab")</f>
        <v>yes</v>
      </c>
      <c r="I18" t="str">
        <f>LEFT(Table4[[#This Row],[Entity]],FIND(".",Table4[[#This Row],[Entity]])-1)</f>
        <v>automation</v>
      </c>
      <c r="J18" t="str">
        <f>MID(Table4[[#This Row],[Entity]],FIND(".",Table4[[#This Row],[Entity]])+1,999)</f>
        <v>not_speed_test_record</v>
      </c>
    </row>
    <row r="19" spans="2:10" x14ac:dyDescent="0.45">
      <c r="B19" t="s">
        <v>76</v>
      </c>
      <c r="C19" t="s">
        <v>7</v>
      </c>
      <c r="D19" t="s">
        <v>856</v>
      </c>
      <c r="E19" t="str">
        <f>IFERROR(FIND("mdi:",Table4[[#This Row],[Attributes]]),"")</f>
        <v/>
      </c>
      <c r="F19" t="str">
        <f>IF(Table4[[#This Row],[loc of mdi]]="","",IFERROR(FIND(" ",Table4[[#This Row],[Attributes]],Table4[[#This Row],[loc of mdi]]+3),LEN(Table4[[#This Row],[Attributes]])+1))</f>
        <v/>
      </c>
      <c r="G19" t="str">
        <f>IFERROR(MID(Table4[[#This Row],[Attributes]],Table4[[#This Row],[loc of mdi]],Table4[[#This Row],[loc of space after mdi]]-Table4[[#This Row],[loc of mdi]]),"")</f>
        <v/>
      </c>
      <c r="H19" s="6" t="str">
        <f>IF(COUNTIFS(entities[entity_id],Table4[[#This Row],[Entity]])=1,"yes","missing from 'Entities' tab")</f>
        <v>yes</v>
      </c>
      <c r="I19" t="str">
        <f>LEFT(Table4[[#This Row],[Entity]],FIND(".",Table4[[#This Row],[Entity]])-1)</f>
        <v>automation</v>
      </c>
      <c r="J19" t="str">
        <f>MID(Table4[[#This Row],[Entity]],FIND(".",Table4[[#This Row],[Entity]])+1,999)</f>
        <v>rmbd_fan_off_at_12_pm</v>
      </c>
    </row>
    <row r="20" spans="2:10" x14ac:dyDescent="0.45">
      <c r="B20" t="s">
        <v>77</v>
      </c>
      <c r="C20" t="s">
        <v>7</v>
      </c>
      <c r="D20" t="s">
        <v>857</v>
      </c>
      <c r="E20" t="str">
        <f>IFERROR(FIND("mdi:",Table4[[#This Row],[Attributes]]),"")</f>
        <v/>
      </c>
      <c r="F20" t="str">
        <f>IF(Table4[[#This Row],[loc of mdi]]="","",IFERROR(FIND(" ",Table4[[#This Row],[Attributes]],Table4[[#This Row],[loc of mdi]]+3),LEN(Table4[[#This Row],[Attributes]])+1))</f>
        <v/>
      </c>
      <c r="G20" t="str">
        <f>IFERROR(MID(Table4[[#This Row],[Attributes]],Table4[[#This Row],[loc of mdi]],Table4[[#This Row],[loc of space after mdi]]-Table4[[#This Row],[loc of mdi]]),"")</f>
        <v/>
      </c>
      <c r="H20" s="6" t="str">
        <f>IF(COUNTIFS(entities[entity_id],Table4[[#This Row],[Entity]])=1,"yes","missing from 'Entities' tab")</f>
        <v>yes</v>
      </c>
      <c r="I20" t="str">
        <f>LEFT(Table4[[#This Row],[Entity]],FIND(".",Table4[[#This Row],[Entity]])-1)</f>
        <v>automation</v>
      </c>
      <c r="J20" t="str">
        <f>MID(Table4[[#This Row],[Entity]],FIND(".",Table4[[#This Row],[Entity]])+1,999)</f>
        <v>rmbd_one_bulb_off_at_sunset</v>
      </c>
    </row>
    <row r="21" spans="2:10" x14ac:dyDescent="0.45">
      <c r="B21" t="s">
        <v>78</v>
      </c>
      <c r="C21" t="s">
        <v>7</v>
      </c>
      <c r="D21" t="s">
        <v>880</v>
      </c>
      <c r="E21" t="str">
        <f>IFERROR(FIND("mdi:",Table4[[#This Row],[Attributes]]),"")</f>
        <v/>
      </c>
      <c r="F21" t="str">
        <f>IF(Table4[[#This Row],[loc of mdi]]="","",IFERROR(FIND(" ",Table4[[#This Row],[Attributes]],Table4[[#This Row],[loc of mdi]]+3),LEN(Table4[[#This Row],[Attributes]])+1))</f>
        <v/>
      </c>
      <c r="G21" t="str">
        <f>IFERROR(MID(Table4[[#This Row],[Attributes]],Table4[[#This Row],[loc of mdi]],Table4[[#This Row],[loc of space after mdi]]-Table4[[#This Row],[loc of mdi]]),"")</f>
        <v/>
      </c>
      <c r="H21" s="6" t="str">
        <f>IF(COUNTIFS(entities[entity_id],Table4[[#This Row],[Entity]])=1,"yes","missing from 'Entities' tab")</f>
        <v>yes</v>
      </c>
      <c r="I21" t="str">
        <f>LEFT(Table4[[#This Row],[Entity]],FIND(".",Table4[[#This Row],[Entity]])-1)</f>
        <v>automation</v>
      </c>
      <c r="J21" t="str">
        <f>MID(Table4[[#This Row],[Entity]],FIND(".",Table4[[#This Row],[Entity]])+1,999)</f>
        <v>rmbd_one_bulb_on_with_switch_at_night</v>
      </c>
    </row>
    <row r="22" spans="2:10" x14ac:dyDescent="0.45">
      <c r="B22" t="s">
        <v>79</v>
      </c>
      <c r="C22" t="s">
        <v>7</v>
      </c>
      <c r="D22" t="s">
        <v>858</v>
      </c>
      <c r="E22" t="str">
        <f>IFERROR(FIND("mdi:",Table4[[#This Row],[Attributes]]),"")</f>
        <v/>
      </c>
      <c r="F22" t="str">
        <f>IF(Table4[[#This Row],[loc of mdi]]="","",IFERROR(FIND(" ",Table4[[#This Row],[Attributes]],Table4[[#This Row],[loc of mdi]]+3),LEN(Table4[[#This Row],[Attributes]])+1))</f>
        <v/>
      </c>
      <c r="G22" t="str">
        <f>IFERROR(MID(Table4[[#This Row],[Attributes]],Table4[[#This Row],[loc of mdi]],Table4[[#This Row],[loc of space after mdi]]-Table4[[#This Row],[loc of mdi]]),"")</f>
        <v/>
      </c>
      <c r="H22" s="6" t="str">
        <f>IF(COUNTIFS(entities[entity_id],Table4[[#This Row],[Entity]])=1,"yes","missing from 'Entities' tab")</f>
        <v>yes</v>
      </c>
      <c r="I22" t="str">
        <f>LEFT(Table4[[#This Row],[Entity]],FIND(".",Table4[[#This Row],[Entity]])-1)</f>
        <v>automation</v>
      </c>
      <c r="J22" t="str">
        <f>MID(Table4[[#This Row],[Entity]],FIND(".",Table4[[#This Row],[Entity]])+1,999)</f>
        <v>rmlv_amp_off_at_3_am</v>
      </c>
    </row>
    <row r="23" spans="2:10" x14ac:dyDescent="0.45">
      <c r="B23" t="s">
        <v>80</v>
      </c>
      <c r="C23" t="s">
        <v>7</v>
      </c>
      <c r="D23" t="s">
        <v>859</v>
      </c>
      <c r="E23" t="str">
        <f>IFERROR(FIND("mdi:",Table4[[#This Row],[Attributes]]),"")</f>
        <v/>
      </c>
      <c r="F23" t="str">
        <f>IF(Table4[[#This Row],[loc of mdi]]="","",IFERROR(FIND(" ",Table4[[#This Row],[Attributes]],Table4[[#This Row],[loc of mdi]]+3),LEN(Table4[[#This Row],[Attributes]])+1))</f>
        <v/>
      </c>
      <c r="G23" t="str">
        <f>IFERROR(MID(Table4[[#This Row],[Attributes]],Table4[[#This Row],[loc of mdi]],Table4[[#This Row],[loc of space after mdi]]-Table4[[#This Row],[loc of mdi]]),"")</f>
        <v/>
      </c>
      <c r="H23" s="6" t="str">
        <f>IF(COUNTIFS(entities[entity_id],Table4[[#This Row],[Entity]])=1,"yes","missing from 'Entities' tab")</f>
        <v>yes</v>
      </c>
      <c r="I23" t="str">
        <f>LEFT(Table4[[#This Row],[Entity]],FIND(".",Table4[[#This Row],[Entity]])-1)</f>
        <v>automation</v>
      </c>
      <c r="J23" t="str">
        <f>MID(Table4[[#This Row],[Entity]],FIND(".",Table4[[#This Row],[Entity]])+1,999)</f>
        <v>rmlv_amp_off_with_humvee</v>
      </c>
    </row>
    <row r="24" spans="2:10" x14ac:dyDescent="0.45">
      <c r="B24" t="s">
        <v>81</v>
      </c>
      <c r="C24" t="s">
        <v>7</v>
      </c>
      <c r="D24" t="s">
        <v>860</v>
      </c>
      <c r="E24" t="str">
        <f>IFERROR(FIND("mdi:",Table4[[#This Row],[Attributes]]),"")</f>
        <v/>
      </c>
      <c r="F24" t="str">
        <f>IF(Table4[[#This Row],[loc of mdi]]="","",IFERROR(FIND(" ",Table4[[#This Row],[Attributes]],Table4[[#This Row],[loc of mdi]]+3),LEN(Table4[[#This Row],[Attributes]])+1))</f>
        <v/>
      </c>
      <c r="G24" t="str">
        <f>IFERROR(MID(Table4[[#This Row],[Attributes]],Table4[[#This Row],[loc of mdi]],Table4[[#This Row],[loc of space after mdi]]-Table4[[#This Row],[loc of mdi]]),"")</f>
        <v/>
      </c>
      <c r="H24" s="6" t="str">
        <f>IF(COUNTIFS(entities[entity_id],Table4[[#This Row],[Entity]])=1,"yes","missing from 'Entities' tab")</f>
        <v>yes</v>
      </c>
      <c r="I24" t="str">
        <f>LEFT(Table4[[#This Row],[Entity]],FIND(".",Table4[[#This Row],[Entity]])-1)</f>
        <v>automation</v>
      </c>
      <c r="J24" t="str">
        <f>MID(Table4[[#This Row],[Entity]],FIND(".",Table4[[#This Row],[Entity]])+1,999)</f>
        <v>rmlvtv_chromecast_volume_to_4_on_start</v>
      </c>
    </row>
    <row r="25" spans="2:10" x14ac:dyDescent="0.45">
      <c r="B25" t="s">
        <v>848</v>
      </c>
      <c r="C25" t="s">
        <v>7</v>
      </c>
      <c r="D25" t="s">
        <v>861</v>
      </c>
      <c r="E25" t="str">
        <f>IFERROR(FIND("mdi:",Table4[[#This Row],[Attributes]]),"")</f>
        <v/>
      </c>
      <c r="F25" t="str">
        <f>IF(Table4[[#This Row],[loc of mdi]]="","",IFERROR(FIND(" ",Table4[[#This Row],[Attributes]],Table4[[#This Row],[loc of mdi]]+3),LEN(Table4[[#This Row],[Attributes]])+1))</f>
        <v/>
      </c>
      <c r="G25" t="str">
        <f>IFERROR(MID(Table4[[#This Row],[Attributes]],Table4[[#This Row],[loc of mdi]],Table4[[#This Row],[loc of space after mdi]]-Table4[[#This Row],[loc of mdi]]),"")</f>
        <v/>
      </c>
      <c r="H25" s="6" t="str">
        <f>IF(COUNTIFS(entities[entity_id],Table4[[#This Row],[Entity]])=1,"yes","missing from 'Entities' tab")</f>
        <v>yes</v>
      </c>
      <c r="I25" t="str">
        <f>LEFT(Table4[[#This Row],[Entity]],FIND(".",Table4[[#This Row],[Entity]])-1)</f>
        <v>automation</v>
      </c>
      <c r="J25" t="str">
        <f>MID(Table4[[#This Row],[Entity]],FIND(".",Table4[[#This Row],[Entity]])+1,999)</f>
        <v>rmlvtv_turn_off_tv_if_chromecast_off</v>
      </c>
    </row>
    <row r="26" spans="2:10" x14ac:dyDescent="0.45">
      <c r="B26" t="s">
        <v>801</v>
      </c>
      <c r="C26" t="s">
        <v>7</v>
      </c>
      <c r="D26" t="s">
        <v>862</v>
      </c>
      <c r="E26" t="str">
        <f>IFERROR(FIND("mdi:",Table4[[#This Row],[Attributes]]),"")</f>
        <v/>
      </c>
      <c r="F26" t="str">
        <f>IF(Table4[[#This Row],[loc of mdi]]="","",IFERROR(FIND(" ",Table4[[#This Row],[Attributes]],Table4[[#This Row],[loc of mdi]]+3),LEN(Table4[[#This Row],[Attributes]])+1))</f>
        <v/>
      </c>
      <c r="G26" t="str">
        <f>IFERROR(MID(Table4[[#This Row],[Attributes]],Table4[[#This Row],[loc of mdi]],Table4[[#This Row],[loc of space after mdi]]-Table4[[#This Row],[loc of mdi]]),"")</f>
        <v/>
      </c>
      <c r="H26" s="6" t="str">
        <f>IF(COUNTIFS(entities[entity_id],Table4[[#This Row],[Entity]])=1,"yes","missing from 'Entities' tab")</f>
        <v>yes</v>
      </c>
      <c r="I26" t="str">
        <f>LEFT(Table4[[#This Row],[Entity]],FIND(".",Table4[[#This Row],[Entity]])-1)</f>
        <v>automation</v>
      </c>
      <c r="J26" t="str">
        <f>MID(Table4[[#This Row],[Entity]],FIND(".",Table4[[#This Row],[Entity]])+1,999)</f>
        <v>rmlvtv_tv_off_with_chromecast_from_idle</v>
      </c>
    </row>
    <row r="27" spans="2:10" x14ac:dyDescent="0.45">
      <c r="B27" t="s">
        <v>802</v>
      </c>
      <c r="C27" t="s">
        <v>7</v>
      </c>
      <c r="D27" t="s">
        <v>863</v>
      </c>
      <c r="E27" t="str">
        <f>IFERROR(FIND("mdi:",Table4[[#This Row],[Attributes]]),"")</f>
        <v/>
      </c>
      <c r="F27" t="str">
        <f>IF(Table4[[#This Row],[loc of mdi]]="","",IFERROR(FIND(" ",Table4[[#This Row],[Attributes]],Table4[[#This Row],[loc of mdi]]+3),LEN(Table4[[#This Row],[Attributes]])+1))</f>
        <v/>
      </c>
      <c r="G27" t="str">
        <f>IFERROR(MID(Table4[[#This Row],[Attributes]],Table4[[#This Row],[loc of mdi]],Table4[[#This Row],[loc of space after mdi]]-Table4[[#This Row],[loc of mdi]]),"")</f>
        <v/>
      </c>
      <c r="H27" s="6" t="str">
        <f>IF(COUNTIFS(entities[entity_id],Table4[[#This Row],[Entity]])=1,"yes","missing from 'Entities' tab")</f>
        <v>yes</v>
      </c>
      <c r="I27" t="str">
        <f>LEFT(Table4[[#This Row],[Entity]],FIND(".",Table4[[#This Row],[Entity]])-1)</f>
        <v>automation</v>
      </c>
      <c r="J27" t="str">
        <f>MID(Table4[[#This Row],[Entity]],FIND(".",Table4[[#This Row],[Entity]])+1,999)</f>
        <v>rmlvtv_tv_off_with_chromecast_from_paused</v>
      </c>
    </row>
    <row r="28" spans="2:10" x14ac:dyDescent="0.45">
      <c r="B28" t="s">
        <v>803</v>
      </c>
      <c r="C28" t="s">
        <v>7</v>
      </c>
      <c r="D28" t="s">
        <v>864</v>
      </c>
      <c r="E28" t="str">
        <f>IFERROR(FIND("mdi:",Table4[[#This Row],[Attributes]]),"")</f>
        <v/>
      </c>
      <c r="F28" t="str">
        <f>IF(Table4[[#This Row],[loc of mdi]]="","",IFERROR(FIND(" ",Table4[[#This Row],[Attributes]],Table4[[#This Row],[loc of mdi]]+3),LEN(Table4[[#This Row],[Attributes]])+1))</f>
        <v/>
      </c>
      <c r="G28" t="str">
        <f>IFERROR(MID(Table4[[#This Row],[Attributes]],Table4[[#This Row],[loc of mdi]],Table4[[#This Row],[loc of space after mdi]]-Table4[[#This Row],[loc of mdi]]),"")</f>
        <v/>
      </c>
      <c r="H28" s="6" t="str">
        <f>IF(COUNTIFS(entities[entity_id],Table4[[#This Row],[Entity]])=1,"yes","missing from 'Entities' tab")</f>
        <v>yes</v>
      </c>
      <c r="I28" t="str">
        <f>LEFT(Table4[[#This Row],[Entity]],FIND(".",Table4[[#This Row],[Entity]])-1)</f>
        <v>automation</v>
      </c>
      <c r="J28" t="str">
        <f>MID(Table4[[#This Row],[Entity]],FIND(".",Table4[[#This Row],[Entity]])+1,999)</f>
        <v>rmlvtv_tv_off_with_chromecast_from_playing</v>
      </c>
    </row>
    <row r="29" spans="2:10" x14ac:dyDescent="0.45">
      <c r="B29" t="s">
        <v>82</v>
      </c>
      <c r="C29" t="s">
        <v>7</v>
      </c>
      <c r="D29" t="s">
        <v>865</v>
      </c>
      <c r="E29" t="str">
        <f>IFERROR(FIND("mdi:",Table4[[#This Row],[Attributes]]),"")</f>
        <v/>
      </c>
      <c r="F29" t="str">
        <f>IF(Table4[[#This Row],[loc of mdi]]="","",IFERROR(FIND(" ",Table4[[#This Row],[Attributes]],Table4[[#This Row],[loc of mdi]]+3),LEN(Table4[[#This Row],[Attributes]])+1))</f>
        <v/>
      </c>
      <c r="G29" t="str">
        <f>IFERROR(MID(Table4[[#This Row],[Attributes]],Table4[[#This Row],[loc of mdi]],Table4[[#This Row],[loc of space after mdi]]-Table4[[#This Row],[loc of mdi]]),"")</f>
        <v/>
      </c>
      <c r="H29" s="6" t="str">
        <f>IF(COUNTIFS(entities[entity_id],Table4[[#This Row],[Entity]])=1,"yes","missing from 'Entities' tab")</f>
        <v>yes</v>
      </c>
      <c r="I29" t="str">
        <f>LEFT(Table4[[#This Row],[Entity]],FIND(".",Table4[[#This Row],[Entity]])-1)</f>
        <v>automation</v>
      </c>
      <c r="J29" t="str">
        <f>MID(Table4[[#This Row],[Entity]],FIND(".",Table4[[#This Row],[Entity]])+1,999)</f>
        <v>rmlvtv_tv_on_with_chromecast</v>
      </c>
    </row>
    <row r="30" spans="2:10" x14ac:dyDescent="0.45">
      <c r="B30" t="s">
        <v>83</v>
      </c>
      <c r="C30" t="s">
        <v>7</v>
      </c>
      <c r="D30" t="s">
        <v>866</v>
      </c>
      <c r="E30" t="str">
        <f>IFERROR(FIND("mdi:",Table4[[#This Row],[Attributes]]),"")</f>
        <v/>
      </c>
      <c r="F30" t="str">
        <f>IF(Table4[[#This Row],[loc of mdi]]="","",IFERROR(FIND(" ",Table4[[#This Row],[Attributes]],Table4[[#This Row],[loc of mdi]]+3),LEN(Table4[[#This Row],[Attributes]])+1))</f>
        <v/>
      </c>
      <c r="G30" t="str">
        <f>IFERROR(MID(Table4[[#This Row],[Attributes]],Table4[[#This Row],[loc of mdi]],Table4[[#This Row],[loc of space after mdi]]-Table4[[#This Row],[loc of mdi]]),"")</f>
        <v/>
      </c>
      <c r="H30" s="6" t="str">
        <f>IF(COUNTIFS(entities[entity_id],Table4[[#This Row],[Entity]])=1,"yes","missing from 'Entities' tab")</f>
        <v>yes</v>
      </c>
      <c r="I30" t="str">
        <f>LEFT(Table4[[#This Row],[Entity]],FIND(".",Table4[[#This Row],[Entity]])-1)</f>
        <v>automation</v>
      </c>
      <c r="J30" t="str">
        <f>MID(Table4[[#This Row],[Entity]],FIND(".",Table4[[#This Row],[Entity]])+1,999)</f>
        <v>statfriend_friend_visiting_off_from_device_tracker</v>
      </c>
    </row>
    <row r="31" spans="2:10" x14ac:dyDescent="0.45">
      <c r="B31" t="s">
        <v>84</v>
      </c>
      <c r="C31" t="s">
        <v>7</v>
      </c>
      <c r="D31" t="s">
        <v>867</v>
      </c>
      <c r="E31" t="str">
        <f>IFERROR(FIND("mdi:",Table4[[#This Row],[Attributes]]),"")</f>
        <v/>
      </c>
      <c r="F31" t="str">
        <f>IF(Table4[[#This Row],[loc of mdi]]="","",IFERROR(FIND(" ",Table4[[#This Row],[Attributes]],Table4[[#This Row],[loc of mdi]]+3),LEN(Table4[[#This Row],[Attributes]])+1))</f>
        <v/>
      </c>
      <c r="G31" t="str">
        <f>IFERROR(MID(Table4[[#This Row],[Attributes]],Table4[[#This Row],[loc of mdi]],Table4[[#This Row],[loc of space after mdi]]-Table4[[#This Row],[loc of mdi]]),"")</f>
        <v/>
      </c>
      <c r="H31" s="6" t="str">
        <f>IF(COUNTIFS(entities[entity_id],Table4[[#This Row],[Entity]])=1,"yes","missing from 'Entities' tab")</f>
        <v>yes</v>
      </c>
      <c r="I31" t="str">
        <f>LEFT(Table4[[#This Row],[Entity]],FIND(".",Table4[[#This Row],[Entity]])-1)</f>
        <v>automation</v>
      </c>
      <c r="J31" t="str">
        <f>MID(Table4[[#This Row],[Entity]],FIND(".",Table4[[#This Row],[Entity]])+1,999)</f>
        <v>statfriend_friend_visiting_on_from_device_tracker</v>
      </c>
    </row>
    <row r="32" spans="2:10" x14ac:dyDescent="0.45">
      <c r="B32" t="s">
        <v>85</v>
      </c>
      <c r="C32" t="s">
        <v>7</v>
      </c>
      <c r="D32" t="s">
        <v>868</v>
      </c>
      <c r="E32" t="str">
        <f>IFERROR(FIND("mdi:",Table4[[#This Row],[Attributes]]),"")</f>
        <v/>
      </c>
      <c r="F32" t="str">
        <f>IF(Table4[[#This Row],[loc of mdi]]="","",IFERROR(FIND(" ",Table4[[#This Row],[Attributes]],Table4[[#This Row],[loc of mdi]]+3),LEN(Table4[[#This Row],[Attributes]])+1))</f>
        <v/>
      </c>
      <c r="G32" t="str">
        <f>IFERROR(MID(Table4[[#This Row],[Attributes]],Table4[[#This Row],[loc of mdi]],Table4[[#This Row],[loc of space after mdi]]-Table4[[#This Row],[loc of mdi]]),"")</f>
        <v/>
      </c>
      <c r="H32" s="6" t="str">
        <f>IF(COUNTIFS(entities[entity_id],Table4[[#This Row],[Entity]])=1,"yes","missing from 'Entities' tab")</f>
        <v>yes</v>
      </c>
      <c r="I32" t="str">
        <f>LEFT(Table4[[#This Row],[Entity]],FIND(".",Table4[[#This Row],[Entity]])-1)</f>
        <v>automation</v>
      </c>
      <c r="J32" t="str">
        <f>MID(Table4[[#This Row],[Entity]],FIND(".",Table4[[#This Row],[Entity]])+1,999)</f>
        <v>statron_away_status_from_device_tracker</v>
      </c>
    </row>
    <row r="33" spans="2:10" x14ac:dyDescent="0.45">
      <c r="B33" t="s">
        <v>86</v>
      </c>
      <c r="C33" t="s">
        <v>7</v>
      </c>
      <c r="D33" t="s">
        <v>869</v>
      </c>
      <c r="E33" t="str">
        <f>IFERROR(FIND("mdi:",Table4[[#This Row],[Attributes]]),"")</f>
        <v/>
      </c>
      <c r="F33" t="str">
        <f>IF(Table4[[#This Row],[loc of mdi]]="","",IFERROR(FIND(" ",Table4[[#This Row],[Attributes]],Table4[[#This Row],[loc of mdi]]+3),LEN(Table4[[#This Row],[Attributes]])+1))</f>
        <v/>
      </c>
      <c r="G33" t="str">
        <f>IFERROR(MID(Table4[[#This Row],[Attributes]],Table4[[#This Row],[loc of mdi]],Table4[[#This Row],[loc of space after mdi]]-Table4[[#This Row],[loc of mdi]]),"")</f>
        <v/>
      </c>
      <c r="H33" s="6" t="str">
        <f>IF(COUNTIFS(entities[entity_id],Table4[[#This Row],[Entity]])=1,"yes","missing from 'Entities' tab")</f>
        <v>yes</v>
      </c>
      <c r="I33" t="str">
        <f>LEFT(Table4[[#This Row],[Entity]],FIND(".",Table4[[#This Row],[Entity]])-1)</f>
        <v>automation</v>
      </c>
      <c r="J33" t="str">
        <f>MID(Table4[[#This Row],[Entity]],FIND(".",Table4[[#This Row],[Entity]])+1,999)</f>
        <v>statron_computer_status_from_monitor_status</v>
      </c>
    </row>
    <row r="34" spans="2:10" x14ac:dyDescent="0.45">
      <c r="B34" t="s">
        <v>87</v>
      </c>
      <c r="C34" t="s">
        <v>7</v>
      </c>
      <c r="D34" t="s">
        <v>870</v>
      </c>
      <c r="E34" t="str">
        <f>IFERROR(FIND("mdi:",Table4[[#This Row],[Attributes]]),"")</f>
        <v/>
      </c>
      <c r="F34" t="str">
        <f>IF(Table4[[#This Row],[loc of mdi]]="","",IFERROR(FIND(" ",Table4[[#This Row],[Attributes]],Table4[[#This Row],[loc of mdi]]+3),LEN(Table4[[#This Row],[Attributes]])+1))</f>
        <v/>
      </c>
      <c r="G34" t="str">
        <f>IFERROR(MID(Table4[[#This Row],[Attributes]],Table4[[#This Row],[loc of mdi]],Table4[[#This Row],[loc of space after mdi]]-Table4[[#This Row],[loc of mdi]]),"")</f>
        <v/>
      </c>
      <c r="H34" s="6" t="str">
        <f>IF(COUNTIFS(entities[entity_id],Table4[[#This Row],[Entity]])=1,"yes","missing from 'Entities' tab")</f>
        <v>yes</v>
      </c>
      <c r="I34" t="str">
        <f>LEFT(Table4[[#This Row],[Entity]],FIND(".",Table4[[#This Row],[Entity]])-1)</f>
        <v>automation</v>
      </c>
      <c r="J34" t="str">
        <f>MID(Table4[[#This Row],[Entity]],FIND(".",Table4[[#This Row],[Entity]])+1,999)</f>
        <v>statron_home_status_from_device_tracker</v>
      </c>
    </row>
    <row r="35" spans="2:10" x14ac:dyDescent="0.45">
      <c r="B35" t="s">
        <v>88</v>
      </c>
      <c r="C35" t="s">
        <v>7</v>
      </c>
      <c r="D35" t="s">
        <v>871</v>
      </c>
      <c r="E35" t="str">
        <f>IFERROR(FIND("mdi:",Table4[[#This Row],[Attributes]]),"")</f>
        <v/>
      </c>
      <c r="F35" t="str">
        <f>IF(Table4[[#This Row],[loc of mdi]]="","",IFERROR(FIND(" ",Table4[[#This Row],[Attributes]],Table4[[#This Row],[loc of mdi]]+3),LEN(Table4[[#This Row],[Attributes]])+1))</f>
        <v/>
      </c>
      <c r="G35" t="str">
        <f>IFERROR(MID(Table4[[#This Row],[Attributes]],Table4[[#This Row],[loc of mdi]],Table4[[#This Row],[loc of space after mdi]]-Table4[[#This Row],[loc of mdi]]),"")</f>
        <v/>
      </c>
      <c r="H35" s="6" t="str">
        <f>IF(COUNTIFS(entities[entity_id],Table4[[#This Row],[Entity]])=1,"yes","missing from 'Entities' tab")</f>
        <v>yes</v>
      </c>
      <c r="I35" t="str">
        <f>LEFT(Table4[[#This Row],[Entity]],FIND(".",Table4[[#This Row],[Entity]])-1)</f>
        <v>automation</v>
      </c>
      <c r="J35" t="str">
        <f>MID(Table4[[#This Row],[Entity]],FIND(".",Table4[[#This Row],[Entity]])+1,999)</f>
        <v>statron_home_status_from_monitor_status</v>
      </c>
    </row>
    <row r="36" spans="2:10" x14ac:dyDescent="0.45">
      <c r="B36" t="s">
        <v>804</v>
      </c>
      <c r="C36" t="s">
        <v>7</v>
      </c>
      <c r="D36" t="s">
        <v>872</v>
      </c>
      <c r="E36" t="str">
        <f>IFERROR(FIND("mdi:",Table4[[#This Row],[Attributes]]),"")</f>
        <v/>
      </c>
      <c r="F36" t="str">
        <f>IF(Table4[[#This Row],[loc of mdi]]="","",IFERROR(FIND(" ",Table4[[#This Row],[Attributes]],Table4[[#This Row],[loc of mdi]]+3),LEN(Table4[[#This Row],[Attributes]])+1))</f>
        <v/>
      </c>
      <c r="G36" t="str">
        <f>IFERROR(MID(Table4[[#This Row],[Attributes]],Table4[[#This Row],[loc of mdi]],Table4[[#This Row],[loc of space after mdi]]-Table4[[#This Row],[loc of mdi]]),"")</f>
        <v/>
      </c>
      <c r="H36" s="6" t="str">
        <f>IF(COUNTIFS(entities[entity_id],Table4[[#This Row],[Entity]])=1,"yes","missing from 'Entities' tab")</f>
        <v>yes</v>
      </c>
      <c r="I36" t="str">
        <f>LEFT(Table4[[#This Row],[Entity]],FIND(".",Table4[[#This Row],[Entity]])-1)</f>
        <v>automation</v>
      </c>
      <c r="J36" t="str">
        <f>MID(Table4[[#This Row],[Entity]],FIND(".",Table4[[#This Row],[Entity]])+1,999)</f>
        <v>statron_tv_status_from_chromecast</v>
      </c>
    </row>
    <row r="37" spans="2:10" x14ac:dyDescent="0.45">
      <c r="B37" t="s">
        <v>827</v>
      </c>
      <c r="C37" t="s">
        <v>7</v>
      </c>
      <c r="D37" t="s">
        <v>873</v>
      </c>
      <c r="E37" t="str">
        <f>IFERROR(FIND("mdi:",Table4[[#This Row],[Attributes]]),"")</f>
        <v/>
      </c>
      <c r="F37" t="str">
        <f>IF(Table4[[#This Row],[loc of mdi]]="","",IFERROR(FIND(" ",Table4[[#This Row],[Attributes]],Table4[[#This Row],[loc of mdi]]+3),LEN(Table4[[#This Row],[Attributes]])+1))</f>
        <v/>
      </c>
      <c r="G37" t="str">
        <f>IFERROR(MID(Table4[[#This Row],[Attributes]],Table4[[#This Row],[loc of mdi]],Table4[[#This Row],[loc of space after mdi]]-Table4[[#This Row],[loc of mdi]]),"")</f>
        <v/>
      </c>
      <c r="H37" s="6" t="str">
        <f>IF(COUNTIFS(entities[entity_id],Table4[[#This Row],[Entity]])=1,"yes","missing from 'Entities' tab")</f>
        <v>yes</v>
      </c>
      <c r="I37" t="str">
        <f>LEFT(Table4[[#This Row],[Entity]],FIND(".",Table4[[#This Row],[Entity]])-1)</f>
        <v>automation</v>
      </c>
      <c r="J37" t="str">
        <f>MID(Table4[[#This Row],[Entity]],FIND(".",Table4[[#This Row],[Entity]])+1,999)</f>
        <v>statvac_vacation_lights_at_sunset_when_vacation_mode_on</v>
      </c>
    </row>
    <row r="38" spans="2:10" x14ac:dyDescent="0.45">
      <c r="B38" t="s">
        <v>89</v>
      </c>
      <c r="C38" t="s">
        <v>7</v>
      </c>
      <c r="D38" t="s">
        <v>874</v>
      </c>
      <c r="E38" t="str">
        <f>IFERROR(FIND("mdi:",Table4[[#This Row],[Attributes]]),"")</f>
        <v/>
      </c>
      <c r="F38" t="str">
        <f>IF(Table4[[#This Row],[loc of mdi]]="","",IFERROR(FIND(" ",Table4[[#This Row],[Attributes]],Table4[[#This Row],[loc of mdi]]+3),LEN(Table4[[#This Row],[Attributes]])+1))</f>
        <v/>
      </c>
      <c r="G38" t="str">
        <f>IFERROR(MID(Table4[[#This Row],[Attributes]],Table4[[#This Row],[loc of mdi]],Table4[[#This Row],[loc of space after mdi]]-Table4[[#This Row],[loc of mdi]]),"")</f>
        <v/>
      </c>
      <c r="H38" s="6" t="str">
        <f>IF(COUNTIFS(entities[entity_id],Table4[[#This Row],[Entity]])=1,"yes","missing from 'Entities' tab")</f>
        <v>yes</v>
      </c>
      <c r="I38" t="str">
        <f>LEFT(Table4[[#This Row],[Entity]],FIND(".",Table4[[#This Row],[Entity]])-1)</f>
        <v>automation</v>
      </c>
      <c r="J38" t="str">
        <f>MID(Table4[[#This Row],[Entity]],FIND(".",Table4[[#This Row],[Entity]])+1,999)</f>
        <v>statvac_vacation_mode_off_when_home</v>
      </c>
    </row>
    <row r="39" spans="2:10" x14ac:dyDescent="0.45">
      <c r="B39" t="s">
        <v>90</v>
      </c>
      <c r="C39" t="s">
        <v>7</v>
      </c>
      <c r="D39" t="s">
        <v>875</v>
      </c>
      <c r="E39" t="str">
        <f>IFERROR(FIND("mdi:",Table4[[#This Row],[Attributes]]),"")</f>
        <v/>
      </c>
      <c r="F39" t="str">
        <f>IF(Table4[[#This Row],[loc of mdi]]="","",IFERROR(FIND(" ",Table4[[#This Row],[Attributes]],Table4[[#This Row],[loc of mdi]]+3),LEN(Table4[[#This Row],[Attributes]])+1))</f>
        <v/>
      </c>
      <c r="G39" t="str">
        <f>IFERROR(MID(Table4[[#This Row],[Attributes]],Table4[[#This Row],[loc of mdi]],Table4[[#This Row],[loc of space after mdi]]-Table4[[#This Row],[loc of mdi]]),"")</f>
        <v/>
      </c>
      <c r="H39" s="6" t="str">
        <f>IF(COUNTIFS(entities[entity_id],Table4[[#This Row],[Entity]])=1,"yes","missing from 'Entities' tab")</f>
        <v>yes</v>
      </c>
      <c r="I39" t="str">
        <f>LEFT(Table4[[#This Row],[Entity]],FIND(".",Table4[[#This Row],[Entity]])-1)</f>
        <v>automation</v>
      </c>
      <c r="J39" t="str">
        <f>MID(Table4[[#This Row],[Entity]],FIND(".",Table4[[#This Row],[Entity]])+1,999)</f>
        <v>statvac_vacation_mode_on_when_gone_24_hours</v>
      </c>
    </row>
    <row r="40" spans="2:10" x14ac:dyDescent="0.45">
      <c r="B40" t="s">
        <v>822</v>
      </c>
      <c r="C40" t="s">
        <v>7</v>
      </c>
      <c r="E40" t="str">
        <f>IFERROR(FIND("mdi:",Table4[[#This Row],[Attributes]]),"")</f>
        <v/>
      </c>
      <c r="F40" t="str">
        <f>IF(Table4[[#This Row],[loc of mdi]]="","",IFERROR(FIND(" ",Table4[[#This Row],[Attributes]],Table4[[#This Row],[loc of mdi]]+3),LEN(Table4[[#This Row],[Attributes]])+1))</f>
        <v/>
      </c>
      <c r="G40" t="str">
        <f>IFERROR(MID(Table4[[#This Row],[Attributes]],Table4[[#This Row],[loc of mdi]],Table4[[#This Row],[loc of space after mdi]]-Table4[[#This Row],[loc of mdi]]),"")</f>
        <v/>
      </c>
      <c r="H40" s="6" t="str">
        <f>IF(COUNTIFS(entities[entity_id],Table4[[#This Row],[Entity]])=1,"yes","missing from 'Entities' tab")</f>
        <v>yes</v>
      </c>
      <c r="I40" t="str">
        <f>LEFT(Table4[[#This Row],[Entity]],FIND(".",Table4[[#This Row],[Entity]])-1)</f>
        <v>binary_sensor</v>
      </c>
      <c r="J40" t="str">
        <f>MID(Table4[[#This Row],[Entity]],FIND(".",Table4[[#This Row],[Entity]])+1,999)</f>
        <v>humvee_monitor_status</v>
      </c>
    </row>
    <row r="41" spans="2:10" x14ac:dyDescent="0.45">
      <c r="B41" t="s">
        <v>789</v>
      </c>
      <c r="C41" t="s">
        <v>7</v>
      </c>
      <c r="E41" t="str">
        <f>IFERROR(FIND("mdi:",Table4[[#This Row],[Attributes]]),"")</f>
        <v/>
      </c>
      <c r="F41" t="str">
        <f>IF(Table4[[#This Row],[loc of mdi]]="","",IFERROR(FIND(" ",Table4[[#This Row],[Attributes]],Table4[[#This Row],[loc of mdi]]+3),LEN(Table4[[#This Row],[Attributes]])+1))</f>
        <v/>
      </c>
      <c r="G41" t="str">
        <f>IFERROR(MID(Table4[[#This Row],[Attributes]],Table4[[#This Row],[loc of mdi]],Table4[[#This Row],[loc of space after mdi]]-Table4[[#This Row],[loc of mdi]]),"")</f>
        <v/>
      </c>
      <c r="H41" s="6" t="str">
        <f>IF(COUNTIFS(entities[entity_id],Table4[[#This Row],[Entity]])=1,"yes","missing from 'Entities' tab")</f>
        <v>yes</v>
      </c>
      <c r="I41" t="str">
        <f>LEFT(Table4[[#This Row],[Entity]],FIND(".",Table4[[#This Row],[Entity]])-1)</f>
        <v>binary_sensor</v>
      </c>
      <c r="J41" t="str">
        <f>MID(Table4[[#This Row],[Entity]],FIND(".",Table4[[#This Row],[Entity]])+1,999)</f>
        <v>multi_sensor_4</v>
      </c>
    </row>
    <row r="42" spans="2:10" x14ac:dyDescent="0.45">
      <c r="B42" t="s">
        <v>766</v>
      </c>
      <c r="C42" t="s">
        <v>91</v>
      </c>
      <c r="E42" t="str">
        <f>IFERROR(FIND("mdi:",Table4[[#This Row],[Attributes]]),"")</f>
        <v/>
      </c>
      <c r="F42" t="str">
        <f>IF(Table4[[#This Row],[loc of mdi]]="","",IFERROR(FIND(" ",Table4[[#This Row],[Attributes]],Table4[[#This Row],[loc of mdi]]+3),LEN(Table4[[#This Row],[Attributes]])+1))</f>
        <v/>
      </c>
      <c r="G42" t="str">
        <f>IFERROR(MID(Table4[[#This Row],[Attributes]],Table4[[#This Row],[loc of mdi]],Table4[[#This Row],[loc of space after mdi]]-Table4[[#This Row],[loc of mdi]]),"")</f>
        <v/>
      </c>
      <c r="H42" s="6" t="str">
        <f>IF(COUNTIFS(entities[entity_id],Table4[[#This Row],[Entity]])=1,"yes","missing from 'Entities' tab")</f>
        <v>yes</v>
      </c>
      <c r="I42" t="str">
        <f>LEFT(Table4[[#This Row],[Entity]],FIND(".",Table4[[#This Row],[Entity]])-1)</f>
        <v>binary_sensor</v>
      </c>
      <c r="J42" t="str">
        <f>MID(Table4[[#This Row],[Entity]],FIND(".",Table4[[#This Row],[Entity]])+1,999)</f>
        <v>tv_status</v>
      </c>
    </row>
    <row r="43" spans="2:10" x14ac:dyDescent="0.45">
      <c r="B43" t="s">
        <v>755</v>
      </c>
      <c r="C43" t="s">
        <v>100</v>
      </c>
      <c r="E43" t="str">
        <f>IFERROR(FIND("mdi:",Table4[[#This Row],[Attributes]]),"")</f>
        <v/>
      </c>
      <c r="F43" t="str">
        <f>IF(Table4[[#This Row],[loc of mdi]]="","",IFERROR(FIND(" ",Table4[[#This Row],[Attributes]],Table4[[#This Row],[loc of mdi]]+3),LEN(Table4[[#This Row],[Attributes]])+1))</f>
        <v/>
      </c>
      <c r="G43" t="str">
        <f>IFERROR(MID(Table4[[#This Row],[Attributes]],Table4[[#This Row],[loc of mdi]],Table4[[#This Row],[loc of space after mdi]]-Table4[[#This Row],[loc of mdi]]),"")</f>
        <v/>
      </c>
      <c r="H43" s="6" t="str">
        <f>IF(COUNTIFS(entities[entity_id],Table4[[#This Row],[Entity]])=1,"yes","missing from 'Entities' tab")</f>
        <v>yes</v>
      </c>
      <c r="I43" t="str">
        <f>LEFT(Table4[[#This Row],[Entity]],FIND(".",Table4[[#This Row],[Entity]])-1)</f>
        <v>device_tracker</v>
      </c>
      <c r="J43" t="str">
        <f>MID(Table4[[#This Row],[Entity]],FIND(".",Table4[[#This Row],[Entity]])+1,999)</f>
        <v>bazooka</v>
      </c>
    </row>
    <row r="44" spans="2:10" x14ac:dyDescent="0.45">
      <c r="B44" t="s">
        <v>92</v>
      </c>
      <c r="C44" t="s">
        <v>93</v>
      </c>
      <c r="E44" t="str">
        <f>IFERROR(FIND("mdi:",Table4[[#This Row],[Attributes]]),"")</f>
        <v/>
      </c>
      <c r="F44" t="str">
        <f>IF(Table4[[#This Row],[loc of mdi]]="","",IFERROR(FIND(" ",Table4[[#This Row],[Attributes]],Table4[[#This Row],[loc of mdi]]+3),LEN(Table4[[#This Row],[Attributes]])+1))</f>
        <v/>
      </c>
      <c r="G44" t="str">
        <f>IFERROR(MID(Table4[[#This Row],[Attributes]],Table4[[#This Row],[loc of mdi]],Table4[[#This Row],[loc of space after mdi]]-Table4[[#This Row],[loc of mdi]]),"")</f>
        <v/>
      </c>
      <c r="H44" s="6" t="str">
        <f>IF(COUNTIFS(entities[entity_id],Table4[[#This Row],[Entity]])=1,"yes","missing from 'Entities' tab")</f>
        <v>yes</v>
      </c>
      <c r="I44" t="str">
        <f>LEFT(Table4[[#This Row],[Entity]],FIND(".",Table4[[#This Row],[Entity]])-1)</f>
        <v>device_tracker</v>
      </c>
      <c r="J44" t="str">
        <f>MID(Table4[[#This Row],[Entity]],FIND(".",Table4[[#This Row],[Entity]])+1,999)</f>
        <v>carolyn_phone</v>
      </c>
    </row>
    <row r="45" spans="2:10" x14ac:dyDescent="0.45">
      <c r="B45" t="s">
        <v>94</v>
      </c>
      <c r="C45" t="s">
        <v>93</v>
      </c>
      <c r="E45" t="str">
        <f>IFERROR(FIND("mdi:",Table4[[#This Row],[Attributes]]),"")</f>
        <v/>
      </c>
      <c r="F45" t="str">
        <f>IF(Table4[[#This Row],[loc of mdi]]="","",IFERROR(FIND(" ",Table4[[#This Row],[Attributes]],Table4[[#This Row],[loc of mdi]]+3),LEN(Table4[[#This Row],[Attributes]])+1))</f>
        <v/>
      </c>
      <c r="G45" t="str">
        <f>IFERROR(MID(Table4[[#This Row],[Attributes]],Table4[[#This Row],[loc of mdi]],Table4[[#This Row],[loc of space after mdi]]-Table4[[#This Row],[loc of mdi]]),"")</f>
        <v/>
      </c>
      <c r="H45" s="6" t="str">
        <f>IF(COUNTIFS(entities[entity_id],Table4[[#This Row],[Entity]])=1,"yes","missing from 'Entities' tab")</f>
        <v>yes</v>
      </c>
      <c r="I45" t="str">
        <f>LEFT(Table4[[#This Row],[Entity]],FIND(".",Table4[[#This Row],[Entity]])-1)</f>
        <v>device_tracker</v>
      </c>
      <c r="J45" t="str">
        <f>MID(Table4[[#This Row],[Entity]],FIND(".",Table4[[#This Row],[Entity]])+1,999)</f>
        <v>carolyn_smbp</v>
      </c>
    </row>
    <row r="46" spans="2:10" x14ac:dyDescent="0.45">
      <c r="B46" t="s">
        <v>95</v>
      </c>
      <c r="C46" t="s">
        <v>93</v>
      </c>
      <c r="E46" t="str">
        <f>IFERROR(FIND("mdi:",Table4[[#This Row],[Attributes]]),"")</f>
        <v/>
      </c>
      <c r="F46" t="str">
        <f>IF(Table4[[#This Row],[loc of mdi]]="","",IFERROR(FIND(" ",Table4[[#This Row],[Attributes]],Table4[[#This Row],[loc of mdi]]+3),LEN(Table4[[#This Row],[Attributes]])+1))</f>
        <v/>
      </c>
      <c r="G46" t="str">
        <f>IFERROR(MID(Table4[[#This Row],[Attributes]],Table4[[#This Row],[loc of mdi]],Table4[[#This Row],[loc of space after mdi]]-Table4[[#This Row],[loc of mdi]]),"")</f>
        <v/>
      </c>
      <c r="H46" s="6" t="str">
        <f>IF(COUNTIFS(entities[entity_id],Table4[[#This Row],[Entity]])=1,"yes","missing from 'Entities' tab")</f>
        <v>yes</v>
      </c>
      <c r="I46" t="str">
        <f>LEFT(Table4[[#This Row],[Entity]],FIND(".",Table4[[#This Row],[Entity]])-1)</f>
        <v>device_tracker</v>
      </c>
      <c r="J46" t="str">
        <f>MID(Table4[[#This Row],[Entity]],FIND(".",Table4[[#This Row],[Entity]])+1,999)</f>
        <v>carolyn_tablet</v>
      </c>
    </row>
    <row r="47" spans="2:10" x14ac:dyDescent="0.45">
      <c r="B47" t="s">
        <v>96</v>
      </c>
      <c r="C47" t="s">
        <v>93</v>
      </c>
      <c r="E47" t="str">
        <f>IFERROR(FIND("mdi:",Table4[[#This Row],[Attributes]]),"")</f>
        <v/>
      </c>
      <c r="F47" t="str">
        <f>IF(Table4[[#This Row],[loc of mdi]]="","",IFERROR(FIND(" ",Table4[[#This Row],[Attributes]],Table4[[#This Row],[loc of mdi]]+3),LEN(Table4[[#This Row],[Attributes]])+1))</f>
        <v/>
      </c>
      <c r="G47" t="str">
        <f>IFERROR(MID(Table4[[#This Row],[Attributes]],Table4[[#This Row],[loc of mdi]],Table4[[#This Row],[loc of space after mdi]]-Table4[[#This Row],[loc of mdi]]),"")</f>
        <v/>
      </c>
      <c r="H47" s="6" t="str">
        <f>IF(COUNTIFS(entities[entity_id],Table4[[#This Row],[Entity]])=1,"yes","missing from 'Entities' tab")</f>
        <v>yes</v>
      </c>
      <c r="I47" t="str">
        <f>LEFT(Table4[[#This Row],[Entity]],FIND(".",Table4[[#This Row],[Entity]])-1)</f>
        <v>device_tracker</v>
      </c>
      <c r="J47" t="str">
        <f>MID(Table4[[#This Row],[Entity]],FIND(".",Table4[[#This Row],[Entity]])+1,999)</f>
        <v>carolyn_watch</v>
      </c>
    </row>
    <row r="48" spans="2:10" x14ac:dyDescent="0.45">
      <c r="B48" t="s">
        <v>97</v>
      </c>
      <c r="C48" t="s">
        <v>93</v>
      </c>
      <c r="E48" t="str">
        <f>IFERROR(FIND("mdi:",Table4[[#This Row],[Attributes]]),"")</f>
        <v/>
      </c>
      <c r="F48" t="str">
        <f>IF(Table4[[#This Row],[loc of mdi]]="","",IFERROR(FIND(" ",Table4[[#This Row],[Attributes]],Table4[[#This Row],[loc of mdi]]+3),LEN(Table4[[#This Row],[Attributes]])+1))</f>
        <v/>
      </c>
      <c r="G48" t="str">
        <f>IFERROR(MID(Table4[[#This Row],[Attributes]],Table4[[#This Row],[loc of mdi]],Table4[[#This Row],[loc of space after mdi]]-Table4[[#This Row],[loc of mdi]]),"")</f>
        <v/>
      </c>
      <c r="H48" s="6" t="str">
        <f>IF(COUNTIFS(entities[entity_id],Table4[[#This Row],[Entity]])=1,"yes","missing from 'Entities' tab")</f>
        <v>yes</v>
      </c>
      <c r="I48" t="str">
        <f>LEFT(Table4[[#This Row],[Entity]],FIND(".",Table4[[#This Row],[Entity]])-1)</f>
        <v>device_tracker</v>
      </c>
      <c r="J48" t="str">
        <f>MID(Table4[[#This Row],[Entity]],FIND(".",Table4[[#This Row],[Entity]])+1,999)</f>
        <v>carolynsair</v>
      </c>
    </row>
    <row r="49" spans="2:10" x14ac:dyDescent="0.45">
      <c r="B49" t="s">
        <v>98</v>
      </c>
      <c r="C49" t="s">
        <v>93</v>
      </c>
      <c r="E49" t="str">
        <f>IFERROR(FIND("mdi:",Table4[[#This Row],[Attributes]]),"")</f>
        <v/>
      </c>
      <c r="F49" t="str">
        <f>IF(Table4[[#This Row],[loc of mdi]]="","",IFERROR(FIND(" ",Table4[[#This Row],[Attributes]],Table4[[#This Row],[loc of mdi]]+3),LEN(Table4[[#This Row],[Attributes]])+1))</f>
        <v/>
      </c>
      <c r="G49" t="str">
        <f>IFERROR(MID(Table4[[#This Row],[Attributes]],Table4[[#This Row],[loc of mdi]],Table4[[#This Row],[loc of space after mdi]]-Table4[[#This Row],[loc of mdi]]),"")</f>
        <v/>
      </c>
      <c r="H49" s="6" t="str">
        <f>IF(COUNTIFS(entities[entity_id],Table4[[#This Row],[Entity]])=1,"yes","missing from 'Entities' tab")</f>
        <v>yes</v>
      </c>
      <c r="I49" t="str">
        <f>LEFT(Table4[[#This Row],[Entity]],FIND(".",Table4[[#This Row],[Entity]])-1)</f>
        <v>device_tracker</v>
      </c>
      <c r="J49" t="str">
        <f>MID(Table4[[#This Row],[Entity]],FIND(".",Table4[[#This Row],[Entity]])+1,999)</f>
        <v>chromecast</v>
      </c>
    </row>
    <row r="50" spans="2:10" x14ac:dyDescent="0.45">
      <c r="B50" t="s">
        <v>99</v>
      </c>
      <c r="C50" t="s">
        <v>100</v>
      </c>
      <c r="E50" t="str">
        <f>IFERROR(FIND("mdi:",Table4[[#This Row],[Attributes]]),"")</f>
        <v/>
      </c>
      <c r="F50" t="str">
        <f>IF(Table4[[#This Row],[loc of mdi]]="","",IFERROR(FIND(" ",Table4[[#This Row],[Attributes]],Table4[[#This Row],[loc of mdi]]+3),LEN(Table4[[#This Row],[Attributes]])+1))</f>
        <v/>
      </c>
      <c r="G50" t="str">
        <f>IFERROR(MID(Table4[[#This Row],[Attributes]],Table4[[#This Row],[loc of mdi]],Table4[[#This Row],[loc of space after mdi]]-Table4[[#This Row],[loc of mdi]]),"")</f>
        <v/>
      </c>
      <c r="H50" s="6" t="str">
        <f>IF(COUNTIFS(entities[entity_id],Table4[[#This Row],[Entity]])=1,"yes","missing from 'Entities' tab")</f>
        <v>yes</v>
      </c>
      <c r="I50" t="str">
        <f>LEFT(Table4[[#This Row],[Entity]],FIND(".",Table4[[#This Row],[Entity]])-1)</f>
        <v>device_tracker</v>
      </c>
      <c r="J50" t="str">
        <f>MID(Table4[[#This Row],[Entity]],FIND(".",Table4[[#This Row],[Entity]])+1,999)</f>
        <v>chromecast_2</v>
      </c>
    </row>
    <row r="51" spans="2:10" x14ac:dyDescent="0.45">
      <c r="B51" t="s">
        <v>101</v>
      </c>
      <c r="C51" t="s">
        <v>100</v>
      </c>
      <c r="E51" t="str">
        <f>IFERROR(FIND("mdi:",Table4[[#This Row],[Attributes]]),"")</f>
        <v/>
      </c>
      <c r="F51" t="str">
        <f>IF(Table4[[#This Row],[loc of mdi]]="","",IFERROR(FIND(" ",Table4[[#This Row],[Attributes]],Table4[[#This Row],[loc of mdi]]+3),LEN(Table4[[#This Row],[Attributes]])+1))</f>
        <v/>
      </c>
      <c r="G51" t="str">
        <f>IFERROR(MID(Table4[[#This Row],[Attributes]],Table4[[#This Row],[loc of mdi]],Table4[[#This Row],[loc of space after mdi]]-Table4[[#This Row],[loc of mdi]]),"")</f>
        <v/>
      </c>
      <c r="H51" s="6" t="str">
        <f>IF(COUNTIFS(entities[entity_id],Table4[[#This Row],[Entity]])=1,"yes","missing from 'Entities' tab")</f>
        <v>yes</v>
      </c>
      <c r="I51" t="str">
        <f>LEFT(Table4[[#This Row],[Entity]],FIND(".",Table4[[#This Row],[Entity]])-1)</f>
        <v>device_tracker</v>
      </c>
      <c r="J51" t="str">
        <f>MID(Table4[[#This Row],[Entity]],FIND(".",Table4[[#This Row],[Entity]])+1,999)</f>
        <v>daniel_br</v>
      </c>
    </row>
    <row r="52" spans="2:10" x14ac:dyDescent="0.45">
      <c r="B52" t="s">
        <v>102</v>
      </c>
      <c r="C52" t="s">
        <v>93</v>
      </c>
      <c r="E52" t="str">
        <f>IFERROR(FIND("mdi:",Table4[[#This Row],[Attributes]]),"")</f>
        <v/>
      </c>
      <c r="F52" t="str">
        <f>IF(Table4[[#This Row],[loc of mdi]]="","",IFERROR(FIND(" ",Table4[[#This Row],[Attributes]],Table4[[#This Row],[loc of mdi]]+3),LEN(Table4[[#This Row],[Attributes]])+1))</f>
        <v/>
      </c>
      <c r="G52" t="str">
        <f>IFERROR(MID(Table4[[#This Row],[Attributes]],Table4[[#This Row],[loc of mdi]],Table4[[#This Row],[loc of space after mdi]]-Table4[[#This Row],[loc of mdi]]),"")</f>
        <v/>
      </c>
      <c r="H52" s="6" t="str">
        <f>IF(COUNTIFS(entities[entity_id],Table4[[#This Row],[Entity]])=1,"yes","missing from 'Entities' tab")</f>
        <v>yes</v>
      </c>
      <c r="I52" t="str">
        <f>LEFT(Table4[[#This Row],[Entity]],FIND(".",Table4[[#This Row],[Entity]])-1)</f>
        <v>device_tracker</v>
      </c>
      <c r="J52" t="str">
        <f>MID(Table4[[#This Row],[Entity]],FIND(".",Table4[[#This Row],[Entity]])+1,999)</f>
        <v>daniel_laptop</v>
      </c>
    </row>
    <row r="53" spans="2:10" x14ac:dyDescent="0.45">
      <c r="B53" t="s">
        <v>103</v>
      </c>
      <c r="C53" t="s">
        <v>93</v>
      </c>
      <c r="E53" t="str">
        <f>IFERROR(FIND("mdi:",Table4[[#This Row],[Attributes]]),"")</f>
        <v/>
      </c>
      <c r="F53" t="str">
        <f>IF(Table4[[#This Row],[loc of mdi]]="","",IFERROR(FIND(" ",Table4[[#This Row],[Attributes]],Table4[[#This Row],[loc of mdi]]+3),LEN(Table4[[#This Row],[Attributes]])+1))</f>
        <v/>
      </c>
      <c r="G53" t="str">
        <f>IFERROR(MID(Table4[[#This Row],[Attributes]],Table4[[#This Row],[loc of mdi]],Table4[[#This Row],[loc of space after mdi]]-Table4[[#This Row],[loc of mdi]]),"")</f>
        <v/>
      </c>
      <c r="H53" s="6" t="str">
        <f>IF(COUNTIFS(entities[entity_id],Table4[[#This Row],[Entity]])=1,"yes","missing from 'Entities' tab")</f>
        <v>yes</v>
      </c>
      <c r="I53" t="str">
        <f>LEFT(Table4[[#This Row],[Entity]],FIND(".",Table4[[#This Row],[Entity]])-1)</f>
        <v>device_tracker</v>
      </c>
      <c r="J53" t="str">
        <f>MID(Table4[[#This Row],[Entity]],FIND(".",Table4[[#This Row],[Entity]])+1,999)</f>
        <v>daniel_phone</v>
      </c>
    </row>
    <row r="54" spans="2:10" x14ac:dyDescent="0.45">
      <c r="B54" t="s">
        <v>104</v>
      </c>
      <c r="C54" t="s">
        <v>100</v>
      </c>
      <c r="E54" t="str">
        <f>IFERROR(FIND("mdi:",Table4[[#This Row],[Attributes]]),"")</f>
        <v/>
      </c>
      <c r="F54" t="str">
        <f>IF(Table4[[#This Row],[loc of mdi]]="","",IFERROR(FIND(" ",Table4[[#This Row],[Attributes]],Table4[[#This Row],[loc of mdi]]+3),LEN(Table4[[#This Row],[Attributes]])+1))</f>
        <v/>
      </c>
      <c r="G54" t="str">
        <f>IFERROR(MID(Table4[[#This Row],[Attributes]],Table4[[#This Row],[loc of mdi]],Table4[[#This Row],[loc of space after mdi]]-Table4[[#This Row],[loc of mdi]]),"")</f>
        <v/>
      </c>
      <c r="H54" s="6" t="str">
        <f>IF(COUNTIFS(entities[entity_id],Table4[[#This Row],[Entity]])=1,"yes","missing from 'Entities' tab")</f>
        <v>yes</v>
      </c>
      <c r="I54" t="str">
        <f>LEFT(Table4[[#This Row],[Entity]],FIND(".",Table4[[#This Row],[Entity]])-1)</f>
        <v>device_tracker</v>
      </c>
      <c r="J54" t="str">
        <f>MID(Table4[[#This Row],[Entity]],FIND(".",Table4[[#This Row],[Entity]])+1,999)</f>
        <v>echo_dot</v>
      </c>
    </row>
    <row r="55" spans="2:10" x14ac:dyDescent="0.45">
      <c r="B55" t="s">
        <v>836</v>
      </c>
      <c r="C55" t="s">
        <v>93</v>
      </c>
      <c r="E55" t="str">
        <f>IFERROR(FIND("mdi:",Table4[[#This Row],[Attributes]]),"")</f>
        <v/>
      </c>
      <c r="F55" t="str">
        <f>IF(Table4[[#This Row],[loc of mdi]]="","",IFERROR(FIND(" ",Table4[[#This Row],[Attributes]],Table4[[#This Row],[loc of mdi]]+3),LEN(Table4[[#This Row],[Attributes]])+1))</f>
        <v/>
      </c>
      <c r="G55" t="str">
        <f>IFERROR(MID(Table4[[#This Row],[Attributes]],Table4[[#This Row],[loc of mdi]],Table4[[#This Row],[loc of space after mdi]]-Table4[[#This Row],[loc of mdi]]),"")</f>
        <v/>
      </c>
      <c r="H55" s="6" t="str">
        <f>IF(COUNTIFS(entities[entity_id],Table4[[#This Row],[Entity]])=1,"yes","missing from 'Entities' tab")</f>
        <v>yes</v>
      </c>
      <c r="I55" t="str">
        <f>LEFT(Table4[[#This Row],[Entity]],FIND(".",Table4[[#This Row],[Entity]])-1)</f>
        <v>device_tracker</v>
      </c>
      <c r="J55" t="str">
        <f>MID(Table4[[#This Row],[Entity]],FIND(".",Table4[[#This Row],[Entity]])+1,999)</f>
        <v>echo_tap</v>
      </c>
    </row>
    <row r="56" spans="2:10" x14ac:dyDescent="0.45">
      <c r="B56" t="s">
        <v>105</v>
      </c>
      <c r="C56" t="s">
        <v>93</v>
      </c>
      <c r="E56" t="str">
        <f>IFERROR(FIND("mdi:",Table4[[#This Row],[Attributes]]),"")</f>
        <v/>
      </c>
      <c r="F56" t="str">
        <f>IF(Table4[[#This Row],[loc of mdi]]="","",IFERROR(FIND(" ",Table4[[#This Row],[Attributes]],Table4[[#This Row],[loc of mdi]]+3),LEN(Table4[[#This Row],[Attributes]])+1))</f>
        <v/>
      </c>
      <c r="G56" t="str">
        <f>IFERROR(MID(Table4[[#This Row],[Attributes]],Table4[[#This Row],[loc of mdi]],Table4[[#This Row],[loc of space after mdi]]-Table4[[#This Row],[loc of mdi]]),"")</f>
        <v/>
      </c>
      <c r="H56" s="6" t="str">
        <f>IF(COUNTIFS(entities[entity_id],Table4[[#This Row],[Entity]])=1,"yes","missing from 'Entities' tab")</f>
        <v>yes</v>
      </c>
      <c r="I56" t="str">
        <f>LEFT(Table4[[#This Row],[Entity]],FIND(".",Table4[[#This Row],[Entity]])-1)</f>
        <v>device_tracker</v>
      </c>
      <c r="J56" t="str">
        <f>MID(Table4[[#This Row],[Entity]],FIND(".",Table4[[#This Row],[Entity]])+1,999)</f>
        <v>gear_fit_2</v>
      </c>
    </row>
    <row r="57" spans="2:10" x14ac:dyDescent="0.45">
      <c r="B57" t="s">
        <v>106</v>
      </c>
      <c r="C57" t="s">
        <v>100</v>
      </c>
      <c r="E57" t="str">
        <f>IFERROR(FIND("mdi:",Table4[[#This Row],[Attributes]]),"")</f>
        <v/>
      </c>
      <c r="F57" t="str">
        <f>IF(Table4[[#This Row],[loc of mdi]]="","",IFERROR(FIND(" ",Table4[[#This Row],[Attributes]],Table4[[#This Row],[loc of mdi]]+3),LEN(Table4[[#This Row],[Attributes]])+1))</f>
        <v/>
      </c>
      <c r="G57" t="str">
        <f>IFERROR(MID(Table4[[#This Row],[Attributes]],Table4[[#This Row],[loc of mdi]],Table4[[#This Row],[loc of space after mdi]]-Table4[[#This Row],[loc of mdi]]),"")</f>
        <v/>
      </c>
      <c r="H57" s="6" t="str">
        <f>IF(COUNTIFS(entities[entity_id],Table4[[#This Row],[Entity]])=1,"yes","missing from 'Entities' tab")</f>
        <v>yes</v>
      </c>
      <c r="I57" t="str">
        <f>LEFT(Table4[[#This Row],[Entity]],FIND(".",Table4[[#This Row],[Entity]])-1)</f>
        <v>device_tracker</v>
      </c>
      <c r="J57" t="str">
        <f>MID(Table4[[#This Row],[Entity]],FIND(".",Table4[[#This Row],[Entity]])+1,999)</f>
        <v>growler</v>
      </c>
    </row>
    <row r="58" spans="2:10" x14ac:dyDescent="0.45">
      <c r="B58" t="s">
        <v>107</v>
      </c>
      <c r="C58" t="s">
        <v>93</v>
      </c>
      <c r="E58" t="str">
        <f>IFERROR(FIND("mdi:",Table4[[#This Row],[Attributes]]),"")</f>
        <v/>
      </c>
      <c r="F58" t="str">
        <f>IF(Table4[[#This Row],[loc of mdi]]="","",IFERROR(FIND(" ",Table4[[#This Row],[Attributes]],Table4[[#This Row],[loc of mdi]]+3),LEN(Table4[[#This Row],[Attributes]])+1))</f>
        <v/>
      </c>
      <c r="G58" t="str">
        <f>IFERROR(MID(Table4[[#This Row],[Attributes]],Table4[[#This Row],[loc of mdi]],Table4[[#This Row],[loc of space after mdi]]-Table4[[#This Row],[loc of mdi]]),"")</f>
        <v/>
      </c>
      <c r="H58" s="6" t="str">
        <f>IF(COUNTIFS(entities[entity_id],Table4[[#This Row],[Entity]])=1,"yes","missing from 'Entities' tab")</f>
        <v>yes</v>
      </c>
      <c r="I58" t="str">
        <f>LEFT(Table4[[#This Row],[Entity]],FIND(".",Table4[[#This Row],[Entity]])-1)</f>
        <v>device_tracker</v>
      </c>
      <c r="J58" t="str">
        <f>MID(Table4[[#This Row],[Entity]],FIND(".",Table4[[#This Row],[Entity]])+1,999)</f>
        <v>hue_hub</v>
      </c>
    </row>
    <row r="59" spans="2:10" x14ac:dyDescent="0.45">
      <c r="B59" t="s">
        <v>108</v>
      </c>
      <c r="C59" t="s">
        <v>100</v>
      </c>
      <c r="E59" t="str">
        <f>IFERROR(FIND("mdi:",Table4[[#This Row],[Attributes]]),"")</f>
        <v/>
      </c>
      <c r="F59" t="str">
        <f>IF(Table4[[#This Row],[loc of mdi]]="","",IFERROR(FIND(" ",Table4[[#This Row],[Attributes]],Table4[[#This Row],[loc of mdi]]+3),LEN(Table4[[#This Row],[Attributes]])+1))</f>
        <v/>
      </c>
      <c r="G59" t="str">
        <f>IFERROR(MID(Table4[[#This Row],[Attributes]],Table4[[#This Row],[loc of mdi]],Table4[[#This Row],[loc of space after mdi]]-Table4[[#This Row],[loc of mdi]]),"")</f>
        <v/>
      </c>
      <c r="H59" s="6" t="str">
        <f>IF(COUNTIFS(entities[entity_id],Table4[[#This Row],[Entity]])=1,"yes","missing from 'Entities' tab")</f>
        <v>yes</v>
      </c>
      <c r="I59" t="str">
        <f>LEFT(Table4[[#This Row],[Entity]],FIND(".",Table4[[#This Row],[Entity]])-1)</f>
        <v>device_tracker</v>
      </c>
      <c r="J59" t="str">
        <f>MID(Table4[[#This Row],[Entity]],FIND(".",Table4[[#This Row],[Entity]])+1,999)</f>
        <v>humvee</v>
      </c>
    </row>
    <row r="60" spans="2:10" x14ac:dyDescent="0.45">
      <c r="B60" t="s">
        <v>109</v>
      </c>
      <c r="C60" t="s">
        <v>93</v>
      </c>
      <c r="E60" t="str">
        <f>IFERROR(FIND("mdi:",Table4[[#This Row],[Attributes]]),"")</f>
        <v/>
      </c>
      <c r="F60" t="str">
        <f>IF(Table4[[#This Row],[loc of mdi]]="","",IFERROR(FIND(" ",Table4[[#This Row],[Attributes]],Table4[[#This Row],[loc of mdi]]+3),LEN(Table4[[#This Row],[Attributes]])+1))</f>
        <v/>
      </c>
      <c r="G60" t="str">
        <f>IFERROR(MID(Table4[[#This Row],[Attributes]],Table4[[#This Row],[loc of mdi]],Table4[[#This Row],[loc of space after mdi]]-Table4[[#This Row],[loc of mdi]]),"")</f>
        <v/>
      </c>
      <c r="H60" s="6" t="str">
        <f>IF(COUNTIFS(entities[entity_id],Table4[[#This Row],[Entity]])=1,"yes","missing from 'Entities' tab")</f>
        <v>yes</v>
      </c>
      <c r="I60" t="str">
        <f>LEFT(Table4[[#This Row],[Entity]],FIND(".",Table4[[#This Row],[Entity]])-1)</f>
        <v>device_tracker</v>
      </c>
      <c r="J60" t="str">
        <f>MID(Table4[[#This Row],[Entity]],FIND(".",Table4[[#This Row],[Entity]])+1,999)</f>
        <v>jeep</v>
      </c>
    </row>
    <row r="61" spans="2:10" x14ac:dyDescent="0.45">
      <c r="B61" t="s">
        <v>110</v>
      </c>
      <c r="C61" t="s">
        <v>100</v>
      </c>
      <c r="E61" t="str">
        <f>IFERROR(FIND("mdi:",Table4[[#This Row],[Attributes]]),"")</f>
        <v/>
      </c>
      <c r="F61" t="str">
        <f>IF(Table4[[#This Row],[loc of mdi]]="","",IFERROR(FIND(" ",Table4[[#This Row],[Attributes]],Table4[[#This Row],[loc of mdi]]+3),LEN(Table4[[#This Row],[Attributes]])+1))</f>
        <v/>
      </c>
      <c r="G61" t="str">
        <f>IFERROR(MID(Table4[[#This Row],[Attributes]],Table4[[#This Row],[loc of mdi]],Table4[[#This Row],[loc of space after mdi]]-Table4[[#This Row],[loc of mdi]]),"")</f>
        <v/>
      </c>
      <c r="H61" s="6" t="str">
        <f>IF(COUNTIFS(entities[entity_id],Table4[[#This Row],[Entity]])=1,"yes","missing from 'Entities' tab")</f>
        <v>yes</v>
      </c>
      <c r="I61" t="str">
        <f>LEFT(Table4[[#This Row],[Entity]],FIND(".",Table4[[#This Row],[Entity]])-1)</f>
        <v>device_tracker</v>
      </c>
      <c r="J61" t="str">
        <f>MID(Table4[[#This Row],[Entity]],FIND(".",Table4[[#This Row],[Entity]])+1,999)</f>
        <v>jtac</v>
      </c>
    </row>
    <row r="62" spans="2:10" x14ac:dyDescent="0.45">
      <c r="B62" t="s">
        <v>111</v>
      </c>
      <c r="C62" t="s">
        <v>93</v>
      </c>
      <c r="E62" t="str">
        <f>IFERROR(FIND("mdi:",Table4[[#This Row],[Attributes]]),"")</f>
        <v/>
      </c>
      <c r="F62" t="str">
        <f>IF(Table4[[#This Row],[loc of mdi]]="","",IFERROR(FIND(" ",Table4[[#This Row],[Attributes]],Table4[[#This Row],[loc of mdi]]+3),LEN(Table4[[#This Row],[Attributes]])+1))</f>
        <v/>
      </c>
      <c r="G62" t="str">
        <f>IFERROR(MID(Table4[[#This Row],[Attributes]],Table4[[#This Row],[loc of mdi]],Table4[[#This Row],[loc of space after mdi]]-Table4[[#This Row],[loc of mdi]]),"")</f>
        <v/>
      </c>
      <c r="H62" s="6" t="str">
        <f>IF(COUNTIFS(entities[entity_id],Table4[[#This Row],[Entity]])=1,"yes","missing from 'Entities' tab")</f>
        <v>yes</v>
      </c>
      <c r="I62" t="str">
        <f>LEFT(Table4[[#This Row],[Entity]],FIND(".",Table4[[#This Row],[Entity]])-1)</f>
        <v>device_tracker</v>
      </c>
      <c r="J62" t="str">
        <f>MID(Table4[[#This Row],[Entity]],FIND(".",Table4[[#This Row],[Entity]])+1,999)</f>
        <v>raspi_vpn</v>
      </c>
    </row>
    <row r="63" spans="2:10" x14ac:dyDescent="0.45">
      <c r="B63" t="s">
        <v>112</v>
      </c>
      <c r="C63" t="s">
        <v>100</v>
      </c>
      <c r="E63" t="str">
        <f>IFERROR(FIND("mdi:",Table4[[#This Row],[Attributes]]),"")</f>
        <v/>
      </c>
      <c r="F63" t="str">
        <f>IF(Table4[[#This Row],[loc of mdi]]="","",IFERROR(FIND(" ",Table4[[#This Row],[Attributes]],Table4[[#This Row],[loc of mdi]]+3),LEN(Table4[[#This Row],[Attributes]])+1))</f>
        <v/>
      </c>
      <c r="G63" t="str">
        <f>IFERROR(MID(Table4[[#This Row],[Attributes]],Table4[[#This Row],[loc of mdi]],Table4[[#This Row],[loc of space after mdi]]-Table4[[#This Row],[loc of mdi]]),"")</f>
        <v/>
      </c>
      <c r="H63" s="6" t="str">
        <f>IF(COUNTIFS(entities[entity_id],Table4[[#This Row],[Entity]])=1,"yes","missing from 'Entities' tab")</f>
        <v>yes</v>
      </c>
      <c r="I63" t="str">
        <f>LEFT(Table4[[#This Row],[Entity]],FIND(".",Table4[[#This Row],[Entity]])-1)</f>
        <v>device_tracker</v>
      </c>
      <c r="J63" t="str">
        <f>MID(Table4[[#This Row],[Entity]],FIND(".",Table4[[#This Row],[Entity]])+1,999)</f>
        <v>ron_phone</v>
      </c>
    </row>
    <row r="64" spans="2:10" x14ac:dyDescent="0.45">
      <c r="B64" t="s">
        <v>113</v>
      </c>
      <c r="C64" t="s">
        <v>100</v>
      </c>
      <c r="E64" t="str">
        <f>IFERROR(FIND("mdi:",Table4[[#This Row],[Attributes]]),"")</f>
        <v/>
      </c>
      <c r="F64" t="str">
        <f>IF(Table4[[#This Row],[loc of mdi]]="","",IFERROR(FIND(" ",Table4[[#This Row],[Attributes]],Table4[[#This Row],[loc of mdi]]+3),LEN(Table4[[#This Row],[Attributes]])+1))</f>
        <v/>
      </c>
      <c r="G64" t="str">
        <f>IFERROR(MID(Table4[[#This Row],[Attributes]],Table4[[#This Row],[loc of mdi]],Table4[[#This Row],[loc of space after mdi]]-Table4[[#This Row],[loc of mdi]]),"")</f>
        <v/>
      </c>
      <c r="H64" s="6" t="str">
        <f>IF(COUNTIFS(entities[entity_id],Table4[[#This Row],[Entity]])=1,"yes","missing from 'Entities' tab")</f>
        <v>yes</v>
      </c>
      <c r="I64" t="str">
        <f>LEFT(Table4[[#This Row],[Entity]],FIND(".",Table4[[#This Row],[Entity]])-1)</f>
        <v>device_tracker</v>
      </c>
      <c r="J64" t="str">
        <f>MID(Table4[[#This Row],[Entity]],FIND(".",Table4[[#This Row],[Entity]])+1,999)</f>
        <v>tank</v>
      </c>
    </row>
    <row r="65" spans="2:10" x14ac:dyDescent="0.45">
      <c r="B65" t="s">
        <v>114</v>
      </c>
      <c r="C65" t="s">
        <v>93</v>
      </c>
      <c r="E65" t="str">
        <f>IFERROR(FIND("mdi:",Table4[[#This Row],[Attributes]]),"")</f>
        <v/>
      </c>
      <c r="F65" t="str">
        <f>IF(Table4[[#This Row],[loc of mdi]]="","",IFERROR(FIND(" ",Table4[[#This Row],[Attributes]],Table4[[#This Row],[loc of mdi]]+3),LEN(Table4[[#This Row],[Attributes]])+1))</f>
        <v/>
      </c>
      <c r="G65" t="str">
        <f>IFERROR(MID(Table4[[#This Row],[Attributes]],Table4[[#This Row],[loc of mdi]],Table4[[#This Row],[loc of space after mdi]]-Table4[[#This Row],[loc of mdi]]),"")</f>
        <v/>
      </c>
      <c r="H65" s="6" t="str">
        <f>IF(COUNTIFS(entities[entity_id],Table4[[#This Row],[Entity]])=1,"yes","missing from 'Entities' tab")</f>
        <v>yes</v>
      </c>
      <c r="I65" t="str">
        <f>LEFT(Table4[[#This Row],[Entity]],FIND(".",Table4[[#This Row],[Entity]])-1)</f>
        <v>device_tracker</v>
      </c>
      <c r="J65" t="str">
        <f>MID(Table4[[#This Row],[Entity]],FIND(".",Table4[[#This Row],[Entity]])+1,999)</f>
        <v>tplink_switch</v>
      </c>
    </row>
    <row r="66" spans="2:10" x14ac:dyDescent="0.45">
      <c r="B66" t="s">
        <v>115</v>
      </c>
      <c r="C66" t="s">
        <v>93</v>
      </c>
      <c r="E66" t="str">
        <f>IFERROR(FIND("mdi:",Table4[[#This Row],[Attributes]]),"")</f>
        <v/>
      </c>
      <c r="F66" t="str">
        <f>IF(Table4[[#This Row],[loc of mdi]]="","",IFERROR(FIND(" ",Table4[[#This Row],[Attributes]],Table4[[#This Row],[loc of mdi]]+3),LEN(Table4[[#This Row],[Attributes]])+1))</f>
        <v/>
      </c>
      <c r="G66" t="str">
        <f>IFERROR(MID(Table4[[#This Row],[Attributes]],Table4[[#This Row],[loc of mdi]],Table4[[#This Row],[loc of space after mdi]]-Table4[[#This Row],[loc of mdi]]),"")</f>
        <v/>
      </c>
      <c r="H66" s="6" t="str">
        <f>IF(COUNTIFS(entities[entity_id],Table4[[#This Row],[Entity]])=1,"yes","missing from 'Entities' tab")</f>
        <v>yes</v>
      </c>
      <c r="I66" t="str">
        <f>LEFT(Table4[[#This Row],[Entity]],FIND(".",Table4[[#This Row],[Entity]])-1)</f>
        <v>device_tracker</v>
      </c>
      <c r="J66" t="str">
        <f>MID(Table4[[#This Row],[Entity]],FIND(".",Table4[[#This Row],[Entity]])+1,999)</f>
        <v>vera_lite</v>
      </c>
    </row>
    <row r="67" spans="2:10" x14ac:dyDescent="0.45">
      <c r="B67" t="s">
        <v>116</v>
      </c>
      <c r="C67" t="s">
        <v>100</v>
      </c>
      <c r="E67" t="str">
        <f>IFERROR(FIND("mdi:",Table4[[#This Row],[Attributes]]),"")</f>
        <v/>
      </c>
      <c r="F67" t="str">
        <f>IF(Table4[[#This Row],[loc of mdi]]="","",IFERROR(FIND(" ",Table4[[#This Row],[Attributes]],Table4[[#This Row],[loc of mdi]]+3),LEN(Table4[[#This Row],[Attributes]])+1))</f>
        <v/>
      </c>
      <c r="G67" t="str">
        <f>IFERROR(MID(Table4[[#This Row],[Attributes]],Table4[[#This Row],[loc of mdi]],Table4[[#This Row],[loc of space after mdi]]-Table4[[#This Row],[loc of mdi]]),"")</f>
        <v/>
      </c>
      <c r="H67" s="6" t="str">
        <f>IF(COUNTIFS(entities[entity_id],Table4[[#This Row],[Entity]])=1,"yes","missing from 'Entities' tab")</f>
        <v>yes</v>
      </c>
      <c r="I67" t="str">
        <f>LEFT(Table4[[#This Row],[Entity]],FIND(".",Table4[[#This Row],[Entity]])-1)</f>
        <v>device_tracker</v>
      </c>
      <c r="J67" t="str">
        <f>MID(Table4[[#This Row],[Entity]],FIND(".",Table4[[#This Row],[Entity]])+1,999)</f>
        <v>wf2ir</v>
      </c>
    </row>
    <row r="68" spans="2:10" x14ac:dyDescent="0.45">
      <c r="B68" t="s">
        <v>117</v>
      </c>
      <c r="C68" t="s">
        <v>93</v>
      </c>
      <c r="E68" t="str">
        <f>IFERROR(FIND("mdi:",Table4[[#This Row],[Attributes]]),"")</f>
        <v/>
      </c>
      <c r="F68" t="str">
        <f>IF(Table4[[#This Row],[loc of mdi]]="","",IFERROR(FIND(" ",Table4[[#This Row],[Attributes]],Table4[[#This Row],[loc of mdi]]+3),LEN(Table4[[#This Row],[Attributes]])+1))</f>
        <v/>
      </c>
      <c r="G68" t="str">
        <f>IFERROR(MID(Table4[[#This Row],[Attributes]],Table4[[#This Row],[loc of mdi]],Table4[[#This Row],[loc of space after mdi]]-Table4[[#This Row],[loc of mdi]]),"")</f>
        <v/>
      </c>
      <c r="H68" s="6" t="str">
        <f>IF(COUNTIFS(entities[entity_id],Table4[[#This Row],[Entity]])=1,"yes","missing from 'Entities' tab")</f>
        <v>yes</v>
      </c>
      <c r="I68" t="str">
        <f>LEFT(Table4[[#This Row],[Entity]],FIND(".",Table4[[#This Row],[Entity]])-1)</f>
        <v>device_tracker</v>
      </c>
      <c r="J68" t="str">
        <f>MID(Table4[[#This Row],[Entity]],FIND(".",Table4[[#This Row],[Entity]])+1,999)</f>
        <v>withings_scale</v>
      </c>
    </row>
    <row r="69" spans="2:10" x14ac:dyDescent="0.45">
      <c r="B69" t="s">
        <v>118</v>
      </c>
      <c r="C69" t="s">
        <v>7</v>
      </c>
      <c r="E69" t="str">
        <f>IFERROR(FIND("mdi:",Table4[[#This Row],[Attributes]]),"")</f>
        <v/>
      </c>
      <c r="F69" t="str">
        <f>IF(Table4[[#This Row],[loc of mdi]]="","",IFERROR(FIND(" ",Table4[[#This Row],[Attributes]],Table4[[#This Row],[loc of mdi]]+3),LEN(Table4[[#This Row],[Attributes]])+1))</f>
        <v/>
      </c>
      <c r="G69" t="str">
        <f>IFERROR(MID(Table4[[#This Row],[Attributes]],Table4[[#This Row],[loc of mdi]],Table4[[#This Row],[loc of space after mdi]]-Table4[[#This Row],[loc of mdi]]),"")</f>
        <v/>
      </c>
      <c r="H69" s="6" t="str">
        <f>IF(COUNTIFS(entities[entity_id],Table4[[#This Row],[Entity]])=1,"yes","missing from 'Entities' tab")</f>
        <v>yes</v>
      </c>
      <c r="I69" t="str">
        <f>LEFT(Table4[[#This Row],[Entity]],FIND(".",Table4[[#This Row],[Entity]])-1)</f>
        <v>group</v>
      </c>
      <c r="J69" t="str">
        <f>MID(Table4[[#This Row],[Entity]],FIND(".",Table4[[#This Row],[Entity]])+1,999)</f>
        <v>alarm_clock</v>
      </c>
    </row>
    <row r="70" spans="2:10" x14ac:dyDescent="0.45">
      <c r="B70" t="s">
        <v>119</v>
      </c>
      <c r="C70" t="s">
        <v>7</v>
      </c>
      <c r="E70" t="str">
        <f>IFERROR(FIND("mdi:",Table4[[#This Row],[Attributes]]),"")</f>
        <v/>
      </c>
      <c r="F70" t="str">
        <f>IF(Table4[[#This Row],[loc of mdi]]="","",IFERROR(FIND(" ",Table4[[#This Row],[Attributes]],Table4[[#This Row],[loc of mdi]]+3),LEN(Table4[[#This Row],[Attributes]])+1))</f>
        <v/>
      </c>
      <c r="G70" t="str">
        <f>IFERROR(MID(Table4[[#This Row],[Attributes]],Table4[[#This Row],[loc of mdi]],Table4[[#This Row],[loc of space after mdi]]-Table4[[#This Row],[loc of mdi]]),"")</f>
        <v/>
      </c>
      <c r="H70" s="6" t="str">
        <f>IF(COUNTIFS(entities[entity_id],Table4[[#This Row],[Entity]])=1,"yes","missing from 'Entities' tab")</f>
        <v>yes</v>
      </c>
      <c r="I70" t="str">
        <f>LEFT(Table4[[#This Row],[Entity]],FIND(".",Table4[[#This Row],[Entity]])-1)</f>
        <v>group</v>
      </c>
      <c r="J70" t="str">
        <f>MID(Table4[[#This Row],[Entity]],FIND(".",Table4[[#This Row],[Entity]])+1,999)</f>
        <v>all_automations</v>
      </c>
    </row>
    <row r="71" spans="2:10" x14ac:dyDescent="0.45">
      <c r="B71" t="s">
        <v>120</v>
      </c>
      <c r="C71" t="s">
        <v>100</v>
      </c>
      <c r="E71" t="str">
        <f>IFERROR(FIND("mdi:",Table4[[#This Row],[Attributes]]),"")</f>
        <v/>
      </c>
      <c r="F71" t="str">
        <f>IF(Table4[[#This Row],[loc of mdi]]="","",IFERROR(FIND(" ",Table4[[#This Row],[Attributes]],Table4[[#This Row],[loc of mdi]]+3),LEN(Table4[[#This Row],[Attributes]])+1))</f>
        <v/>
      </c>
      <c r="G71" t="str">
        <f>IFERROR(MID(Table4[[#This Row],[Attributes]],Table4[[#This Row],[loc of mdi]],Table4[[#This Row],[loc of space after mdi]]-Table4[[#This Row],[loc of mdi]]),"")</f>
        <v/>
      </c>
      <c r="H71" s="6" t="str">
        <f>IF(COUNTIFS(entities[entity_id],Table4[[#This Row],[Entity]])=1,"yes","missing from 'Entities' tab")</f>
        <v>yes</v>
      </c>
      <c r="I71" t="str">
        <f>LEFT(Table4[[#This Row],[Entity]],FIND(".",Table4[[#This Row],[Entity]])-1)</f>
        <v>group</v>
      </c>
      <c r="J71" t="str">
        <f>MID(Table4[[#This Row],[Entity]],FIND(".",Table4[[#This Row],[Entity]])+1,999)</f>
        <v>all_devices</v>
      </c>
    </row>
    <row r="72" spans="2:10" x14ac:dyDescent="0.45">
      <c r="B72" t="s">
        <v>121</v>
      </c>
      <c r="C72" t="s">
        <v>7</v>
      </c>
      <c r="E72" t="str">
        <f>IFERROR(FIND("mdi:",Table4[[#This Row],[Attributes]]),"")</f>
        <v/>
      </c>
      <c r="F72" t="str">
        <f>IF(Table4[[#This Row],[loc of mdi]]="","",IFERROR(FIND(" ",Table4[[#This Row],[Attributes]],Table4[[#This Row],[loc of mdi]]+3),LEN(Table4[[#This Row],[Attributes]])+1))</f>
        <v/>
      </c>
      <c r="G72" t="str">
        <f>IFERROR(MID(Table4[[#This Row],[Attributes]],Table4[[#This Row],[loc of mdi]],Table4[[#This Row],[loc of space after mdi]]-Table4[[#This Row],[loc of mdi]]),"")</f>
        <v/>
      </c>
      <c r="H72" s="6" t="str">
        <f>IF(COUNTIFS(entities[entity_id],Table4[[#This Row],[Entity]])=1,"yes","missing from 'Entities' tab")</f>
        <v>yes</v>
      </c>
      <c r="I72" t="str">
        <f>LEFT(Table4[[#This Row],[Entity]],FIND(".",Table4[[#This Row],[Entity]])-1)</f>
        <v>group</v>
      </c>
      <c r="J72" t="str">
        <f>MID(Table4[[#This Row],[Entity]],FIND(".",Table4[[#This Row],[Entity]])+1,999)</f>
        <v>all_lights</v>
      </c>
    </row>
    <row r="73" spans="2:10" x14ac:dyDescent="0.45">
      <c r="B73" t="s">
        <v>761</v>
      </c>
      <c r="C73" t="s">
        <v>91</v>
      </c>
      <c r="E73" t="str">
        <f>IFERROR(FIND("mdi:",Table4[[#This Row],[Attributes]]),"")</f>
        <v/>
      </c>
      <c r="F73" t="str">
        <f>IF(Table4[[#This Row],[loc of mdi]]="","",IFERROR(FIND(" ",Table4[[#This Row],[Attributes]],Table4[[#This Row],[loc of mdi]]+3),LEN(Table4[[#This Row],[Attributes]])+1))</f>
        <v/>
      </c>
      <c r="G73" t="str">
        <f>IFERROR(MID(Table4[[#This Row],[Attributes]],Table4[[#This Row],[loc of mdi]],Table4[[#This Row],[loc of space after mdi]]-Table4[[#This Row],[loc of mdi]]),"")</f>
        <v/>
      </c>
      <c r="H73" s="6" t="str">
        <f>IF(COUNTIFS(entities[entity_id],Table4[[#This Row],[Entity]])=1,"yes","missing from 'Entities' tab")</f>
        <v>yes</v>
      </c>
      <c r="I73" t="str">
        <f>LEFT(Table4[[#This Row],[Entity]],FIND(".",Table4[[#This Row],[Entity]])-1)</f>
        <v>group</v>
      </c>
      <c r="J73" t="str">
        <f>MID(Table4[[#This Row],[Entity]],FIND(".",Table4[[#This Row],[Entity]])+1,999)</f>
        <v>all_remotes</v>
      </c>
    </row>
    <row r="74" spans="2:10" x14ac:dyDescent="0.45">
      <c r="B74" t="s">
        <v>122</v>
      </c>
      <c r="C74" t="s">
        <v>91</v>
      </c>
      <c r="E74" t="str">
        <f>IFERROR(FIND("mdi:",Table4[[#This Row],[Attributes]]),"")</f>
        <v/>
      </c>
      <c r="F74" t="str">
        <f>IF(Table4[[#This Row],[loc of mdi]]="","",IFERROR(FIND(" ",Table4[[#This Row],[Attributes]],Table4[[#This Row],[loc of mdi]]+3),LEN(Table4[[#This Row],[Attributes]])+1))</f>
        <v/>
      </c>
      <c r="G74" t="str">
        <f>IFERROR(MID(Table4[[#This Row],[Attributes]],Table4[[#This Row],[loc of mdi]],Table4[[#This Row],[loc of space after mdi]]-Table4[[#This Row],[loc of mdi]]),"")</f>
        <v/>
      </c>
      <c r="H74" s="6" t="str">
        <f>IF(COUNTIFS(entities[entity_id],Table4[[#This Row],[Entity]])=1,"yes","missing from 'Entities' tab")</f>
        <v>yes</v>
      </c>
      <c r="I74" t="str">
        <f>LEFT(Table4[[#This Row],[Entity]],FIND(".",Table4[[#This Row],[Entity]])-1)</f>
        <v>group</v>
      </c>
      <c r="J74" t="str">
        <f>MID(Table4[[#This Row],[Entity]],FIND(".",Table4[[#This Row],[Entity]])+1,999)</f>
        <v>all_scripts</v>
      </c>
    </row>
    <row r="75" spans="2:10" x14ac:dyDescent="0.45">
      <c r="B75" t="s">
        <v>123</v>
      </c>
      <c r="C75" t="s">
        <v>7</v>
      </c>
      <c r="E75" t="str">
        <f>IFERROR(FIND("mdi:",Table4[[#This Row],[Attributes]]),"")</f>
        <v/>
      </c>
      <c r="F75" t="str">
        <f>IF(Table4[[#This Row],[loc of mdi]]="","",IFERROR(FIND(" ",Table4[[#This Row],[Attributes]],Table4[[#This Row],[loc of mdi]]+3),LEN(Table4[[#This Row],[Attributes]])+1))</f>
        <v/>
      </c>
      <c r="G75" t="str">
        <f>IFERROR(MID(Table4[[#This Row],[Attributes]],Table4[[#This Row],[loc of mdi]],Table4[[#This Row],[loc of space after mdi]]-Table4[[#This Row],[loc of mdi]]),"")</f>
        <v/>
      </c>
      <c r="H75" s="6" t="str">
        <f>IF(COUNTIFS(entities[entity_id],Table4[[#This Row],[Entity]])=1,"yes","missing from 'Entities' tab")</f>
        <v>yes</v>
      </c>
      <c r="I75" t="str">
        <f>LEFT(Table4[[#This Row],[Entity]],FIND(".",Table4[[#This Row],[Entity]])-1)</f>
        <v>group</v>
      </c>
      <c r="J75" t="str">
        <f>MID(Table4[[#This Row],[Entity]],FIND(".",Table4[[#This Row],[Entity]])+1,999)</f>
        <v>all_switches</v>
      </c>
    </row>
    <row r="76" spans="2:10" x14ac:dyDescent="0.45">
      <c r="B76" t="s">
        <v>124</v>
      </c>
      <c r="C76" t="s">
        <v>7</v>
      </c>
      <c r="E76" t="str">
        <f>IFERROR(FIND("mdi:",Table4[[#This Row],[Attributes]]),"")</f>
        <v/>
      </c>
      <c r="F76" t="str">
        <f>IF(Table4[[#This Row],[loc of mdi]]="","",IFERROR(FIND(" ",Table4[[#This Row],[Attributes]],Table4[[#This Row],[loc of mdi]]+3),LEN(Table4[[#This Row],[Attributes]])+1))</f>
        <v/>
      </c>
      <c r="G76" t="str">
        <f>IFERROR(MID(Table4[[#This Row],[Attributes]],Table4[[#This Row],[loc of mdi]],Table4[[#This Row],[loc of space after mdi]]-Table4[[#This Row],[loc of mdi]]),"")</f>
        <v/>
      </c>
      <c r="H76" s="6" t="str">
        <f>IF(COUNTIFS(entities[entity_id],Table4[[#This Row],[Entity]])=1,"yes","missing from 'Entities' tab")</f>
        <v>yes</v>
      </c>
      <c r="I76" t="str">
        <f>LEFT(Table4[[#This Row],[Entity]],FIND(".",Table4[[#This Row],[Entity]])-1)</f>
        <v>group</v>
      </c>
      <c r="J76" t="str">
        <f>MID(Table4[[#This Row],[Entity]],FIND(".",Table4[[#This Row],[Entity]])+1,999)</f>
        <v>automation_almclk</v>
      </c>
    </row>
    <row r="77" spans="2:10" x14ac:dyDescent="0.45">
      <c r="B77" t="s">
        <v>125</v>
      </c>
      <c r="C77" t="s">
        <v>138</v>
      </c>
      <c r="E77" t="str">
        <f>IFERROR(FIND("mdi:",Table4[[#This Row],[Attributes]]),"")</f>
        <v/>
      </c>
      <c r="F77" t="str">
        <f>IF(Table4[[#This Row],[loc of mdi]]="","",IFERROR(FIND(" ",Table4[[#This Row],[Attributes]],Table4[[#This Row],[loc of mdi]]+3),LEN(Table4[[#This Row],[Attributes]])+1))</f>
        <v/>
      </c>
      <c r="G77" t="str">
        <f>IFERROR(MID(Table4[[#This Row],[Attributes]],Table4[[#This Row],[loc of mdi]],Table4[[#This Row],[loc of space after mdi]]-Table4[[#This Row],[loc of mdi]]),"")</f>
        <v/>
      </c>
      <c r="H77" s="6" t="str">
        <f>IF(COUNTIFS(entities[entity_id],Table4[[#This Row],[Entity]])=1,"yes","missing from 'Entities' tab")</f>
        <v>yes</v>
      </c>
      <c r="I77" t="str">
        <f>LEFT(Table4[[#This Row],[Entity]],FIND(".",Table4[[#This Row],[Entity]])-1)</f>
        <v>group</v>
      </c>
      <c r="J77" t="str">
        <f>MID(Table4[[#This Row],[Entity]],FIND(".",Table4[[#This Row],[Entity]])+1,999)</f>
        <v>automation_ifttt</v>
      </c>
    </row>
    <row r="78" spans="2:10" x14ac:dyDescent="0.45">
      <c r="B78" t="s">
        <v>126</v>
      </c>
      <c r="C78" t="s">
        <v>7</v>
      </c>
      <c r="E78" t="str">
        <f>IFERROR(FIND("mdi:",Table4[[#This Row],[Attributes]]),"")</f>
        <v/>
      </c>
      <c r="F78" t="str">
        <f>IF(Table4[[#This Row],[loc of mdi]]="","",IFERROR(FIND(" ",Table4[[#This Row],[Attributes]],Table4[[#This Row],[loc of mdi]]+3),LEN(Table4[[#This Row],[Attributes]])+1))</f>
        <v/>
      </c>
      <c r="G78" t="str">
        <f>IFERROR(MID(Table4[[#This Row],[Attributes]],Table4[[#This Row],[loc of mdi]],Table4[[#This Row],[loc of space after mdi]]-Table4[[#This Row],[loc of mdi]]),"")</f>
        <v/>
      </c>
      <c r="H78" s="6" t="str">
        <f>IF(COUNTIFS(entities[entity_id],Table4[[#This Row],[Entity]])=1,"yes","missing from 'Entities' tab")</f>
        <v>yes</v>
      </c>
      <c r="I78" t="str">
        <f>LEFT(Table4[[#This Row],[Entity]],FIND(".",Table4[[#This Row],[Entity]])-1)</f>
        <v>group</v>
      </c>
      <c r="J78" t="str">
        <f>MID(Table4[[#This Row],[Entity]],FIND(".",Table4[[#This Row],[Entity]])+1,999)</f>
        <v>automation_locaway</v>
      </c>
    </row>
    <row r="79" spans="2:10" x14ac:dyDescent="0.45">
      <c r="B79" t="s">
        <v>127</v>
      </c>
      <c r="C79" t="s">
        <v>7</v>
      </c>
      <c r="E79" t="str">
        <f>IFERROR(FIND("mdi:",Table4[[#This Row],[Attributes]]),"")</f>
        <v/>
      </c>
      <c r="F79" t="str">
        <f>IF(Table4[[#This Row],[loc of mdi]]="","",IFERROR(FIND(" ",Table4[[#This Row],[Attributes]],Table4[[#This Row],[loc of mdi]]+3),LEN(Table4[[#This Row],[Attributes]])+1))</f>
        <v/>
      </c>
      <c r="G79" t="str">
        <f>IFERROR(MID(Table4[[#This Row],[Attributes]],Table4[[#This Row],[loc of mdi]],Table4[[#This Row],[loc of space after mdi]]-Table4[[#This Row],[loc of mdi]]),"")</f>
        <v/>
      </c>
      <c r="H79" s="6" t="str">
        <f>IF(COUNTIFS(entities[entity_id],Table4[[#This Row],[Entity]])=1,"yes","missing from 'Entities' tab")</f>
        <v>yes</v>
      </c>
      <c r="I79" t="str">
        <f>LEFT(Table4[[#This Row],[Entity]],FIND(".",Table4[[#This Row],[Entity]])-1)</f>
        <v>group</v>
      </c>
      <c r="J79" t="str">
        <f>MID(Table4[[#This Row],[Entity]],FIND(".",Table4[[#This Row],[Entity]])+1,999)</f>
        <v>automation_not</v>
      </c>
    </row>
    <row r="80" spans="2:10" x14ac:dyDescent="0.45">
      <c r="B80" t="s">
        <v>128</v>
      </c>
      <c r="C80" t="s">
        <v>7</v>
      </c>
      <c r="E80" t="str">
        <f>IFERROR(FIND("mdi:",Table4[[#This Row],[Attributes]]),"")</f>
        <v/>
      </c>
      <c r="F80" t="str">
        <f>IF(Table4[[#This Row],[loc of mdi]]="","",IFERROR(FIND(" ",Table4[[#This Row],[Attributes]],Table4[[#This Row],[loc of mdi]]+3),LEN(Table4[[#This Row],[Attributes]])+1))</f>
        <v/>
      </c>
      <c r="G80" t="str">
        <f>IFERROR(MID(Table4[[#This Row],[Attributes]],Table4[[#This Row],[loc of mdi]],Table4[[#This Row],[loc of space after mdi]]-Table4[[#This Row],[loc of mdi]]),"")</f>
        <v/>
      </c>
      <c r="H80" s="6" t="str">
        <f>IF(COUNTIFS(entities[entity_id],Table4[[#This Row],[Entity]])=1,"yes","missing from 'Entities' tab")</f>
        <v>yes</v>
      </c>
      <c r="I80" t="str">
        <f>LEFT(Table4[[#This Row],[Entity]],FIND(".",Table4[[#This Row],[Entity]])-1)</f>
        <v>group</v>
      </c>
      <c r="J80" t="str">
        <f>MID(Table4[[#This Row],[Entity]],FIND(".",Table4[[#This Row],[Entity]])+1,999)</f>
        <v>automation_rmbd</v>
      </c>
    </row>
    <row r="81" spans="2:10" x14ac:dyDescent="0.45">
      <c r="B81" t="s">
        <v>129</v>
      </c>
      <c r="C81" t="s">
        <v>7</v>
      </c>
      <c r="E81" t="str">
        <f>IFERROR(FIND("mdi:",Table4[[#This Row],[Attributes]]),"")</f>
        <v/>
      </c>
      <c r="F81" t="str">
        <f>IF(Table4[[#This Row],[loc of mdi]]="","",IFERROR(FIND(" ",Table4[[#This Row],[Attributes]],Table4[[#This Row],[loc of mdi]]+3),LEN(Table4[[#This Row],[Attributes]])+1))</f>
        <v/>
      </c>
      <c r="G81" t="str">
        <f>IFERROR(MID(Table4[[#This Row],[Attributes]],Table4[[#This Row],[loc of mdi]],Table4[[#This Row],[loc of space after mdi]]-Table4[[#This Row],[loc of mdi]]),"")</f>
        <v/>
      </c>
      <c r="H81" s="6" t="str">
        <f>IF(COUNTIFS(entities[entity_id],Table4[[#This Row],[Entity]])=1,"yes","missing from 'Entities' tab")</f>
        <v>yes</v>
      </c>
      <c r="I81" t="str">
        <f>LEFT(Table4[[#This Row],[Entity]],FIND(".",Table4[[#This Row],[Entity]])-1)</f>
        <v>group</v>
      </c>
      <c r="J81" t="str">
        <f>MID(Table4[[#This Row],[Entity]],FIND(".",Table4[[#This Row],[Entity]])+1,999)</f>
        <v>automation_rmlv</v>
      </c>
    </row>
    <row r="82" spans="2:10" x14ac:dyDescent="0.45">
      <c r="B82" t="s">
        <v>130</v>
      </c>
      <c r="C82" t="s">
        <v>7</v>
      </c>
      <c r="E82" t="str">
        <f>IFERROR(FIND("mdi:",Table4[[#This Row],[Attributes]]),"")</f>
        <v/>
      </c>
      <c r="F82" t="str">
        <f>IF(Table4[[#This Row],[loc of mdi]]="","",IFERROR(FIND(" ",Table4[[#This Row],[Attributes]],Table4[[#This Row],[loc of mdi]]+3),LEN(Table4[[#This Row],[Attributes]])+1))</f>
        <v/>
      </c>
      <c r="G82" t="str">
        <f>IFERROR(MID(Table4[[#This Row],[Attributes]],Table4[[#This Row],[loc of mdi]],Table4[[#This Row],[loc of space after mdi]]-Table4[[#This Row],[loc of mdi]]),"")</f>
        <v/>
      </c>
      <c r="H82" s="6" t="str">
        <f>IF(COUNTIFS(entities[entity_id],Table4[[#This Row],[Entity]])=1,"yes","missing from 'Entities' tab")</f>
        <v>yes</v>
      </c>
      <c r="I82" t="str">
        <f>LEFT(Table4[[#This Row],[Entity]],FIND(".",Table4[[#This Row],[Entity]])-1)</f>
        <v>group</v>
      </c>
      <c r="J82" t="str">
        <f>MID(Table4[[#This Row],[Entity]],FIND(".",Table4[[#This Row],[Entity]])+1,999)</f>
        <v>automation_rmlvtv</v>
      </c>
    </row>
    <row r="83" spans="2:10" x14ac:dyDescent="0.45">
      <c r="B83" t="s">
        <v>131</v>
      </c>
      <c r="C83" t="s">
        <v>7</v>
      </c>
      <c r="E83" t="str">
        <f>IFERROR(FIND("mdi:",Table4[[#This Row],[Attributes]]),"")</f>
        <v/>
      </c>
      <c r="F83" t="str">
        <f>IF(Table4[[#This Row],[loc of mdi]]="","",IFERROR(FIND(" ",Table4[[#This Row],[Attributes]],Table4[[#This Row],[loc of mdi]]+3),LEN(Table4[[#This Row],[Attributes]])+1))</f>
        <v/>
      </c>
      <c r="G83" t="str">
        <f>IFERROR(MID(Table4[[#This Row],[Attributes]],Table4[[#This Row],[loc of mdi]],Table4[[#This Row],[loc of space after mdi]]-Table4[[#This Row],[loc of mdi]]),"")</f>
        <v/>
      </c>
      <c r="H83" s="6" t="str">
        <f>IF(COUNTIFS(entities[entity_id],Table4[[#This Row],[Entity]])=1,"yes","missing from 'Entities' tab")</f>
        <v>yes</v>
      </c>
      <c r="I83" t="str">
        <f>LEFT(Table4[[#This Row],[Entity]],FIND(".",Table4[[#This Row],[Entity]])-1)</f>
        <v>group</v>
      </c>
      <c r="J83" t="str">
        <f>MID(Table4[[#This Row],[Entity]],FIND(".",Table4[[#This Row],[Entity]])+1,999)</f>
        <v>automation_statfriend</v>
      </c>
    </row>
    <row r="84" spans="2:10" x14ac:dyDescent="0.45">
      <c r="B84" t="s">
        <v>132</v>
      </c>
      <c r="C84" t="s">
        <v>7</v>
      </c>
      <c r="E84" t="str">
        <f>IFERROR(FIND("mdi:",Table4[[#This Row],[Attributes]]),"")</f>
        <v/>
      </c>
      <c r="F84" t="str">
        <f>IF(Table4[[#This Row],[loc of mdi]]="","",IFERROR(FIND(" ",Table4[[#This Row],[Attributes]],Table4[[#This Row],[loc of mdi]]+3),LEN(Table4[[#This Row],[Attributes]])+1))</f>
        <v/>
      </c>
      <c r="G84" t="str">
        <f>IFERROR(MID(Table4[[#This Row],[Attributes]],Table4[[#This Row],[loc of mdi]],Table4[[#This Row],[loc of space after mdi]]-Table4[[#This Row],[loc of mdi]]),"")</f>
        <v/>
      </c>
      <c r="H84" s="6" t="str">
        <f>IF(COUNTIFS(entities[entity_id],Table4[[#This Row],[Entity]])=1,"yes","missing from 'Entities' tab")</f>
        <v>yes</v>
      </c>
      <c r="I84" t="str">
        <f>LEFT(Table4[[#This Row],[Entity]],FIND(".",Table4[[#This Row],[Entity]])-1)</f>
        <v>group</v>
      </c>
      <c r="J84" t="str">
        <f>MID(Table4[[#This Row],[Entity]],FIND(".",Table4[[#This Row],[Entity]])+1,999)</f>
        <v>automation_statron</v>
      </c>
    </row>
    <row r="85" spans="2:10" x14ac:dyDescent="0.45">
      <c r="B85" t="s">
        <v>133</v>
      </c>
      <c r="C85" t="s">
        <v>7</v>
      </c>
      <c r="E85" t="str">
        <f>IFERROR(FIND("mdi:",Table4[[#This Row],[Attributes]]),"")</f>
        <v/>
      </c>
      <c r="F85" t="str">
        <f>IF(Table4[[#This Row],[loc of mdi]]="","",IFERROR(FIND(" ",Table4[[#This Row],[Attributes]],Table4[[#This Row],[loc of mdi]]+3),LEN(Table4[[#This Row],[Attributes]])+1))</f>
        <v/>
      </c>
      <c r="G85" t="str">
        <f>IFERROR(MID(Table4[[#This Row],[Attributes]],Table4[[#This Row],[loc of mdi]],Table4[[#This Row],[loc of space after mdi]]-Table4[[#This Row],[loc of mdi]]),"")</f>
        <v/>
      </c>
      <c r="H85" s="6" t="str">
        <f>IF(COUNTIFS(entities[entity_id],Table4[[#This Row],[Entity]])=1,"yes","missing from 'Entities' tab")</f>
        <v>yes</v>
      </c>
      <c r="I85" t="str">
        <f>LEFT(Table4[[#This Row],[Entity]],FIND(".",Table4[[#This Row],[Entity]])-1)</f>
        <v>group</v>
      </c>
      <c r="J85" t="str">
        <f>MID(Table4[[#This Row],[Entity]],FIND(".",Table4[[#This Row],[Entity]])+1,999)</f>
        <v>automation_statvac</v>
      </c>
    </row>
    <row r="86" spans="2:10" x14ac:dyDescent="0.45">
      <c r="B86" t="s">
        <v>134</v>
      </c>
      <c r="C86" t="s">
        <v>91</v>
      </c>
      <c r="E86" t="str">
        <f>IFERROR(FIND("mdi:",Table4[[#This Row],[Attributes]]),"")</f>
        <v/>
      </c>
      <c r="F86" t="str">
        <f>IF(Table4[[#This Row],[loc of mdi]]="","",IFERROR(FIND(" ",Table4[[#This Row],[Attributes]],Table4[[#This Row],[loc of mdi]]+3),LEN(Table4[[#This Row],[Attributes]])+1))</f>
        <v/>
      </c>
      <c r="G86" t="str">
        <f>IFERROR(MID(Table4[[#This Row],[Attributes]],Table4[[#This Row],[loc of mdi]],Table4[[#This Row],[loc of space after mdi]]-Table4[[#This Row],[loc of mdi]]),"")</f>
        <v/>
      </c>
      <c r="H86" s="6" t="str">
        <f>IF(COUNTIFS(entities[entity_id],Table4[[#This Row],[Entity]])=1,"yes","missing from 'Entities' tab")</f>
        <v>yes</v>
      </c>
      <c r="I86" t="str">
        <f>LEFT(Table4[[#This Row],[Entity]],FIND(".",Table4[[#This Row],[Entity]])-1)</f>
        <v>group</v>
      </c>
      <c r="J86" t="str">
        <f>MID(Table4[[#This Row],[Entity]],FIND(".",Table4[[#This Row],[Entity]])+1,999)</f>
        <v>bedroom</v>
      </c>
    </row>
    <row r="87" spans="2:10" x14ac:dyDescent="0.45">
      <c r="B87" t="s">
        <v>753</v>
      </c>
      <c r="C87" t="s">
        <v>7</v>
      </c>
      <c r="E87" s="6" t="str">
        <f>IFERROR(FIND("mdi:",Table4[[#This Row],[Attributes]]),"")</f>
        <v/>
      </c>
      <c r="F87" s="6" t="str">
        <f>IF(Table4[[#This Row],[loc of mdi]]="","",IFERROR(FIND(" ",Table4[[#This Row],[Attributes]],Table4[[#This Row],[loc of mdi]]+3),LEN(Table4[[#This Row],[Attributes]])+1))</f>
        <v/>
      </c>
      <c r="G87" s="6" t="str">
        <f>IFERROR(MID(Table4[[#This Row],[Attributes]],Table4[[#This Row],[loc of mdi]],Table4[[#This Row],[loc of space after mdi]]-Table4[[#This Row],[loc of mdi]]),"")</f>
        <v/>
      </c>
      <c r="H87" s="6" t="str">
        <f>IF(COUNTIFS(entities[entity_id],Table4[[#This Row],[Entity]])=1,"yes","missing from 'Entities' tab")</f>
        <v>yes</v>
      </c>
      <c r="I87" s="6" t="str">
        <f>LEFT(Table4[[#This Row],[Entity]],FIND(".",Table4[[#This Row],[Entity]])-1)</f>
        <v>group</v>
      </c>
      <c r="J87" s="6" t="str">
        <f>MID(Table4[[#This Row],[Entity]],FIND(".",Table4[[#This Row],[Entity]])+1,999)</f>
        <v>bedroom_devices</v>
      </c>
    </row>
    <row r="88" spans="2:10" x14ac:dyDescent="0.45">
      <c r="B88" t="s">
        <v>135</v>
      </c>
      <c r="C88" t="s">
        <v>7</v>
      </c>
      <c r="E88" s="6" t="str">
        <f>IFERROR(FIND("mdi:",Table4[[#This Row],[Attributes]]),"")</f>
        <v/>
      </c>
      <c r="F88" s="6" t="str">
        <f>IF(Table4[[#This Row],[loc of mdi]]="","",IFERROR(FIND(" ",Table4[[#This Row],[Attributes]],Table4[[#This Row],[loc of mdi]]+3),LEN(Table4[[#This Row],[Attributes]])+1))</f>
        <v/>
      </c>
      <c r="G88" s="6" t="str">
        <f>IFERROR(MID(Table4[[#This Row],[Attributes]],Table4[[#This Row],[loc of mdi]],Table4[[#This Row],[loc of space after mdi]]-Table4[[#This Row],[loc of mdi]]),"")</f>
        <v/>
      </c>
      <c r="H88" s="6" t="str">
        <f>IF(COUNTIFS(entities[entity_id],Table4[[#This Row],[Entity]])=1,"yes","missing from 'Entities' tab")</f>
        <v>yes</v>
      </c>
      <c r="I88" s="6" t="str">
        <f>LEFT(Table4[[#This Row],[Entity]],FIND(".",Table4[[#This Row],[Entity]])-1)</f>
        <v>group</v>
      </c>
      <c r="J88" s="6" t="str">
        <f>MID(Table4[[#This Row],[Entity]],FIND(".",Table4[[#This Row],[Entity]])+1,999)</f>
        <v>bedroom_lights</v>
      </c>
    </row>
    <row r="89" spans="2:10" x14ac:dyDescent="0.45">
      <c r="B89" t="s">
        <v>136</v>
      </c>
      <c r="C89" t="s">
        <v>7</v>
      </c>
      <c r="E89" s="6" t="str">
        <f>IFERROR(FIND("mdi:",Table4[[#This Row],[Attributes]]),"")</f>
        <v/>
      </c>
      <c r="F89" s="6" t="str">
        <f>IF(Table4[[#This Row],[loc of mdi]]="","",IFERROR(FIND(" ",Table4[[#This Row],[Attributes]],Table4[[#This Row],[loc of mdi]]+3),LEN(Table4[[#This Row],[Attributes]])+1))</f>
        <v/>
      </c>
      <c r="G89" s="6" t="str">
        <f>IFERROR(MID(Table4[[#This Row],[Attributes]],Table4[[#This Row],[loc of mdi]],Table4[[#This Row],[loc of space after mdi]]-Table4[[#This Row],[loc of mdi]]),"")</f>
        <v/>
      </c>
      <c r="H89" s="6" t="str">
        <f>IF(COUNTIFS(entities[entity_id],Table4[[#This Row],[Entity]])=1,"yes","missing from 'Entities' tab")</f>
        <v>yes</v>
      </c>
      <c r="I89" s="6" t="str">
        <f>LEFT(Table4[[#This Row],[Entity]],FIND(".",Table4[[#This Row],[Entity]])-1)</f>
        <v>group</v>
      </c>
      <c r="J89" s="6" t="str">
        <f>MID(Table4[[#This Row],[Entity]],FIND(".",Table4[[#This Row],[Entity]])+1,999)</f>
        <v>bedroom_view</v>
      </c>
    </row>
    <row r="90" spans="2:10" x14ac:dyDescent="0.45">
      <c r="B90" t="s">
        <v>805</v>
      </c>
      <c r="C90" t="s">
        <v>7</v>
      </c>
      <c r="E90" s="6" t="str">
        <f>IFERROR(FIND("mdi:",Table4[[#This Row],[Attributes]]),"")</f>
        <v/>
      </c>
      <c r="F90" s="6" t="str">
        <f>IF(Table4[[#This Row],[loc of mdi]]="","",IFERROR(FIND(" ",Table4[[#This Row],[Attributes]],Table4[[#This Row],[loc of mdi]]+3),LEN(Table4[[#This Row],[Attributes]])+1))</f>
        <v/>
      </c>
      <c r="G90" s="6" t="str">
        <f>IFERROR(MID(Table4[[#This Row],[Attributes]],Table4[[#This Row],[loc of mdi]],Table4[[#This Row],[loc of space after mdi]]-Table4[[#This Row],[loc of mdi]]),"")</f>
        <v/>
      </c>
      <c r="H90" s="6" t="str">
        <f>IF(COUNTIFS(entities[entity_id],Table4[[#This Row],[Entity]])=1,"yes","missing from 'Entities' tab")</f>
        <v>yes</v>
      </c>
      <c r="I90" s="6" t="str">
        <f>LEFT(Table4[[#This Row],[Entity]],FIND(".",Table4[[#This Row],[Entity]])-1)</f>
        <v>group</v>
      </c>
      <c r="J90" s="6" t="str">
        <f>MID(Table4[[#This Row],[Entity]],FIND(".",Table4[[#This Row],[Entity]])+1,999)</f>
        <v>default_view</v>
      </c>
    </row>
    <row r="91" spans="2:10" x14ac:dyDescent="0.45">
      <c r="B91" t="s">
        <v>137</v>
      </c>
      <c r="C91" t="s">
        <v>138</v>
      </c>
      <c r="E91" s="6" t="str">
        <f>IFERROR(FIND("mdi:",Table4[[#This Row],[Attributes]]),"")</f>
        <v/>
      </c>
      <c r="F91" s="6" t="str">
        <f>IF(Table4[[#This Row],[loc of mdi]]="","",IFERROR(FIND(" ",Table4[[#This Row],[Attributes]],Table4[[#This Row],[loc of mdi]]+3),LEN(Table4[[#This Row],[Attributes]])+1))</f>
        <v/>
      </c>
      <c r="G91" s="6" t="str">
        <f>IFERROR(MID(Table4[[#This Row],[Attributes]],Table4[[#This Row],[loc of mdi]],Table4[[#This Row],[loc of space after mdi]]-Table4[[#This Row],[loc of mdi]]),"")</f>
        <v/>
      </c>
      <c r="H91" s="6" t="str">
        <f>IF(COUNTIFS(entities[entity_id],Table4[[#This Row],[Entity]])=1,"yes","missing from 'Entities' tab")</f>
        <v>yes</v>
      </c>
      <c r="I91" s="6" t="str">
        <f>LEFT(Table4[[#This Row],[Entity]],FIND(".",Table4[[#This Row],[Entity]])-1)</f>
        <v>group</v>
      </c>
      <c r="J91" s="6" t="str">
        <f>MID(Table4[[#This Row],[Entity]],FIND(".",Table4[[#This Row],[Entity]])+1,999)</f>
        <v>environment</v>
      </c>
    </row>
    <row r="92" spans="2:10" x14ac:dyDescent="0.45">
      <c r="B92" t="s">
        <v>139</v>
      </c>
      <c r="C92" t="s">
        <v>138</v>
      </c>
      <c r="E92" s="6" t="str">
        <f>IFERROR(FIND("mdi:",Table4[[#This Row],[Attributes]]),"")</f>
        <v/>
      </c>
      <c r="F92" s="6" t="str">
        <f>IF(Table4[[#This Row],[loc of mdi]]="","",IFERROR(FIND(" ",Table4[[#This Row],[Attributes]],Table4[[#This Row],[loc of mdi]]+3),LEN(Table4[[#This Row],[Attributes]])+1))</f>
        <v/>
      </c>
      <c r="G92" s="6" t="str">
        <f>IFERROR(MID(Table4[[#This Row],[Attributes]],Table4[[#This Row],[loc of mdi]],Table4[[#This Row],[loc of space after mdi]]-Table4[[#This Row],[loc of mdi]]),"")</f>
        <v/>
      </c>
      <c r="H92" s="6" t="str">
        <f>IF(COUNTIFS(entities[entity_id],Table4[[#This Row],[Entity]])=1,"yes","missing from 'Entities' tab")</f>
        <v>yes</v>
      </c>
      <c r="I92" s="6" t="str">
        <f>LEFT(Table4[[#This Row],[Entity]],FIND(".",Table4[[#This Row],[Entity]])-1)</f>
        <v>group</v>
      </c>
      <c r="J92" s="6" t="str">
        <f>MID(Table4[[#This Row],[Entity]],FIND(".",Table4[[#This Row],[Entity]])+1,999)</f>
        <v>environment_detail</v>
      </c>
    </row>
    <row r="93" spans="2:10" x14ac:dyDescent="0.45">
      <c r="B93" t="s">
        <v>823</v>
      </c>
      <c r="C93" t="s">
        <v>7</v>
      </c>
      <c r="E93" s="6" t="str">
        <f>IFERROR(FIND("mdi:",Table4[[#This Row],[Attributes]]),"")</f>
        <v/>
      </c>
      <c r="F93" s="6" t="str">
        <f>IF(Table4[[#This Row],[loc of mdi]]="","",IFERROR(FIND(" ",Table4[[#This Row],[Attributes]],Table4[[#This Row],[loc of mdi]]+3),LEN(Table4[[#This Row],[Attributes]])+1))</f>
        <v/>
      </c>
      <c r="G93" s="6" t="str">
        <f>IFERROR(MID(Table4[[#This Row],[Attributes]],Table4[[#This Row],[loc of mdi]],Table4[[#This Row],[loc of space after mdi]]-Table4[[#This Row],[loc of mdi]]),"")</f>
        <v/>
      </c>
      <c r="H93" s="6" t="str">
        <f>IF(COUNTIFS(entities[entity_id],Table4[[#This Row],[Entity]])=1,"yes","missing from 'Entities' tab")</f>
        <v>yes</v>
      </c>
      <c r="I93" s="6" t="str">
        <f>LEFT(Table4[[#This Row],[Entity]],FIND(".",Table4[[#This Row],[Entity]])-1)</f>
        <v>group</v>
      </c>
      <c r="J93" s="6" t="str">
        <f>MID(Table4[[#This Row],[Entity]],FIND(".",Table4[[#This Row],[Entity]])+1,999)</f>
        <v>environment_living_room</v>
      </c>
    </row>
    <row r="94" spans="2:10" x14ac:dyDescent="0.45">
      <c r="B94" t="s">
        <v>140</v>
      </c>
      <c r="C94" t="s">
        <v>7</v>
      </c>
      <c r="E94" s="6" t="str">
        <f>IFERROR(FIND("mdi:",Table4[[#This Row],[Attributes]]),"")</f>
        <v/>
      </c>
      <c r="F94" s="6" t="str">
        <f>IF(Table4[[#This Row],[loc of mdi]]="","",IFERROR(FIND(" ",Table4[[#This Row],[Attributes]],Table4[[#This Row],[loc of mdi]]+3),LEN(Table4[[#This Row],[Attributes]])+1))</f>
        <v/>
      </c>
      <c r="G94" s="6" t="str">
        <f>IFERROR(MID(Table4[[#This Row],[Attributes]],Table4[[#This Row],[loc of mdi]],Table4[[#This Row],[loc of space after mdi]]-Table4[[#This Row],[loc of mdi]]),"")</f>
        <v/>
      </c>
      <c r="H94" s="6" t="str">
        <f>IF(COUNTIFS(entities[entity_id],Table4[[#This Row],[Entity]])=1,"yes","missing from 'Entities' tab")</f>
        <v>yes</v>
      </c>
      <c r="I94" s="6" t="str">
        <f>LEFT(Table4[[#This Row],[Entity]],FIND(".",Table4[[#This Row],[Entity]])-1)</f>
        <v>group</v>
      </c>
      <c r="J94" s="6" t="str">
        <f>MID(Table4[[#This Row],[Entity]],FIND(".",Table4[[#This Row],[Entity]])+1,999)</f>
        <v>environment_view</v>
      </c>
    </row>
    <row r="95" spans="2:10" x14ac:dyDescent="0.45">
      <c r="B95" t="s">
        <v>141</v>
      </c>
      <c r="C95" t="s">
        <v>138</v>
      </c>
      <c r="E95" s="6" t="str">
        <f>IFERROR(FIND("mdi:",Table4[[#This Row],[Attributes]]),"")</f>
        <v/>
      </c>
      <c r="F95" s="6" t="str">
        <f>IF(Table4[[#This Row],[loc of mdi]]="","",IFERROR(FIND(" ",Table4[[#This Row],[Attributes]],Table4[[#This Row],[loc of mdi]]+3),LEN(Table4[[#This Row],[Attributes]])+1))</f>
        <v/>
      </c>
      <c r="G95" s="6" t="str">
        <f>IFERROR(MID(Table4[[#This Row],[Attributes]],Table4[[#This Row],[loc of mdi]],Table4[[#This Row],[loc of space after mdi]]-Table4[[#This Row],[loc of mdi]]),"")</f>
        <v/>
      </c>
      <c r="H95" s="6" t="str">
        <f>IF(COUNTIFS(entities[entity_id],Table4[[#This Row],[Entity]])=1,"yes","missing from 'Entities' tab")</f>
        <v>yes</v>
      </c>
      <c r="I95" s="6" t="str">
        <f>LEFT(Table4[[#This Row],[Entity]],FIND(".",Table4[[#This Row],[Entity]])-1)</f>
        <v>group</v>
      </c>
      <c r="J95" s="6" t="str">
        <f>MID(Table4[[#This Row],[Entity]],FIND(".",Table4[[#This Row],[Entity]])+1,999)</f>
        <v>host_device</v>
      </c>
    </row>
    <row r="96" spans="2:10" x14ac:dyDescent="0.45">
      <c r="B96" t="s">
        <v>142</v>
      </c>
      <c r="C96" t="s">
        <v>100</v>
      </c>
      <c r="E96" s="6" t="str">
        <f>IFERROR(FIND("mdi:",Table4[[#This Row],[Attributes]]),"")</f>
        <v/>
      </c>
      <c r="F96" s="6" t="str">
        <f>IF(Table4[[#This Row],[loc of mdi]]="","",IFERROR(FIND(" ",Table4[[#This Row],[Attributes]],Table4[[#This Row],[loc of mdi]]+3),LEN(Table4[[#This Row],[Attributes]])+1))</f>
        <v/>
      </c>
      <c r="G96" s="6" t="str">
        <f>IFERROR(MID(Table4[[#This Row],[Attributes]],Table4[[#This Row],[loc of mdi]],Table4[[#This Row],[loc of space after mdi]]-Table4[[#This Row],[loc of mdi]]),"")</f>
        <v/>
      </c>
      <c r="H96" s="6" t="str">
        <f>IF(COUNTIFS(entities[entity_id],Table4[[#This Row],[Entity]])=1,"yes","missing from 'Entities' tab")</f>
        <v>yes</v>
      </c>
      <c r="I96" s="6" t="str">
        <f>LEFT(Table4[[#This Row],[Entity]],FIND(".",Table4[[#This Row],[Entity]])-1)</f>
        <v>group</v>
      </c>
      <c r="J96" s="6" t="str">
        <f>MID(Table4[[#This Row],[Entity]],FIND(".",Table4[[#This Row],[Entity]])+1,999)</f>
        <v>iot_devices</v>
      </c>
    </row>
    <row r="97" spans="2:10" x14ac:dyDescent="0.45">
      <c r="B97" t="s">
        <v>821</v>
      </c>
      <c r="C97" t="s">
        <v>7</v>
      </c>
      <c r="E97" s="6" t="str">
        <f>IFERROR(FIND("mdi:",Table4[[#This Row],[Attributes]]),"")</f>
        <v/>
      </c>
      <c r="F97" s="6" t="str">
        <f>IF(Table4[[#This Row],[loc of mdi]]="","",IFERROR(FIND(" ",Table4[[#This Row],[Attributes]],Table4[[#This Row],[loc of mdi]]+3),LEN(Table4[[#This Row],[Attributes]])+1))</f>
        <v/>
      </c>
      <c r="G97" s="6" t="str">
        <f>IFERROR(MID(Table4[[#This Row],[Attributes]],Table4[[#This Row],[loc of mdi]],Table4[[#This Row],[loc of space after mdi]]-Table4[[#This Row],[loc of mdi]]),"")</f>
        <v/>
      </c>
      <c r="H97" s="6" t="str">
        <f>IF(COUNTIFS(entities[entity_id],Table4[[#This Row],[Entity]])=1,"yes","missing from 'Entities' tab")</f>
        <v>yes</v>
      </c>
      <c r="I97" s="6" t="str">
        <f>LEFT(Table4[[#This Row],[Entity]],FIND(".",Table4[[#This Row],[Entity]])-1)</f>
        <v>group</v>
      </c>
      <c r="J97" s="6" t="str">
        <f>MID(Table4[[#This Row],[Entity]],FIND(".",Table4[[#This Row],[Entity]])+1,999)</f>
        <v>living_room</v>
      </c>
    </row>
    <row r="98" spans="2:10" x14ac:dyDescent="0.45">
      <c r="B98" t="s">
        <v>824</v>
      </c>
      <c r="C98" t="s">
        <v>7</v>
      </c>
      <c r="E98" s="6" t="str">
        <f>IFERROR(FIND("mdi:",Table4[[#This Row],[Attributes]]),"")</f>
        <v/>
      </c>
      <c r="F98" s="6" t="str">
        <f>IF(Table4[[#This Row],[loc of mdi]]="","",IFERROR(FIND(" ",Table4[[#This Row],[Attributes]],Table4[[#This Row],[loc of mdi]]+3),LEN(Table4[[#This Row],[Attributes]])+1))</f>
        <v/>
      </c>
      <c r="G98" s="6" t="str">
        <f>IFERROR(MID(Table4[[#This Row],[Attributes]],Table4[[#This Row],[loc of mdi]],Table4[[#This Row],[loc of space after mdi]]-Table4[[#This Row],[loc of mdi]]),"")</f>
        <v/>
      </c>
      <c r="H98" s="6" t="str">
        <f>IF(COUNTIFS(entities[entity_id],Table4[[#This Row],[Entity]])=1,"yes","missing from 'Entities' tab")</f>
        <v>yes</v>
      </c>
      <c r="I98" s="6" t="str">
        <f>LEFT(Table4[[#This Row],[Entity]],FIND(".",Table4[[#This Row],[Entity]])-1)</f>
        <v>group</v>
      </c>
      <c r="J98" s="6" t="str">
        <f>MID(Table4[[#This Row],[Entity]],FIND(".",Table4[[#This Row],[Entity]])+1,999)</f>
        <v>living_room_view</v>
      </c>
    </row>
    <row r="99" spans="2:10" x14ac:dyDescent="0.45">
      <c r="B99" t="s">
        <v>762</v>
      </c>
      <c r="C99" t="s">
        <v>93</v>
      </c>
      <c r="E99" s="6" t="str">
        <f>IFERROR(FIND("mdi:",Table4[[#This Row],[Attributes]]),"")</f>
        <v/>
      </c>
      <c r="F99" s="6" t="str">
        <f>IF(Table4[[#This Row],[loc of mdi]]="","",IFERROR(FIND(" ",Table4[[#This Row],[Attributes]],Table4[[#This Row],[loc of mdi]]+3),LEN(Table4[[#This Row],[Attributes]])+1))</f>
        <v/>
      </c>
      <c r="G99" s="6" t="str">
        <f>IFERROR(MID(Table4[[#This Row],[Attributes]],Table4[[#This Row],[loc of mdi]],Table4[[#This Row],[loc of space after mdi]]-Table4[[#This Row],[loc of mdi]]),"")</f>
        <v/>
      </c>
      <c r="H99" s="6" t="str">
        <f>IF(COUNTIFS(entities[entity_id],Table4[[#This Row],[Entity]])=1,"yes","missing from 'Entities' tab")</f>
        <v>yes</v>
      </c>
      <c r="I99" s="6" t="str">
        <f>LEFT(Table4[[#This Row],[Entity]],FIND(".",Table4[[#This Row],[Entity]])-1)</f>
        <v>group</v>
      </c>
      <c r="J99" s="6" t="str">
        <f>MID(Table4[[#This Row],[Entity]],FIND(".",Table4[[#This Row],[Entity]])+1,999)</f>
        <v>misc_devices</v>
      </c>
    </row>
    <row r="100" spans="2:10" x14ac:dyDescent="0.45">
      <c r="B100" t="s">
        <v>143</v>
      </c>
      <c r="C100" t="s">
        <v>138</v>
      </c>
      <c r="E100" s="6" t="str">
        <f>IFERROR(FIND("mdi:",Table4[[#This Row],[Attributes]]),"")</f>
        <v/>
      </c>
      <c r="F100" s="6" t="str">
        <f>IF(Table4[[#This Row],[loc of mdi]]="","",IFERROR(FIND(" ",Table4[[#This Row],[Attributes]],Table4[[#This Row],[loc of mdi]]+3),LEN(Table4[[#This Row],[Attributes]])+1))</f>
        <v/>
      </c>
      <c r="G100" s="6" t="str">
        <f>IFERROR(MID(Table4[[#This Row],[Attributes]],Table4[[#This Row],[loc of mdi]],Table4[[#This Row],[loc of space after mdi]]-Table4[[#This Row],[loc of mdi]]),"")</f>
        <v/>
      </c>
      <c r="H100" s="6" t="str">
        <f>IF(COUNTIFS(entities[entity_id],Table4[[#This Row],[Entity]])=1,"yes","missing from 'Entities' tab")</f>
        <v>yes</v>
      </c>
      <c r="I100" s="6" t="str">
        <f>LEFT(Table4[[#This Row],[Entity]],FIND(".",Table4[[#This Row],[Entity]])-1)</f>
        <v>group</v>
      </c>
      <c r="J100" s="6" t="str">
        <f>MID(Table4[[#This Row],[Entity]],FIND(".",Table4[[#This Row],[Entity]])+1,999)</f>
        <v>network</v>
      </c>
    </row>
    <row r="101" spans="2:10" x14ac:dyDescent="0.45">
      <c r="B101" t="s">
        <v>144</v>
      </c>
      <c r="C101" t="s">
        <v>100</v>
      </c>
      <c r="E101" s="6" t="str">
        <f>IFERROR(FIND("mdi:",Table4[[#This Row],[Attributes]]),"")</f>
        <v/>
      </c>
      <c r="F101" s="6" t="str">
        <f>IF(Table4[[#This Row],[loc of mdi]]="","",IFERROR(FIND(" ",Table4[[#This Row],[Attributes]],Table4[[#This Row],[loc of mdi]]+3),LEN(Table4[[#This Row],[Attributes]])+1))</f>
        <v/>
      </c>
      <c r="G101" s="6" t="str">
        <f>IFERROR(MID(Table4[[#This Row],[Attributes]],Table4[[#This Row],[loc of mdi]],Table4[[#This Row],[loc of space after mdi]]-Table4[[#This Row],[loc of mdi]]),"")</f>
        <v/>
      </c>
      <c r="H101" s="6" t="str">
        <f>IF(COUNTIFS(entities[entity_id],Table4[[#This Row],[Entity]])=1,"yes","missing from 'Entities' tab")</f>
        <v>yes</v>
      </c>
      <c r="I101" s="6" t="str">
        <f>LEFT(Table4[[#This Row],[Entity]],FIND(".",Table4[[#This Row],[Entity]])-1)</f>
        <v>group</v>
      </c>
      <c r="J101" s="6" t="str">
        <f>MID(Table4[[#This Row],[Entity]],FIND(".",Table4[[#This Row],[Entity]])+1,999)</f>
        <v>network_view</v>
      </c>
    </row>
    <row r="102" spans="2:10" x14ac:dyDescent="0.45">
      <c r="B102" t="s">
        <v>145</v>
      </c>
      <c r="C102" t="s">
        <v>100</v>
      </c>
      <c r="E102" s="6" t="str">
        <f>IFERROR(FIND("mdi:",Table4[[#This Row],[Attributes]]),"")</f>
        <v/>
      </c>
      <c r="F102" s="6" t="str">
        <f>IF(Table4[[#This Row],[loc of mdi]]="","",IFERROR(FIND(" ",Table4[[#This Row],[Attributes]],Table4[[#This Row],[loc of mdi]]+3),LEN(Table4[[#This Row],[Attributes]])+1))</f>
        <v/>
      </c>
      <c r="G102" s="6" t="str">
        <f>IFERROR(MID(Table4[[#This Row],[Attributes]],Table4[[#This Row],[loc of mdi]],Table4[[#This Row],[loc of space after mdi]]-Table4[[#This Row],[loc of mdi]]),"")</f>
        <v/>
      </c>
      <c r="H102" s="6" t="str">
        <f>IF(COUNTIFS(entities[entity_id],Table4[[#This Row],[Entity]])=1,"yes","missing from 'Entities' tab")</f>
        <v>yes</v>
      </c>
      <c r="I102" s="6" t="str">
        <f>LEFT(Table4[[#This Row],[Entity]],FIND(".",Table4[[#This Row],[Entity]])-1)</f>
        <v>group</v>
      </c>
      <c r="J102" s="6" t="str">
        <f>MID(Table4[[#This Row],[Entity]],FIND(".",Table4[[#This Row],[Entity]])+1,999)</f>
        <v>personal_devices</v>
      </c>
    </row>
    <row r="103" spans="2:10" x14ac:dyDescent="0.45">
      <c r="B103" t="s">
        <v>146</v>
      </c>
      <c r="C103" t="s">
        <v>100</v>
      </c>
      <c r="E103" s="6" t="str">
        <f>IFERROR(FIND("mdi:",Table4[[#This Row],[Attributes]]),"")</f>
        <v/>
      </c>
      <c r="F103" s="6" t="str">
        <f>IF(Table4[[#This Row],[loc of mdi]]="","",IFERROR(FIND(" ",Table4[[#This Row],[Attributes]],Table4[[#This Row],[loc of mdi]]+3),LEN(Table4[[#This Row],[Attributes]])+1))</f>
        <v/>
      </c>
      <c r="G103" s="6" t="str">
        <f>IFERROR(MID(Table4[[#This Row],[Attributes]],Table4[[#This Row],[loc of mdi]],Table4[[#This Row],[loc of space after mdi]]-Table4[[#This Row],[loc of mdi]]),"")</f>
        <v/>
      </c>
      <c r="H103" s="6" t="str">
        <f>IF(COUNTIFS(entities[entity_id],Table4[[#This Row],[Entity]])=1,"yes","missing from 'Entities' tab")</f>
        <v>yes</v>
      </c>
      <c r="I103" s="6" t="str">
        <f>LEFT(Table4[[#This Row],[Entity]],FIND(".",Table4[[#This Row],[Entity]])-1)</f>
        <v>group</v>
      </c>
      <c r="J103" s="6" t="str">
        <f>MID(Table4[[#This Row],[Entity]],FIND(".",Table4[[#This Row],[Entity]])+1,999)</f>
        <v>phones</v>
      </c>
    </row>
    <row r="104" spans="2:10" x14ac:dyDescent="0.45">
      <c r="B104" t="s">
        <v>147</v>
      </c>
      <c r="C104" t="s">
        <v>91</v>
      </c>
      <c r="E104" s="6" t="str">
        <f>IFERROR(FIND("mdi:",Table4[[#This Row],[Attributes]]),"")</f>
        <v/>
      </c>
      <c r="F104" s="6" t="str">
        <f>IF(Table4[[#This Row],[loc of mdi]]="","",IFERROR(FIND(" ",Table4[[#This Row],[Attributes]],Table4[[#This Row],[loc of mdi]]+3),LEN(Table4[[#This Row],[Attributes]])+1))</f>
        <v/>
      </c>
      <c r="G104" s="6" t="str">
        <f>IFERROR(MID(Table4[[#This Row],[Attributes]],Table4[[#This Row],[loc of mdi]],Table4[[#This Row],[loc of space after mdi]]-Table4[[#This Row],[loc of mdi]]),"")</f>
        <v/>
      </c>
      <c r="H104" s="6" t="str">
        <f>IF(COUNTIFS(entities[entity_id],Table4[[#This Row],[Entity]])=1,"yes","missing from 'Entities' tab")</f>
        <v>yes</v>
      </c>
      <c r="I104" s="6" t="str">
        <f>LEFT(Table4[[#This Row],[Entity]],FIND(".",Table4[[#This Row],[Entity]])-1)</f>
        <v>group</v>
      </c>
      <c r="J104" s="6" t="str">
        <f>MID(Table4[[#This Row],[Entity]],FIND(".",Table4[[#This Row],[Entity]])+1,999)</f>
        <v>status</v>
      </c>
    </row>
    <row r="105" spans="2:10" x14ac:dyDescent="0.45">
      <c r="B105" t="s">
        <v>148</v>
      </c>
      <c r="C105" t="s">
        <v>7</v>
      </c>
      <c r="E105" s="6" t="str">
        <f>IFERROR(FIND("mdi:",Table4[[#This Row],[Attributes]]),"")</f>
        <v/>
      </c>
      <c r="F105" s="6" t="str">
        <f>IF(Table4[[#This Row],[loc of mdi]]="","",IFERROR(FIND(" ",Table4[[#This Row],[Attributes]],Table4[[#This Row],[loc of mdi]]+3),LEN(Table4[[#This Row],[Attributes]])+1))</f>
        <v/>
      </c>
      <c r="G105" s="6" t="str">
        <f>IFERROR(MID(Table4[[#This Row],[Attributes]],Table4[[#This Row],[loc of mdi]],Table4[[#This Row],[loc of space after mdi]]-Table4[[#This Row],[loc of mdi]]),"")</f>
        <v/>
      </c>
      <c r="H105" s="6" t="str">
        <f>IF(COUNTIFS(entities[entity_id],Table4[[#This Row],[Entity]])=1,"yes","missing from 'Entities' tab")</f>
        <v>yes</v>
      </c>
      <c r="I105" s="6" t="str">
        <f>LEFT(Table4[[#This Row],[Entity]],FIND(".",Table4[[#This Row],[Entity]])-1)</f>
        <v>input_boolean</v>
      </c>
      <c r="J105" s="6" t="str">
        <f>MID(Table4[[#This Row],[Entity]],FIND(".",Table4[[#This Row],[Entity]])+1,999)</f>
        <v>alarm_clock_status</v>
      </c>
    </row>
    <row r="106" spans="2:10" x14ac:dyDescent="0.45">
      <c r="B106" t="s">
        <v>149</v>
      </c>
      <c r="C106" t="s">
        <v>91</v>
      </c>
      <c r="E106" s="6" t="str">
        <f>IFERROR(FIND("mdi:",Table4[[#This Row],[Attributes]]),"")</f>
        <v/>
      </c>
      <c r="F106" s="6" t="str">
        <f>IF(Table4[[#This Row],[loc of mdi]]="","",IFERROR(FIND(" ",Table4[[#This Row],[Attributes]],Table4[[#This Row],[loc of mdi]]+3),LEN(Table4[[#This Row],[Attributes]])+1))</f>
        <v/>
      </c>
      <c r="G106" s="6" t="str">
        <f>IFERROR(MID(Table4[[#This Row],[Attributes]],Table4[[#This Row],[loc of mdi]],Table4[[#This Row],[loc of space after mdi]]-Table4[[#This Row],[loc of mdi]]),"")</f>
        <v/>
      </c>
      <c r="H106" s="6" t="str">
        <f>IF(COUNTIFS(entities[entity_id],Table4[[#This Row],[Entity]])=1,"yes","missing from 'Entities' tab")</f>
        <v>yes</v>
      </c>
      <c r="I106" s="6" t="str">
        <f>LEFT(Table4[[#This Row],[Entity]],FIND(".",Table4[[#This Row],[Entity]])-1)</f>
        <v>input_boolean</v>
      </c>
      <c r="J106" s="6" t="str">
        <f>MID(Table4[[#This Row],[Entity]],FIND(".",Table4[[#This Row],[Entity]])+1,999)</f>
        <v>friend_visiting</v>
      </c>
    </row>
    <row r="107" spans="2:10" x14ac:dyDescent="0.45">
      <c r="B107" t="s">
        <v>150</v>
      </c>
      <c r="C107" t="s">
        <v>91</v>
      </c>
      <c r="E107" s="6" t="str">
        <f>IFERROR(FIND("mdi:",Table4[[#This Row],[Attributes]]),"")</f>
        <v/>
      </c>
      <c r="F107" s="6" t="str">
        <f>IF(Table4[[#This Row],[loc of mdi]]="","",IFERROR(FIND(" ",Table4[[#This Row],[Attributes]],Table4[[#This Row],[loc of mdi]]+3),LEN(Table4[[#This Row],[Attributes]])+1))</f>
        <v/>
      </c>
      <c r="G107" s="6" t="str">
        <f>IFERROR(MID(Table4[[#This Row],[Attributes]],Table4[[#This Row],[loc of mdi]],Table4[[#This Row],[loc of space after mdi]]-Table4[[#This Row],[loc of mdi]]),"")</f>
        <v/>
      </c>
      <c r="H107" s="6" t="str">
        <f>IF(COUNTIFS(entities[entity_id],Table4[[#This Row],[Entity]])=1,"yes","missing from 'Entities' tab")</f>
        <v>yes</v>
      </c>
      <c r="I107" s="6" t="str">
        <f>LEFT(Table4[[#This Row],[Entity]],FIND(".",Table4[[#This Row],[Entity]])-1)</f>
        <v>input_boolean</v>
      </c>
      <c r="J107" s="6" t="str">
        <f>MID(Table4[[#This Row],[Entity]],FIND(".",Table4[[#This Row],[Entity]])+1,999)</f>
        <v>vacation_mode</v>
      </c>
    </row>
    <row r="108" spans="2:10" x14ac:dyDescent="0.45">
      <c r="B108" t="s">
        <v>151</v>
      </c>
      <c r="C108" t="s">
        <v>837</v>
      </c>
      <c r="E108" s="6" t="str">
        <f>IFERROR(FIND("mdi:",Table4[[#This Row],[Attributes]]),"")</f>
        <v/>
      </c>
      <c r="F108" s="6" t="str">
        <f>IF(Table4[[#This Row],[loc of mdi]]="","",IFERROR(FIND(" ",Table4[[#This Row],[Attributes]],Table4[[#This Row],[loc of mdi]]+3),LEN(Table4[[#This Row],[Attributes]])+1))</f>
        <v/>
      </c>
      <c r="G108" s="6" t="str">
        <f>IFERROR(MID(Table4[[#This Row],[Attributes]],Table4[[#This Row],[loc of mdi]],Table4[[#This Row],[loc of space after mdi]]-Table4[[#This Row],[loc of mdi]]),"")</f>
        <v/>
      </c>
      <c r="H108" s="6" t="str">
        <f>IF(COUNTIFS(entities[entity_id],Table4[[#This Row],[Entity]])=1,"yes","missing from 'Entities' tab")</f>
        <v>yes</v>
      </c>
      <c r="I108" s="6" t="str">
        <f>LEFT(Table4[[#This Row],[Entity]],FIND(".",Table4[[#This Row],[Entity]])-1)</f>
        <v>input_select</v>
      </c>
      <c r="J108" s="6" t="str">
        <f>MID(Table4[[#This Row],[Entity]],FIND(".",Table4[[#This Row],[Entity]])+1,999)</f>
        <v>ron_status</v>
      </c>
    </row>
    <row r="109" spans="2:10" x14ac:dyDescent="0.45">
      <c r="B109" t="s">
        <v>152</v>
      </c>
      <c r="C109">
        <v>9</v>
      </c>
      <c r="E109" s="6" t="str">
        <f>IFERROR(FIND("mdi:",Table4[[#This Row],[Attributes]]),"")</f>
        <v/>
      </c>
      <c r="F109" s="6" t="str">
        <f>IF(Table4[[#This Row],[loc of mdi]]="","",IFERROR(FIND(" ",Table4[[#This Row],[Attributes]],Table4[[#This Row],[loc of mdi]]+3),LEN(Table4[[#This Row],[Attributes]])+1))</f>
        <v/>
      </c>
      <c r="G109" s="6" t="str">
        <f>IFERROR(MID(Table4[[#This Row],[Attributes]],Table4[[#This Row],[loc of mdi]],Table4[[#This Row],[loc of space after mdi]]-Table4[[#This Row],[loc of mdi]]),"")</f>
        <v/>
      </c>
      <c r="H109" s="6" t="str">
        <f>IF(COUNTIFS(entities[entity_id],Table4[[#This Row],[Entity]])=1,"yes","missing from 'Entities' tab")</f>
        <v>yes</v>
      </c>
      <c r="I109" s="6" t="str">
        <f>LEFT(Table4[[#This Row],[Entity]],FIND(".",Table4[[#This Row],[Entity]])-1)</f>
        <v>input_slider</v>
      </c>
      <c r="J109" s="6" t="str">
        <f>MID(Table4[[#This Row],[Entity]],FIND(".",Table4[[#This Row],[Entity]])+1,999)</f>
        <v>alarm_clock_hour</v>
      </c>
    </row>
    <row r="110" spans="2:10" x14ac:dyDescent="0.45">
      <c r="B110" t="s">
        <v>153</v>
      </c>
      <c r="C110">
        <v>25</v>
      </c>
      <c r="E110" s="6" t="str">
        <f>IFERROR(FIND("mdi:",Table4[[#This Row],[Attributes]]),"")</f>
        <v/>
      </c>
      <c r="F110" s="6" t="str">
        <f>IF(Table4[[#This Row],[loc of mdi]]="","",IFERROR(FIND(" ",Table4[[#This Row],[Attributes]],Table4[[#This Row],[loc of mdi]]+3),LEN(Table4[[#This Row],[Attributes]])+1))</f>
        <v/>
      </c>
      <c r="G110" s="6" t="str">
        <f>IFERROR(MID(Table4[[#This Row],[Attributes]],Table4[[#This Row],[loc of mdi]],Table4[[#This Row],[loc of space after mdi]]-Table4[[#This Row],[loc of mdi]]),"")</f>
        <v/>
      </c>
      <c r="H110" s="6" t="str">
        <f>IF(COUNTIFS(entities[entity_id],Table4[[#This Row],[Entity]])=1,"yes","missing from 'Entities' tab")</f>
        <v>yes</v>
      </c>
      <c r="I110" s="6" t="str">
        <f>LEFT(Table4[[#This Row],[Entity]],FIND(".",Table4[[#This Row],[Entity]])-1)</f>
        <v>input_slider</v>
      </c>
      <c r="J110" s="6" t="str">
        <f>MID(Table4[[#This Row],[Entity]],FIND(".",Table4[[#This Row],[Entity]])+1,999)</f>
        <v>alarm_clock_minute</v>
      </c>
    </row>
    <row r="111" spans="2:10" x14ac:dyDescent="0.45">
      <c r="B111" t="s">
        <v>771</v>
      </c>
      <c r="C111" t="s">
        <v>91</v>
      </c>
      <c r="E111" s="6" t="str">
        <f>IFERROR(FIND("mdi:",Table4[[#This Row],[Attributes]]),"")</f>
        <v/>
      </c>
      <c r="F111" s="6" t="str">
        <f>IF(Table4[[#This Row],[loc of mdi]]="","",IFERROR(FIND(" ",Table4[[#This Row],[Attributes]],Table4[[#This Row],[loc of mdi]]+3),LEN(Table4[[#This Row],[Attributes]])+1))</f>
        <v/>
      </c>
      <c r="G111" s="6" t="str">
        <f>IFERROR(MID(Table4[[#This Row],[Attributes]],Table4[[#This Row],[loc of mdi]],Table4[[#This Row],[loc of space after mdi]]-Table4[[#This Row],[loc of mdi]]),"")</f>
        <v/>
      </c>
      <c r="H111" s="6" t="str">
        <f>IF(COUNTIFS(entities[entity_id],Table4[[#This Row],[Entity]])=1,"yes","missing from 'Entities' tab")</f>
        <v>yes</v>
      </c>
      <c r="I111" s="6" t="str">
        <f>LEFT(Table4[[#This Row],[Entity]],FIND(".",Table4[[#This Row],[Entity]])-1)</f>
        <v>light</v>
      </c>
      <c r="J111" s="6" t="str">
        <f>MID(Table4[[#This Row],[Entity]],FIND(".",Table4[[#This Row],[Entity]])+1,999)</f>
        <v>dimmable_light_5</v>
      </c>
    </row>
    <row r="112" spans="2:10" x14ac:dyDescent="0.45">
      <c r="B112" t="s">
        <v>154</v>
      </c>
      <c r="C112" t="s">
        <v>7</v>
      </c>
      <c r="E112" s="6" t="str">
        <f>IFERROR(FIND("mdi:",Table4[[#This Row],[Attributes]]),"")</f>
        <v/>
      </c>
      <c r="F112" s="6" t="str">
        <f>IF(Table4[[#This Row],[loc of mdi]]="","",IFERROR(FIND(" ",Table4[[#This Row],[Attributes]],Table4[[#This Row],[loc of mdi]]+3),LEN(Table4[[#This Row],[Attributes]])+1))</f>
        <v/>
      </c>
      <c r="G112" s="6" t="str">
        <f>IFERROR(MID(Table4[[#This Row],[Attributes]],Table4[[#This Row],[loc of mdi]],Table4[[#This Row],[loc of space after mdi]]-Table4[[#This Row],[loc of mdi]]),"")</f>
        <v/>
      </c>
      <c r="H112" s="6" t="str">
        <f>IF(COUNTIFS(entities[entity_id],Table4[[#This Row],[Entity]])=1,"yes","missing from 'Entities' tab")</f>
        <v>yes</v>
      </c>
      <c r="I112" s="6" t="str">
        <f>LEFT(Table4[[#This Row],[Entity]],FIND(".",Table4[[#This Row],[Entity]])-1)</f>
        <v>light</v>
      </c>
      <c r="J112" s="6" t="str">
        <f>MID(Table4[[#This Row],[Entity]],FIND(".",Table4[[#This Row],[Entity]])+1,999)</f>
        <v>lux_lamp</v>
      </c>
    </row>
    <row r="113" spans="2:10" x14ac:dyDescent="0.45">
      <c r="B113" t="s">
        <v>155</v>
      </c>
      <c r="C113" t="s">
        <v>7</v>
      </c>
      <c r="E113" s="6" t="str">
        <f>IFERROR(FIND("mdi:",Table4[[#This Row],[Attributes]]),"")</f>
        <v/>
      </c>
      <c r="F113" s="6" t="str">
        <f>IF(Table4[[#This Row],[loc of mdi]]="","",IFERROR(FIND(" ",Table4[[#This Row],[Attributes]],Table4[[#This Row],[loc of mdi]]+3),LEN(Table4[[#This Row],[Attributes]])+1))</f>
        <v/>
      </c>
      <c r="G113" s="6" t="str">
        <f>IFERROR(MID(Table4[[#This Row],[Attributes]],Table4[[#This Row],[loc of mdi]],Table4[[#This Row],[loc of space after mdi]]-Table4[[#This Row],[loc of mdi]]),"")</f>
        <v/>
      </c>
      <c r="H113" s="6" t="str">
        <f>IF(COUNTIFS(entities[entity_id],Table4[[#This Row],[Entity]])=1,"yes","missing from 'Entities' tab")</f>
        <v>yes</v>
      </c>
      <c r="I113" s="6" t="str">
        <f>LEFT(Table4[[#This Row],[Entity]],FIND(".",Table4[[#This Row],[Entity]])-1)</f>
        <v>light</v>
      </c>
      <c r="J113" s="6" t="str">
        <f>MID(Table4[[#This Row],[Entity]],FIND(".",Table4[[#This Row],[Entity]])+1,999)</f>
        <v>lux_lamp_1</v>
      </c>
    </row>
    <row r="114" spans="2:10" x14ac:dyDescent="0.45">
      <c r="B114" t="s">
        <v>772</v>
      </c>
      <c r="C114" t="s">
        <v>91</v>
      </c>
      <c r="E114" s="6" t="str">
        <f>IFERROR(FIND("mdi:",Table4[[#This Row],[Attributes]]),"")</f>
        <v/>
      </c>
      <c r="F114" s="6" t="str">
        <f>IF(Table4[[#This Row],[loc of mdi]]="","",IFERROR(FIND(" ",Table4[[#This Row],[Attributes]],Table4[[#This Row],[loc of mdi]]+3),LEN(Table4[[#This Row],[Attributes]])+1))</f>
        <v/>
      </c>
      <c r="G114" s="6" t="str">
        <f>IFERROR(MID(Table4[[#This Row],[Attributes]],Table4[[#This Row],[loc of mdi]],Table4[[#This Row],[loc of space after mdi]]-Table4[[#This Row],[loc of mdi]]),"")</f>
        <v/>
      </c>
      <c r="H114" s="6" t="str">
        <f>IF(COUNTIFS(entities[entity_id],Table4[[#This Row],[Entity]])=1,"yes","missing from 'Entities' tab")</f>
        <v>yes</v>
      </c>
      <c r="I114" s="6" t="str">
        <f>LEFT(Table4[[#This Row],[Entity]],FIND(".",Table4[[#This Row],[Entity]])-1)</f>
        <v>media_player</v>
      </c>
      <c r="J114" s="6" t="str">
        <f>MID(Table4[[#This Row],[Entity]],FIND(".",Table4[[#This Row],[Entity]])+1,999)</f>
        <v>living_room</v>
      </c>
    </row>
    <row r="115" spans="2:10" x14ac:dyDescent="0.45">
      <c r="B115" t="s">
        <v>790</v>
      </c>
      <c r="C115" t="s">
        <v>91</v>
      </c>
      <c r="E115" s="6" t="str">
        <f>IFERROR(FIND("mdi:",Table4[[#This Row],[Attributes]]),"")</f>
        <v/>
      </c>
      <c r="F115" s="6" t="str">
        <f>IF(Table4[[#This Row],[loc of mdi]]="","",IFERROR(FIND(" ",Table4[[#This Row],[Attributes]],Table4[[#This Row],[loc of mdi]]+3),LEN(Table4[[#This Row],[Attributes]])+1))</f>
        <v/>
      </c>
      <c r="G115" s="6" t="str">
        <f>IFERROR(MID(Table4[[#This Row],[Attributes]],Table4[[#This Row],[loc of mdi]],Table4[[#This Row],[loc of space after mdi]]-Table4[[#This Row],[loc of mdi]]),"")</f>
        <v/>
      </c>
      <c r="H115" s="6" t="str">
        <f>IF(COUNTIFS(entities[entity_id],Table4[[#This Row],[Entity]])=1,"yes","missing from 'Entities' tab")</f>
        <v>yes</v>
      </c>
      <c r="I115" s="6" t="str">
        <f>LEFT(Table4[[#This Row],[Entity]],FIND(".",Table4[[#This Row],[Entity]])-1)</f>
        <v>media_player</v>
      </c>
      <c r="J115" s="6" t="str">
        <f>MID(Table4[[#This Row],[Entity]],FIND(".",Table4[[#This Row],[Entity]])+1,999)</f>
        <v>living_room_tv</v>
      </c>
    </row>
    <row r="116" spans="2:10" x14ac:dyDescent="0.45">
      <c r="B116" t="s">
        <v>760</v>
      </c>
      <c r="C116" t="s">
        <v>91</v>
      </c>
      <c r="E116" s="6" t="str">
        <f>IFERROR(FIND("mdi:",Table4[[#This Row],[Attributes]]),"")</f>
        <v/>
      </c>
      <c r="F116" s="6" t="str">
        <f>IF(Table4[[#This Row],[loc of mdi]]="","",IFERROR(FIND(" ",Table4[[#This Row],[Attributes]],Table4[[#This Row],[loc of mdi]]+3),LEN(Table4[[#This Row],[Attributes]])+1))</f>
        <v/>
      </c>
      <c r="G116" s="6" t="str">
        <f>IFERROR(MID(Table4[[#This Row],[Attributes]],Table4[[#This Row],[loc of mdi]],Table4[[#This Row],[loc of space after mdi]]-Table4[[#This Row],[loc of mdi]]),"")</f>
        <v/>
      </c>
      <c r="H116" s="6" t="str">
        <f>IF(COUNTIFS(entities[entity_id],Table4[[#This Row],[Entity]])=1,"yes","missing from 'Entities' tab")</f>
        <v>yes</v>
      </c>
      <c r="I116" s="6" t="str">
        <f>LEFT(Table4[[#This Row],[Entity]],FIND(".",Table4[[#This Row],[Entity]])-1)</f>
        <v>remote</v>
      </c>
      <c r="J116" s="6" t="str">
        <f>MID(Table4[[#This Row],[Entity]],FIND(".",Table4[[#This Row],[Entity]])+1,999)</f>
        <v>tv</v>
      </c>
    </row>
    <row r="117" spans="2:10" x14ac:dyDescent="0.45">
      <c r="B117" t="s">
        <v>156</v>
      </c>
      <c r="C117" t="s">
        <v>91</v>
      </c>
      <c r="E117" s="6" t="str">
        <f>IFERROR(FIND("mdi:",Table4[[#This Row],[Attributes]]),"")</f>
        <v/>
      </c>
      <c r="F117" s="6" t="str">
        <f>IF(Table4[[#This Row],[loc of mdi]]="","",IFERROR(FIND(" ",Table4[[#This Row],[Attributes]],Table4[[#This Row],[loc of mdi]]+3),LEN(Table4[[#This Row],[Attributes]])+1))</f>
        <v/>
      </c>
      <c r="G117" s="6" t="str">
        <f>IFERROR(MID(Table4[[#This Row],[Attributes]],Table4[[#This Row],[loc of mdi]],Table4[[#This Row],[loc of space after mdi]]-Table4[[#This Row],[loc of mdi]]),"")</f>
        <v/>
      </c>
      <c r="H117" s="6" t="str">
        <f>IF(COUNTIFS(entities[entity_id],Table4[[#This Row],[Entity]])=1,"yes","missing from 'Entities' tab")</f>
        <v>yes</v>
      </c>
      <c r="I117" s="6" t="str">
        <f>LEFT(Table4[[#This Row],[Entity]],FIND(".",Table4[[#This Row],[Entity]])-1)</f>
        <v>script</v>
      </c>
      <c r="J117" s="6" t="str">
        <f>MID(Table4[[#This Row],[Entity]],FIND(".",Table4[[#This Row],[Entity]])+1,999)</f>
        <v>all_off</v>
      </c>
    </row>
    <row r="118" spans="2:10" x14ac:dyDescent="0.45">
      <c r="B118" t="s">
        <v>157</v>
      </c>
      <c r="C118" t="s">
        <v>91</v>
      </c>
      <c r="E118" s="6" t="str">
        <f>IFERROR(FIND("mdi:",Table4[[#This Row],[Attributes]]),"")</f>
        <v/>
      </c>
      <c r="F118" s="6" t="str">
        <f>IF(Table4[[#This Row],[loc of mdi]]="","",IFERROR(FIND(" ",Table4[[#This Row],[Attributes]],Table4[[#This Row],[loc of mdi]]+3),LEN(Table4[[#This Row],[Attributes]])+1))</f>
        <v/>
      </c>
      <c r="G118" s="6" t="str">
        <f>IFERROR(MID(Table4[[#This Row],[Attributes]],Table4[[#This Row],[loc of mdi]],Table4[[#This Row],[loc of space after mdi]]-Table4[[#This Row],[loc of mdi]]),"")</f>
        <v/>
      </c>
      <c r="H118" s="6" t="str">
        <f>IF(COUNTIFS(entities[entity_id],Table4[[#This Row],[Entity]])=1,"yes","missing from 'Entities' tab")</f>
        <v>yes</v>
      </c>
      <c r="I118" s="6" t="str">
        <f>LEFT(Table4[[#This Row],[Entity]],FIND(".",Table4[[#This Row],[Entity]])-1)</f>
        <v>script</v>
      </c>
      <c r="J118" s="6" t="str">
        <f>MID(Table4[[#This Row],[Entity]],FIND(".",Table4[[#This Row],[Entity]])+1,999)</f>
        <v>bright</v>
      </c>
    </row>
    <row r="119" spans="2:10" x14ac:dyDescent="0.45">
      <c r="B119" t="s">
        <v>158</v>
      </c>
      <c r="C119" t="s">
        <v>91</v>
      </c>
      <c r="E119" s="6" t="str">
        <f>IFERROR(FIND("mdi:",Table4[[#This Row],[Attributes]]),"")</f>
        <v/>
      </c>
      <c r="F119" s="6" t="str">
        <f>IF(Table4[[#This Row],[loc of mdi]]="","",IFERROR(FIND(" ",Table4[[#This Row],[Attributes]],Table4[[#This Row],[loc of mdi]]+3),LEN(Table4[[#This Row],[Attributes]])+1))</f>
        <v/>
      </c>
      <c r="G119" s="6" t="str">
        <f>IFERROR(MID(Table4[[#This Row],[Attributes]],Table4[[#This Row],[loc of mdi]],Table4[[#This Row],[loc of space after mdi]]-Table4[[#This Row],[loc of mdi]]),"")</f>
        <v/>
      </c>
      <c r="H119" s="6" t="str">
        <f>IF(COUNTIFS(entities[entity_id],Table4[[#This Row],[Entity]])=1,"yes","missing from 'Entities' tab")</f>
        <v>yes</v>
      </c>
      <c r="I119" s="6" t="str">
        <f>LEFT(Table4[[#This Row],[Entity]],FIND(".",Table4[[#This Row],[Entity]])-1)</f>
        <v>script</v>
      </c>
      <c r="J119" s="6" t="str">
        <f>MID(Table4[[#This Row],[Entity]],FIND(".",Table4[[#This Row],[Entity]])+1,999)</f>
        <v>dusk</v>
      </c>
    </row>
    <row r="120" spans="2:10" x14ac:dyDescent="0.45">
      <c r="B120" t="s">
        <v>159</v>
      </c>
      <c r="C120" t="s">
        <v>91</v>
      </c>
      <c r="E120" s="6" t="str">
        <f>IFERROR(FIND("mdi:",Table4[[#This Row],[Attributes]]),"")</f>
        <v/>
      </c>
      <c r="F120" s="6" t="str">
        <f>IF(Table4[[#This Row],[loc of mdi]]="","",IFERROR(FIND(" ",Table4[[#This Row],[Attributes]],Table4[[#This Row],[loc of mdi]]+3),LEN(Table4[[#This Row],[Attributes]])+1))</f>
        <v/>
      </c>
      <c r="G120" s="6" t="str">
        <f>IFERROR(MID(Table4[[#This Row],[Attributes]],Table4[[#This Row],[loc of mdi]],Table4[[#This Row],[loc of space after mdi]]-Table4[[#This Row],[loc of mdi]]),"")</f>
        <v/>
      </c>
      <c r="H120" s="6" t="str">
        <f>IF(COUNTIFS(entities[entity_id],Table4[[#This Row],[Entity]])=1,"yes","missing from 'Entities' tab")</f>
        <v>yes</v>
      </c>
      <c r="I120" s="6" t="str">
        <f>LEFT(Table4[[#This Row],[Entity]],FIND(".",Table4[[#This Row],[Entity]])-1)</f>
        <v>script</v>
      </c>
      <c r="J120" s="6" t="str">
        <f>MID(Table4[[#This Row],[Entity]],FIND(".",Table4[[#This Row],[Entity]])+1,999)</f>
        <v>full_bright</v>
      </c>
    </row>
    <row r="121" spans="2:10" x14ac:dyDescent="0.45">
      <c r="B121" t="s">
        <v>748</v>
      </c>
      <c r="C121" t="s">
        <v>91</v>
      </c>
      <c r="E121" s="6" t="str">
        <f>IFERROR(FIND("mdi:",Table4[[#This Row],[Attributes]]),"")</f>
        <v/>
      </c>
      <c r="F121" s="6" t="str">
        <f>IF(Table4[[#This Row],[loc of mdi]]="","",IFERROR(FIND(" ",Table4[[#This Row],[Attributes]],Table4[[#This Row],[loc of mdi]]+3),LEN(Table4[[#This Row],[Attributes]])+1))</f>
        <v/>
      </c>
      <c r="G121" s="6" t="str">
        <f>IFERROR(MID(Table4[[#This Row],[Attributes]],Table4[[#This Row],[loc of mdi]],Table4[[#This Row],[loc of space after mdi]]-Table4[[#This Row],[loc of mdi]]),"")</f>
        <v/>
      </c>
      <c r="H121" s="6" t="str">
        <f>IF(COUNTIFS(entities[entity_id],Table4[[#This Row],[Entity]])=1,"yes","missing from 'Entities' tab")</f>
        <v>yes</v>
      </c>
      <c r="I121" s="6" t="str">
        <f>LEFT(Table4[[#This Row],[Entity]],FIND(".",Table4[[#This Row],[Entity]])-1)</f>
        <v>script</v>
      </c>
      <c r="J121" s="6" t="str">
        <f>MID(Table4[[#This Row],[Entity]],FIND(".",Table4[[#This Row],[Entity]])+1,999)</f>
        <v>good_night</v>
      </c>
    </row>
    <row r="122" spans="2:10" x14ac:dyDescent="0.45">
      <c r="B122" t="s">
        <v>160</v>
      </c>
      <c r="C122" t="s">
        <v>91</v>
      </c>
      <c r="E122" s="6" t="str">
        <f>IFERROR(FIND("mdi:",Table4[[#This Row],[Attributes]]),"")</f>
        <v/>
      </c>
      <c r="F122" s="6" t="str">
        <f>IF(Table4[[#This Row],[loc of mdi]]="","",IFERROR(FIND(" ",Table4[[#This Row],[Attributes]],Table4[[#This Row],[loc of mdi]]+3),LEN(Table4[[#This Row],[Attributes]])+1))</f>
        <v/>
      </c>
      <c r="G122" s="6" t="str">
        <f>IFERROR(MID(Table4[[#This Row],[Attributes]],Table4[[#This Row],[loc of mdi]],Table4[[#This Row],[loc of space after mdi]]-Table4[[#This Row],[loc of mdi]]),"")</f>
        <v/>
      </c>
      <c r="H122" s="6" t="str">
        <f>IF(COUNTIFS(entities[entity_id],Table4[[#This Row],[Entity]])=1,"yes","missing from 'Entities' tab")</f>
        <v>yes</v>
      </c>
      <c r="I122" s="6" t="str">
        <f>LEFT(Table4[[#This Row],[Entity]],FIND(".",Table4[[#This Row],[Entity]])-1)</f>
        <v>script</v>
      </c>
      <c r="J122" s="6" t="str">
        <f>MID(Table4[[#This Row],[Entity]],FIND(".",Table4[[#This Row],[Entity]])+1,999)</f>
        <v>half_bright</v>
      </c>
    </row>
    <row r="123" spans="2:10" x14ac:dyDescent="0.45">
      <c r="B123" t="s">
        <v>806</v>
      </c>
      <c r="C123" t="s">
        <v>91</v>
      </c>
      <c r="E123" s="6" t="str">
        <f>IFERROR(FIND("mdi:",Table4[[#This Row],[Attributes]]),"")</f>
        <v/>
      </c>
      <c r="F123" s="6" t="str">
        <f>IF(Table4[[#This Row],[loc of mdi]]="","",IFERROR(FIND(" ",Table4[[#This Row],[Attributes]],Table4[[#This Row],[loc of mdi]]+3),LEN(Table4[[#This Row],[Attributes]])+1))</f>
        <v/>
      </c>
      <c r="G123" s="6" t="str">
        <f>IFERROR(MID(Table4[[#This Row],[Attributes]],Table4[[#This Row],[loc of mdi]],Table4[[#This Row],[loc of space after mdi]]-Table4[[#This Row],[loc of mdi]]),"")</f>
        <v/>
      </c>
      <c r="H123" s="6" t="str">
        <f>IF(COUNTIFS(entities[entity_id],Table4[[#This Row],[Entity]])=1,"yes","missing from 'Entities' tab")</f>
        <v>yes</v>
      </c>
      <c r="I123" s="6" t="str">
        <f>LEFT(Table4[[#This Row],[Entity]],FIND(".",Table4[[#This Row],[Entity]])-1)</f>
        <v>script</v>
      </c>
      <c r="J123" s="6" t="str">
        <f>MID(Table4[[#This Row],[Entity]],FIND(".",Table4[[#This Row],[Entity]])+1,999)</f>
        <v>living_room_vol_to_4</v>
      </c>
    </row>
    <row r="124" spans="2:10" x14ac:dyDescent="0.45">
      <c r="B124" t="s">
        <v>161</v>
      </c>
      <c r="C124" t="s">
        <v>91</v>
      </c>
      <c r="E124" s="6" t="str">
        <f>IFERROR(FIND("mdi:",Table4[[#This Row],[Attributes]]),"")</f>
        <v/>
      </c>
      <c r="F124" s="6" t="str">
        <f>IF(Table4[[#This Row],[loc of mdi]]="","",IFERROR(FIND(" ",Table4[[#This Row],[Attributes]],Table4[[#This Row],[loc of mdi]]+3),LEN(Table4[[#This Row],[Attributes]])+1))</f>
        <v/>
      </c>
      <c r="G124" s="6" t="str">
        <f>IFERROR(MID(Table4[[#This Row],[Attributes]],Table4[[#This Row],[loc of mdi]],Table4[[#This Row],[loc of space after mdi]]-Table4[[#This Row],[loc of mdi]]),"")</f>
        <v/>
      </c>
      <c r="H124" s="6" t="str">
        <f>IF(COUNTIFS(entities[entity_id],Table4[[#This Row],[Entity]])=1,"yes","missing from 'Entities' tab")</f>
        <v>yes</v>
      </c>
      <c r="I124" s="6" t="str">
        <f>LEFT(Table4[[#This Row],[Entity]],FIND(".",Table4[[#This Row],[Entity]])-1)</f>
        <v>script</v>
      </c>
      <c r="J124" s="6" t="str">
        <f>MID(Table4[[#This Row],[Entity]],FIND(".",Table4[[#This Row],[Entity]])+1,999)</f>
        <v>reading</v>
      </c>
    </row>
    <row r="125" spans="2:10" x14ac:dyDescent="0.45">
      <c r="B125" t="s">
        <v>162</v>
      </c>
      <c r="C125" t="s">
        <v>91</v>
      </c>
      <c r="E125" s="6" t="str">
        <f>IFERROR(FIND("mdi:",Table4[[#This Row],[Attributes]]),"")</f>
        <v/>
      </c>
      <c r="F125" s="6" t="str">
        <f>IF(Table4[[#This Row],[loc of mdi]]="","",IFERROR(FIND(" ",Table4[[#This Row],[Attributes]],Table4[[#This Row],[loc of mdi]]+3),LEN(Table4[[#This Row],[Attributes]])+1))</f>
        <v/>
      </c>
      <c r="G125" s="6" t="str">
        <f>IFERROR(MID(Table4[[#This Row],[Attributes]],Table4[[#This Row],[loc of mdi]],Table4[[#This Row],[loc of space after mdi]]-Table4[[#This Row],[loc of mdi]]),"")</f>
        <v/>
      </c>
      <c r="H125" s="6" t="str">
        <f>IF(COUNTIFS(entities[entity_id],Table4[[#This Row],[Entity]])=1,"yes","missing from 'Entities' tab")</f>
        <v>yes</v>
      </c>
      <c r="I125" s="6" t="str">
        <f>LEFT(Table4[[#This Row],[Entity]],FIND(".",Table4[[#This Row],[Entity]])-1)</f>
        <v>script</v>
      </c>
      <c r="J125" s="6" t="str">
        <f>MID(Table4[[#This Row],[Entity]],FIND(".",Table4[[#This Row],[Entity]])+1,999)</f>
        <v>twilight</v>
      </c>
    </row>
    <row r="126" spans="2:10" x14ac:dyDescent="0.45">
      <c r="B126" t="s">
        <v>828</v>
      </c>
      <c r="C126" t="s">
        <v>91</v>
      </c>
      <c r="E126" s="6" t="str">
        <f>IFERROR(FIND("mdi:",Table4[[#This Row],[Attributes]]),"")</f>
        <v/>
      </c>
      <c r="F126" s="6" t="str">
        <f>IF(Table4[[#This Row],[loc of mdi]]="","",IFERROR(FIND(" ",Table4[[#This Row],[Attributes]],Table4[[#This Row],[loc of mdi]]+3),LEN(Table4[[#This Row],[Attributes]])+1))</f>
        <v/>
      </c>
      <c r="G126" s="6" t="str">
        <f>IFERROR(MID(Table4[[#This Row],[Attributes]],Table4[[#This Row],[loc of mdi]],Table4[[#This Row],[loc of space after mdi]]-Table4[[#This Row],[loc of mdi]]),"")</f>
        <v/>
      </c>
      <c r="H126" s="6" t="str">
        <f>IF(COUNTIFS(entities[entity_id],Table4[[#This Row],[Entity]])=1,"yes","missing from 'Entities' tab")</f>
        <v>yes</v>
      </c>
      <c r="I126" s="6" t="str">
        <f>LEFT(Table4[[#This Row],[Entity]],FIND(".",Table4[[#This Row],[Entity]])-1)</f>
        <v>script</v>
      </c>
      <c r="J126" s="6" t="str">
        <f>MID(Table4[[#This Row],[Entity]],FIND(".",Table4[[#This Row],[Entity]])+1,999)</f>
        <v>vacation_lights</v>
      </c>
    </row>
    <row r="127" spans="2:10" x14ac:dyDescent="0.45">
      <c r="B127" t="s">
        <v>163</v>
      </c>
      <c r="C127" t="s">
        <v>91</v>
      </c>
      <c r="E127" s="6" t="str">
        <f>IFERROR(FIND("mdi:",Table4[[#This Row],[Attributes]]),"")</f>
        <v/>
      </c>
      <c r="F127" s="6" t="str">
        <f>IF(Table4[[#This Row],[loc of mdi]]="","",IFERROR(FIND(" ",Table4[[#This Row],[Attributes]],Table4[[#This Row],[loc of mdi]]+3),LEN(Table4[[#This Row],[Attributes]])+1))</f>
        <v/>
      </c>
      <c r="G127" s="6" t="str">
        <f>IFERROR(MID(Table4[[#This Row],[Attributes]],Table4[[#This Row],[loc of mdi]],Table4[[#This Row],[loc of space after mdi]]-Table4[[#This Row],[loc of mdi]]),"")</f>
        <v/>
      </c>
      <c r="H127" s="6" t="str">
        <f>IF(COUNTIFS(entities[entity_id],Table4[[#This Row],[Entity]])=1,"yes","missing from 'Entities' tab")</f>
        <v>yes</v>
      </c>
      <c r="I127" s="6" t="str">
        <f>LEFT(Table4[[#This Row],[Entity]],FIND(".",Table4[[#This Row],[Entity]])-1)</f>
        <v>script</v>
      </c>
      <c r="J127" s="6" t="str">
        <f>MID(Table4[[#This Row],[Entity]],FIND(".",Table4[[#This Row],[Entity]])+1,999)</f>
        <v>wake_up</v>
      </c>
    </row>
    <row r="128" spans="2:10" x14ac:dyDescent="0.45">
      <c r="B128" t="s">
        <v>164</v>
      </c>
      <c r="C128">
        <v>9</v>
      </c>
      <c r="E128" s="6" t="str">
        <f>IFERROR(FIND("mdi:",Table4[[#This Row],[Attributes]]),"")</f>
        <v/>
      </c>
      <c r="F128" s="6" t="str">
        <f>IF(Table4[[#This Row],[loc of mdi]]="","",IFERROR(FIND(" ",Table4[[#This Row],[Attributes]],Table4[[#This Row],[loc of mdi]]+3),LEN(Table4[[#This Row],[Attributes]])+1))</f>
        <v/>
      </c>
      <c r="G128" s="6" t="str">
        <f>IFERROR(MID(Table4[[#This Row],[Attributes]],Table4[[#This Row],[loc of mdi]],Table4[[#This Row],[loc of space after mdi]]-Table4[[#This Row],[loc of mdi]]),"")</f>
        <v/>
      </c>
      <c r="H128" s="6" t="str">
        <f>IF(COUNTIFS(entities[entity_id],Table4[[#This Row],[Entity]])=1,"yes","missing from 'Entities' tab")</f>
        <v>yes</v>
      </c>
      <c r="I128" s="6" t="str">
        <f>LEFT(Table4[[#This Row],[Entity]],FIND(".",Table4[[#This Row],[Entity]])-1)</f>
        <v>sensor</v>
      </c>
      <c r="J128" s="6" t="str">
        <f>MID(Table4[[#This Row],[Entity]],FIND(".",Table4[[#This Row],[Entity]])+1,999)</f>
        <v>alarm_clock_hour</v>
      </c>
    </row>
    <row r="129" spans="2:10" x14ac:dyDescent="0.45">
      <c r="B129" t="s">
        <v>165</v>
      </c>
      <c r="C129">
        <v>25</v>
      </c>
      <c r="E129" s="6" t="str">
        <f>IFERROR(FIND("mdi:",Table4[[#This Row],[Attributes]]),"")</f>
        <v/>
      </c>
      <c r="F129" s="6" t="str">
        <f>IF(Table4[[#This Row],[loc of mdi]]="","",IFERROR(FIND(" ",Table4[[#This Row],[Attributes]],Table4[[#This Row],[loc of mdi]]+3),LEN(Table4[[#This Row],[Attributes]])+1))</f>
        <v/>
      </c>
      <c r="G129" s="6" t="str">
        <f>IFERROR(MID(Table4[[#This Row],[Attributes]],Table4[[#This Row],[loc of mdi]],Table4[[#This Row],[loc of space after mdi]]-Table4[[#This Row],[loc of mdi]]),"")</f>
        <v/>
      </c>
      <c r="H129" s="6" t="str">
        <f>IF(COUNTIFS(entities[entity_id],Table4[[#This Row],[Entity]])=1,"yes","missing from 'Entities' tab")</f>
        <v>yes</v>
      </c>
      <c r="I129" s="6" t="str">
        <f>LEFT(Table4[[#This Row],[Entity]],FIND(".",Table4[[#This Row],[Entity]])-1)</f>
        <v>sensor</v>
      </c>
      <c r="J129" s="6" t="str">
        <f>MID(Table4[[#This Row],[Entity]],FIND(".",Table4[[#This Row],[Entity]])+1,999)</f>
        <v>alarm_clock_minute</v>
      </c>
    </row>
    <row r="130" spans="2:10" x14ac:dyDescent="0.45">
      <c r="B130" t="s">
        <v>166</v>
      </c>
      <c r="C130">
        <v>0.3923611111111111</v>
      </c>
      <c r="E130" s="6" t="str">
        <f>IFERROR(FIND("mdi:",Table4[[#This Row],[Attributes]]),"")</f>
        <v/>
      </c>
      <c r="F130" s="6" t="str">
        <f>IF(Table4[[#This Row],[loc of mdi]]="","",IFERROR(FIND(" ",Table4[[#This Row],[Attributes]],Table4[[#This Row],[loc of mdi]]+3),LEN(Table4[[#This Row],[Attributes]])+1))</f>
        <v/>
      </c>
      <c r="G130" s="6" t="str">
        <f>IFERROR(MID(Table4[[#This Row],[Attributes]],Table4[[#This Row],[loc of mdi]],Table4[[#This Row],[loc of space after mdi]]-Table4[[#This Row],[loc of mdi]]),"")</f>
        <v/>
      </c>
      <c r="H130" s="6" t="str">
        <f>IF(COUNTIFS(entities[entity_id],Table4[[#This Row],[Entity]])=1,"yes","missing from 'Entities' tab")</f>
        <v>yes</v>
      </c>
      <c r="I130" s="6" t="str">
        <f>LEFT(Table4[[#This Row],[Entity]],FIND(".",Table4[[#This Row],[Entity]])-1)</f>
        <v>sensor</v>
      </c>
      <c r="J130" s="6" t="str">
        <f>MID(Table4[[#This Row],[Entity]],FIND(".",Table4[[#This Row],[Entity]])+1,999)</f>
        <v>alarm_clock_time</v>
      </c>
    </row>
    <row r="131" spans="2:10" x14ac:dyDescent="0.45">
      <c r="B131" t="s">
        <v>167</v>
      </c>
      <c r="C131">
        <v>0.3923611111111111</v>
      </c>
      <c r="E131" s="6" t="str">
        <f>IFERROR(FIND("mdi:",Table4[[#This Row],[Attributes]]),"")</f>
        <v/>
      </c>
      <c r="F131" s="6" t="str">
        <f>IF(Table4[[#This Row],[loc of mdi]]="","",IFERROR(FIND(" ",Table4[[#This Row],[Attributes]],Table4[[#This Row],[loc of mdi]]+3),LEN(Table4[[#This Row],[Attributes]])+1))</f>
        <v/>
      </c>
      <c r="G131" s="6" t="str">
        <f>IFERROR(MID(Table4[[#This Row],[Attributes]],Table4[[#This Row],[loc of mdi]],Table4[[#This Row],[loc of space after mdi]]-Table4[[#This Row],[loc of mdi]]),"")</f>
        <v/>
      </c>
      <c r="H131" s="6" t="str">
        <f>IF(COUNTIFS(entities[entity_id],Table4[[#This Row],[Entity]])=1,"yes","missing from 'Entities' tab")</f>
        <v>yes</v>
      </c>
      <c r="I131" s="6" t="str">
        <f>LEFT(Table4[[#This Row],[Entity]],FIND(".",Table4[[#This Row],[Entity]])-1)</f>
        <v>sensor</v>
      </c>
      <c r="J131" s="6" t="str">
        <f>MID(Table4[[#This Row],[Entity]],FIND(".",Table4[[#This Row],[Entity]])+1,999)</f>
        <v>alarm_clock_time_long</v>
      </c>
    </row>
    <row r="132" spans="2:10" x14ac:dyDescent="0.45">
      <c r="B132" t="s">
        <v>168</v>
      </c>
      <c r="C132">
        <v>43</v>
      </c>
      <c r="E132" s="6" t="str">
        <f>IFERROR(FIND("mdi:",Table4[[#This Row],[Attributes]]),"")</f>
        <v/>
      </c>
      <c r="F132" s="6" t="str">
        <f>IF(Table4[[#This Row],[loc of mdi]]="","",IFERROR(FIND(" ",Table4[[#This Row],[Attributes]],Table4[[#This Row],[loc of mdi]]+3),LEN(Table4[[#This Row],[Attributes]])+1))</f>
        <v/>
      </c>
      <c r="G132" s="6" t="str">
        <f>IFERROR(MID(Table4[[#This Row],[Attributes]],Table4[[#This Row],[loc of mdi]],Table4[[#This Row],[loc of space after mdi]]-Table4[[#This Row],[loc of mdi]]),"")</f>
        <v/>
      </c>
      <c r="H132" s="6" t="str">
        <f>IF(COUNTIFS(entities[entity_id],Table4[[#This Row],[Entity]])=1,"yes","missing from 'Entities' tab")</f>
        <v>yes</v>
      </c>
      <c r="I132" s="6" t="str">
        <f>LEFT(Table4[[#This Row],[Entity]],FIND(".",Table4[[#This Row],[Entity]])-1)</f>
        <v>sensor</v>
      </c>
      <c r="J132" s="6" t="str">
        <f>MID(Table4[[#This Row],[Entity]],FIND(".",Table4[[#This Row],[Entity]])+1,999)</f>
        <v>batt_multi_sensor</v>
      </c>
    </row>
    <row r="133" spans="2:10" x14ac:dyDescent="0.45">
      <c r="B133" t="s">
        <v>169</v>
      </c>
      <c r="C133">
        <v>113</v>
      </c>
      <c r="E133" s="6" t="str">
        <f>IFERROR(FIND("mdi:",Table4[[#This Row],[Attributes]]),"")</f>
        <v/>
      </c>
      <c r="F133" s="6" t="str">
        <f>IF(Table4[[#This Row],[loc of mdi]]="","",IFERROR(FIND(" ",Table4[[#This Row],[Attributes]],Table4[[#This Row],[loc of mdi]]+3),LEN(Table4[[#This Row],[Attributes]])+1))</f>
        <v/>
      </c>
      <c r="G133" s="6" t="str">
        <f>IFERROR(MID(Table4[[#This Row],[Attributes]],Table4[[#This Row],[loc of mdi]],Table4[[#This Row],[loc of space after mdi]]-Table4[[#This Row],[loc of mdi]]),"")</f>
        <v/>
      </c>
      <c r="H133" s="6" t="str">
        <f>IF(COUNTIFS(entities[entity_id],Table4[[#This Row],[Entity]])=1,"yes","missing from 'Entities' tab")</f>
        <v>yes</v>
      </c>
      <c r="I133" s="6" t="str">
        <f>LEFT(Table4[[#This Row],[Entity]],FIND(".",Table4[[#This Row],[Entity]])-1)</f>
        <v>sensor</v>
      </c>
      <c r="J133" s="6" t="str">
        <f>MID(Table4[[#This Row],[Entity]],FIND(".",Table4[[#This Row],[Entity]])+1,999)</f>
        <v>cpu_temp</v>
      </c>
    </row>
    <row r="134" spans="2:10" x14ac:dyDescent="0.45">
      <c r="B134" t="s">
        <v>170</v>
      </c>
      <c r="C134">
        <v>4</v>
      </c>
      <c r="E134" s="6" t="str">
        <f>IFERROR(FIND("mdi:",Table4[[#This Row],[Attributes]]),"")</f>
        <v/>
      </c>
      <c r="F134" s="6" t="str">
        <f>IF(Table4[[#This Row],[loc of mdi]]="","",IFERROR(FIND(" ",Table4[[#This Row],[Attributes]],Table4[[#This Row],[loc of mdi]]+3),LEN(Table4[[#This Row],[Attributes]])+1))</f>
        <v/>
      </c>
      <c r="G134" s="6" t="str">
        <f>IFERROR(MID(Table4[[#This Row],[Attributes]],Table4[[#This Row],[loc of mdi]],Table4[[#This Row],[loc of space after mdi]]-Table4[[#This Row],[loc of mdi]]),"")</f>
        <v/>
      </c>
      <c r="H134" s="6" t="str">
        <f>IF(COUNTIFS(entities[entity_id],Table4[[#This Row],[Entity]])=1,"yes","missing from 'Entities' tab")</f>
        <v>yes</v>
      </c>
      <c r="I134" s="6" t="str">
        <f>LEFT(Table4[[#This Row],[Entity]],FIND(".",Table4[[#This Row],[Entity]])-1)</f>
        <v>sensor</v>
      </c>
      <c r="J134" s="6" t="str">
        <f>MID(Table4[[#This Row],[Entity]],FIND(".",Table4[[#This Row],[Entity]])+1,999)</f>
        <v>cpu_use</v>
      </c>
    </row>
    <row r="135" spans="2:10" x14ac:dyDescent="0.45">
      <c r="B135" t="s">
        <v>171</v>
      </c>
      <c r="C135">
        <v>39.5</v>
      </c>
      <c r="E135" s="6" t="str">
        <f>IFERROR(FIND("mdi:",Table4[[#This Row],[Attributes]]),"")</f>
        <v/>
      </c>
      <c r="F135" s="6" t="str">
        <f>IF(Table4[[#This Row],[loc of mdi]]="","",IFERROR(FIND(" ",Table4[[#This Row],[Attributes]],Table4[[#This Row],[loc of mdi]]+3),LEN(Table4[[#This Row],[Attributes]])+1))</f>
        <v/>
      </c>
      <c r="G135" s="6" t="str">
        <f>IFERROR(MID(Table4[[#This Row],[Attributes]],Table4[[#This Row],[loc of mdi]],Table4[[#This Row],[loc of space after mdi]]-Table4[[#This Row],[loc of mdi]]),"")</f>
        <v/>
      </c>
      <c r="H135" s="6" t="str">
        <f>IF(COUNTIFS(entities[entity_id],Table4[[#This Row],[Entity]])=1,"yes","missing from 'Entities' tab")</f>
        <v>yes</v>
      </c>
      <c r="I135" s="6" t="str">
        <f>LEFT(Table4[[#This Row],[Entity]],FIND(".",Table4[[#This Row],[Entity]])-1)</f>
        <v>sensor</v>
      </c>
      <c r="J135" s="6" t="str">
        <f>MID(Table4[[#This Row],[Entity]],FIND(".",Table4[[#This Row],[Entity]])+1,999)</f>
        <v>dark_sky_apparent_temperature</v>
      </c>
    </row>
    <row r="136" spans="2:10" x14ac:dyDescent="0.45">
      <c r="B136" t="s">
        <v>172</v>
      </c>
      <c r="C136">
        <v>2</v>
      </c>
      <c r="E136" s="6" t="str">
        <f>IFERROR(FIND("mdi:",Table4[[#This Row],[Attributes]]),"")</f>
        <v/>
      </c>
      <c r="F136" s="6" t="str">
        <f>IF(Table4[[#This Row],[loc of mdi]]="","",IFERROR(FIND(" ",Table4[[#This Row],[Attributes]],Table4[[#This Row],[loc of mdi]]+3),LEN(Table4[[#This Row],[Attributes]])+1))</f>
        <v/>
      </c>
      <c r="G136" s="6" t="str">
        <f>IFERROR(MID(Table4[[#This Row],[Attributes]],Table4[[#This Row],[loc of mdi]],Table4[[#This Row],[loc of space after mdi]]-Table4[[#This Row],[loc of mdi]]),"")</f>
        <v/>
      </c>
      <c r="H136" s="6" t="str">
        <f>IF(COUNTIFS(entities[entity_id],Table4[[#This Row],[Entity]])=1,"yes","missing from 'Entities' tab")</f>
        <v>yes</v>
      </c>
      <c r="I136" s="6" t="str">
        <f>LEFT(Table4[[#This Row],[Entity]],FIND(".",Table4[[#This Row],[Entity]])-1)</f>
        <v>sensor</v>
      </c>
      <c r="J136" s="6" t="str">
        <f>MID(Table4[[#This Row],[Entity]],FIND(".",Table4[[#This Row],[Entity]])+1,999)</f>
        <v>dark_sky_cloud_coverage</v>
      </c>
    </row>
    <row r="137" spans="2:10" x14ac:dyDescent="0.45">
      <c r="B137" t="s">
        <v>173</v>
      </c>
      <c r="C137">
        <v>41.3</v>
      </c>
      <c r="E137" s="6" t="str">
        <f>IFERROR(FIND("mdi:",Table4[[#This Row],[Attributes]]),"")</f>
        <v/>
      </c>
      <c r="F137" s="6" t="str">
        <f>IF(Table4[[#This Row],[loc of mdi]]="","",IFERROR(FIND(" ",Table4[[#This Row],[Attributes]],Table4[[#This Row],[loc of mdi]]+3),LEN(Table4[[#This Row],[Attributes]])+1))</f>
        <v/>
      </c>
      <c r="G137" s="6" t="str">
        <f>IFERROR(MID(Table4[[#This Row],[Attributes]],Table4[[#This Row],[loc of mdi]],Table4[[#This Row],[loc of space after mdi]]-Table4[[#This Row],[loc of mdi]]),"")</f>
        <v/>
      </c>
      <c r="H137" s="6" t="str">
        <f>IF(COUNTIFS(entities[entity_id],Table4[[#This Row],[Entity]])=1,"yes","missing from 'Entities' tab")</f>
        <v>yes</v>
      </c>
      <c r="I137" s="6" t="str">
        <f>LEFT(Table4[[#This Row],[Entity]],FIND(".",Table4[[#This Row],[Entity]])-1)</f>
        <v>sensor</v>
      </c>
      <c r="J137" s="6" t="str">
        <f>MID(Table4[[#This Row],[Entity]],FIND(".",Table4[[#This Row],[Entity]])+1,999)</f>
        <v>dark_sky_daily_high_apparent_temperature</v>
      </c>
    </row>
    <row r="138" spans="2:10" x14ac:dyDescent="0.45">
      <c r="B138" t="s">
        <v>174</v>
      </c>
      <c r="C138">
        <v>44.8</v>
      </c>
      <c r="E138" s="6" t="str">
        <f>IFERROR(FIND("mdi:",Table4[[#This Row],[Attributes]]),"")</f>
        <v/>
      </c>
      <c r="F138" s="6" t="str">
        <f>IF(Table4[[#This Row],[loc of mdi]]="","",IFERROR(FIND(" ",Table4[[#This Row],[Attributes]],Table4[[#This Row],[loc of mdi]]+3),LEN(Table4[[#This Row],[Attributes]])+1))</f>
        <v/>
      </c>
      <c r="G138" s="6" t="str">
        <f>IFERROR(MID(Table4[[#This Row],[Attributes]],Table4[[#This Row],[loc of mdi]],Table4[[#This Row],[loc of space after mdi]]-Table4[[#This Row],[loc of mdi]]),"")</f>
        <v/>
      </c>
      <c r="H138" s="6" t="str">
        <f>IF(COUNTIFS(entities[entity_id],Table4[[#This Row],[Entity]])=1,"yes","missing from 'Entities' tab")</f>
        <v>yes</v>
      </c>
      <c r="I138" s="6" t="str">
        <f>LEFT(Table4[[#This Row],[Entity]],FIND(".",Table4[[#This Row],[Entity]])-1)</f>
        <v>sensor</v>
      </c>
      <c r="J138" s="6" t="str">
        <f>MID(Table4[[#This Row],[Entity]],FIND(".",Table4[[#This Row],[Entity]])+1,999)</f>
        <v>dark_sky_daily_high_temperature</v>
      </c>
    </row>
    <row r="139" spans="2:10" x14ac:dyDescent="0.45">
      <c r="B139" t="s">
        <v>175</v>
      </c>
      <c r="C139">
        <v>28.6</v>
      </c>
      <c r="E139" s="6" t="str">
        <f>IFERROR(FIND("mdi:",Table4[[#This Row],[Attributes]]),"")</f>
        <v/>
      </c>
      <c r="F139" s="6" t="str">
        <f>IF(Table4[[#This Row],[loc of mdi]]="","",IFERROR(FIND(" ",Table4[[#This Row],[Attributes]],Table4[[#This Row],[loc of mdi]]+3),LEN(Table4[[#This Row],[Attributes]])+1))</f>
        <v/>
      </c>
      <c r="G139" s="6" t="str">
        <f>IFERROR(MID(Table4[[#This Row],[Attributes]],Table4[[#This Row],[loc of mdi]],Table4[[#This Row],[loc of space after mdi]]-Table4[[#This Row],[loc of mdi]]),"")</f>
        <v/>
      </c>
      <c r="H139" s="6" t="str">
        <f>IF(COUNTIFS(entities[entity_id],Table4[[#This Row],[Entity]])=1,"yes","missing from 'Entities' tab")</f>
        <v>yes</v>
      </c>
      <c r="I139" s="6" t="str">
        <f>LEFT(Table4[[#This Row],[Entity]],FIND(".",Table4[[#This Row],[Entity]])-1)</f>
        <v>sensor</v>
      </c>
      <c r="J139" s="6" t="str">
        <f>MID(Table4[[#This Row],[Entity]],FIND(".",Table4[[#This Row],[Entity]])+1,999)</f>
        <v>dark_sky_daily_low_apparent_temperature</v>
      </c>
    </row>
    <row r="140" spans="2:10" x14ac:dyDescent="0.45">
      <c r="B140" t="s">
        <v>176</v>
      </c>
      <c r="C140">
        <v>34.1</v>
      </c>
      <c r="E140" s="6" t="str">
        <f>IFERROR(FIND("mdi:",Table4[[#This Row],[Attributes]]),"")</f>
        <v/>
      </c>
      <c r="F140" s="6" t="str">
        <f>IF(Table4[[#This Row],[loc of mdi]]="","",IFERROR(FIND(" ",Table4[[#This Row],[Attributes]],Table4[[#This Row],[loc of mdi]]+3),LEN(Table4[[#This Row],[Attributes]])+1))</f>
        <v/>
      </c>
      <c r="G140" s="6" t="str">
        <f>IFERROR(MID(Table4[[#This Row],[Attributes]],Table4[[#This Row],[loc of mdi]],Table4[[#This Row],[loc of space after mdi]]-Table4[[#This Row],[loc of mdi]]),"")</f>
        <v/>
      </c>
      <c r="H140" s="6" t="str">
        <f>IF(COUNTIFS(entities[entity_id],Table4[[#This Row],[Entity]])=1,"yes","missing from 'Entities' tab")</f>
        <v>yes</v>
      </c>
      <c r="I140" s="6" t="str">
        <f>LEFT(Table4[[#This Row],[Entity]],FIND(".",Table4[[#This Row],[Entity]])-1)</f>
        <v>sensor</v>
      </c>
      <c r="J140" s="6" t="str">
        <f>MID(Table4[[#This Row],[Entity]],FIND(".",Table4[[#This Row],[Entity]])+1,999)</f>
        <v>dark_sky_daily_low_temperature</v>
      </c>
    </row>
    <row r="141" spans="2:10" x14ac:dyDescent="0.45">
      <c r="B141" t="s">
        <v>177</v>
      </c>
      <c r="C141">
        <v>0</v>
      </c>
      <c r="E141" s="6" t="str">
        <f>IFERROR(FIND("mdi:",Table4[[#This Row],[Attributes]]),"")</f>
        <v/>
      </c>
      <c r="F141" s="6" t="str">
        <f>IF(Table4[[#This Row],[loc of mdi]]="","",IFERROR(FIND(" ",Table4[[#This Row],[Attributes]],Table4[[#This Row],[loc of mdi]]+3),LEN(Table4[[#This Row],[Attributes]])+1))</f>
        <v/>
      </c>
      <c r="G141" s="6" t="str">
        <f>IFERROR(MID(Table4[[#This Row],[Attributes]],Table4[[#This Row],[loc of mdi]],Table4[[#This Row],[loc of space after mdi]]-Table4[[#This Row],[loc of mdi]]),"")</f>
        <v/>
      </c>
      <c r="H141" s="6" t="str">
        <f>IF(COUNTIFS(entities[entity_id],Table4[[#This Row],[Entity]])=1,"yes","missing from 'Entities' tab")</f>
        <v>yes</v>
      </c>
      <c r="I141" s="6" t="str">
        <f>LEFT(Table4[[#This Row],[Entity]],FIND(".",Table4[[#This Row],[Entity]])-1)</f>
        <v>sensor</v>
      </c>
      <c r="J141" s="6" t="str">
        <f>MID(Table4[[#This Row],[Entity]],FIND(".",Table4[[#This Row],[Entity]])+1,999)</f>
        <v>dark_sky_daily_max_precip_intensity</v>
      </c>
    </row>
    <row r="142" spans="2:10" x14ac:dyDescent="0.45">
      <c r="B142" t="s">
        <v>178</v>
      </c>
      <c r="C142" t="s">
        <v>838</v>
      </c>
      <c r="E142" s="6" t="str">
        <f>IFERROR(FIND("mdi:",Table4[[#This Row],[Attributes]]),"")</f>
        <v/>
      </c>
      <c r="F142" s="6" t="str">
        <f>IF(Table4[[#This Row],[loc of mdi]]="","",IFERROR(FIND(" ",Table4[[#This Row],[Attributes]],Table4[[#This Row],[loc of mdi]]+3),LEN(Table4[[#This Row],[Attributes]])+1))</f>
        <v/>
      </c>
      <c r="G142" s="6" t="str">
        <f>IFERROR(MID(Table4[[#This Row],[Attributes]],Table4[[#This Row],[loc of mdi]],Table4[[#This Row],[loc of space after mdi]]-Table4[[#This Row],[loc of mdi]]),"")</f>
        <v/>
      </c>
      <c r="H142" s="6" t="str">
        <f>IF(COUNTIFS(entities[entity_id],Table4[[#This Row],[Entity]])=1,"yes","missing from 'Entities' tab")</f>
        <v>yes</v>
      </c>
      <c r="I142" s="6" t="str">
        <f>LEFT(Table4[[#This Row],[Entity]],FIND(".",Table4[[#This Row],[Entity]])-1)</f>
        <v>sensor</v>
      </c>
      <c r="J142" s="6" t="str">
        <f>MID(Table4[[#This Row],[Entity]],FIND(".",Table4[[#This Row],[Entity]])+1,999)</f>
        <v>dark_sky_daily_summary</v>
      </c>
    </row>
    <row r="143" spans="2:10" x14ac:dyDescent="0.45">
      <c r="B143" t="s">
        <v>179</v>
      </c>
      <c r="C143" t="s">
        <v>839</v>
      </c>
      <c r="E143" s="6" t="str">
        <f>IFERROR(FIND("mdi:",Table4[[#This Row],[Attributes]]),"")</f>
        <v/>
      </c>
      <c r="F143" s="6" t="str">
        <f>IF(Table4[[#This Row],[loc of mdi]]="","",IFERROR(FIND(" ",Table4[[#This Row],[Attributes]],Table4[[#This Row],[loc of mdi]]+3),LEN(Table4[[#This Row],[Attributes]])+1))</f>
        <v/>
      </c>
      <c r="G143" s="6" t="str">
        <f>IFERROR(MID(Table4[[#This Row],[Attributes]],Table4[[#This Row],[loc of mdi]],Table4[[#This Row],[loc of space after mdi]]-Table4[[#This Row],[loc of mdi]]),"")</f>
        <v/>
      </c>
      <c r="H143" s="6" t="str">
        <f>IF(COUNTIFS(entities[entity_id],Table4[[#This Row],[Entity]])=1,"yes","missing from 'Entities' tab")</f>
        <v>yes</v>
      </c>
      <c r="I143" s="6" t="str">
        <f>LEFT(Table4[[#This Row],[Entity]],FIND(".",Table4[[#This Row],[Entity]])-1)</f>
        <v>sensor</v>
      </c>
      <c r="J143" s="6" t="str">
        <f>MID(Table4[[#This Row],[Entity]],FIND(".",Table4[[#This Row],[Entity]])+1,999)</f>
        <v>dark_sky_hourly_summary</v>
      </c>
    </row>
    <row r="144" spans="2:10" x14ac:dyDescent="0.45">
      <c r="B144" t="s">
        <v>180</v>
      </c>
      <c r="C144">
        <v>48</v>
      </c>
      <c r="E144" s="6" t="str">
        <f>IFERROR(FIND("mdi:",Table4[[#This Row],[Attributes]]),"")</f>
        <v/>
      </c>
      <c r="F144" s="6" t="str">
        <f>IF(Table4[[#This Row],[loc of mdi]]="","",IFERROR(FIND(" ",Table4[[#This Row],[Attributes]],Table4[[#This Row],[loc of mdi]]+3),LEN(Table4[[#This Row],[Attributes]])+1))</f>
        <v/>
      </c>
      <c r="G144" s="6" t="str">
        <f>IFERROR(MID(Table4[[#This Row],[Attributes]],Table4[[#This Row],[loc of mdi]],Table4[[#This Row],[loc of space after mdi]]-Table4[[#This Row],[loc of mdi]]),"")</f>
        <v/>
      </c>
      <c r="H144" s="6" t="str">
        <f>IF(COUNTIFS(entities[entity_id],Table4[[#This Row],[Entity]])=1,"yes","missing from 'Entities' tab")</f>
        <v>yes</v>
      </c>
      <c r="I144" s="6" t="str">
        <f>LEFT(Table4[[#This Row],[Entity]],FIND(".",Table4[[#This Row],[Entity]])-1)</f>
        <v>sensor</v>
      </c>
      <c r="J144" s="6" t="str">
        <f>MID(Table4[[#This Row],[Entity]],FIND(".",Table4[[#This Row],[Entity]])+1,999)</f>
        <v>dark_sky_humidity</v>
      </c>
    </row>
    <row r="145" spans="2:10" x14ac:dyDescent="0.45">
      <c r="B145" t="s">
        <v>181</v>
      </c>
      <c r="C145" t="s">
        <v>840</v>
      </c>
      <c r="E145" s="6" t="str">
        <f>IFERROR(FIND("mdi:",Table4[[#This Row],[Attributes]]),"")</f>
        <v/>
      </c>
      <c r="F145" s="6" t="str">
        <f>IF(Table4[[#This Row],[loc of mdi]]="","",IFERROR(FIND(" ",Table4[[#This Row],[Attributes]],Table4[[#This Row],[loc of mdi]]+3),LEN(Table4[[#This Row],[Attributes]])+1))</f>
        <v/>
      </c>
      <c r="G145" s="6" t="str">
        <f>IFERROR(MID(Table4[[#This Row],[Attributes]],Table4[[#This Row],[loc of mdi]],Table4[[#This Row],[loc of space after mdi]]-Table4[[#This Row],[loc of mdi]]),"")</f>
        <v/>
      </c>
      <c r="H145" s="6" t="str">
        <f>IF(COUNTIFS(entities[entity_id],Table4[[#This Row],[Entity]])=1,"yes","missing from 'Entities' tab")</f>
        <v>yes</v>
      </c>
      <c r="I145" s="6" t="str">
        <f>LEFT(Table4[[#This Row],[Entity]],FIND(".",Table4[[#This Row],[Entity]])-1)</f>
        <v>sensor</v>
      </c>
      <c r="J145" s="6" t="str">
        <f>MID(Table4[[#This Row],[Entity]],FIND(".",Table4[[#This Row],[Entity]])+1,999)</f>
        <v>dark_sky_minutely_summary</v>
      </c>
    </row>
    <row r="146" spans="2:10" x14ac:dyDescent="0.45">
      <c r="B146" t="s">
        <v>182</v>
      </c>
      <c r="C146" t="s">
        <v>138</v>
      </c>
      <c r="E146" s="6" t="str">
        <f>IFERROR(FIND("mdi:",Table4[[#This Row],[Attributes]]),"")</f>
        <v/>
      </c>
      <c r="F146" s="6" t="str">
        <f>IF(Table4[[#This Row],[loc of mdi]]="","",IFERROR(FIND(" ",Table4[[#This Row],[Attributes]],Table4[[#This Row],[loc of mdi]]+3),LEN(Table4[[#This Row],[Attributes]])+1))</f>
        <v/>
      </c>
      <c r="G146" s="6" t="str">
        <f>IFERROR(MID(Table4[[#This Row],[Attributes]],Table4[[#This Row],[loc of mdi]],Table4[[#This Row],[loc of space after mdi]]-Table4[[#This Row],[loc of mdi]]),"")</f>
        <v/>
      </c>
      <c r="H146" s="6" t="str">
        <f>IF(COUNTIFS(entities[entity_id],Table4[[#This Row],[Entity]])=1,"yes","missing from 'Entities' tab")</f>
        <v>yes</v>
      </c>
      <c r="I146" s="6" t="str">
        <f>LEFT(Table4[[#This Row],[Entity]],FIND(".",Table4[[#This Row],[Entity]])-1)</f>
        <v>sensor</v>
      </c>
      <c r="J146" s="6" t="str">
        <f>MID(Table4[[#This Row],[Entity]],FIND(".",Table4[[#This Row],[Entity]])+1,999)</f>
        <v>dark_sky_precip</v>
      </c>
    </row>
    <row r="147" spans="2:10" x14ac:dyDescent="0.45">
      <c r="B147" t="s">
        <v>183</v>
      </c>
      <c r="C147">
        <v>0</v>
      </c>
      <c r="E147" s="6" t="str">
        <f>IFERROR(FIND("mdi:",Table4[[#This Row],[Attributes]]),"")</f>
        <v/>
      </c>
      <c r="F147" s="6" t="str">
        <f>IF(Table4[[#This Row],[loc of mdi]]="","",IFERROR(FIND(" ",Table4[[#This Row],[Attributes]],Table4[[#This Row],[loc of mdi]]+3),LEN(Table4[[#This Row],[Attributes]])+1))</f>
        <v/>
      </c>
      <c r="G147" s="6" t="str">
        <f>IFERROR(MID(Table4[[#This Row],[Attributes]],Table4[[#This Row],[loc of mdi]],Table4[[#This Row],[loc of space after mdi]]-Table4[[#This Row],[loc of mdi]]),"")</f>
        <v/>
      </c>
      <c r="H147" s="6" t="str">
        <f>IF(COUNTIFS(entities[entity_id],Table4[[#This Row],[Entity]])=1,"yes","missing from 'Entities' tab")</f>
        <v>yes</v>
      </c>
      <c r="I147" s="6" t="str">
        <f>LEFT(Table4[[#This Row],[Entity]],FIND(".",Table4[[#This Row],[Entity]])-1)</f>
        <v>sensor</v>
      </c>
      <c r="J147" s="6" t="str">
        <f>MID(Table4[[#This Row],[Entity]],FIND(".",Table4[[#This Row],[Entity]])+1,999)</f>
        <v>dark_sky_precip_intensity</v>
      </c>
    </row>
    <row r="148" spans="2:10" x14ac:dyDescent="0.45">
      <c r="B148" t="s">
        <v>184</v>
      </c>
      <c r="C148">
        <v>0</v>
      </c>
      <c r="E148" s="6" t="str">
        <f>IFERROR(FIND("mdi:",Table4[[#This Row],[Attributes]]),"")</f>
        <v/>
      </c>
      <c r="F148" s="6" t="str">
        <f>IF(Table4[[#This Row],[loc of mdi]]="","",IFERROR(FIND(" ",Table4[[#This Row],[Attributes]],Table4[[#This Row],[loc of mdi]]+3),LEN(Table4[[#This Row],[Attributes]])+1))</f>
        <v/>
      </c>
      <c r="G148" s="6" t="str">
        <f>IFERROR(MID(Table4[[#This Row],[Attributes]],Table4[[#This Row],[loc of mdi]],Table4[[#This Row],[loc of space after mdi]]-Table4[[#This Row],[loc of mdi]]),"")</f>
        <v/>
      </c>
      <c r="H148" s="6" t="str">
        <f>IF(COUNTIFS(entities[entity_id],Table4[[#This Row],[Entity]])=1,"yes","missing from 'Entities' tab")</f>
        <v>yes</v>
      </c>
      <c r="I148" s="6" t="str">
        <f>LEFT(Table4[[#This Row],[Entity]],FIND(".",Table4[[#This Row],[Entity]])-1)</f>
        <v>sensor</v>
      </c>
      <c r="J148" s="6" t="str">
        <f>MID(Table4[[#This Row],[Entity]],FIND(".",Table4[[#This Row],[Entity]])+1,999)</f>
        <v>dark_sky_precip_probability</v>
      </c>
    </row>
    <row r="149" spans="2:10" x14ac:dyDescent="0.45">
      <c r="B149" t="s">
        <v>185</v>
      </c>
      <c r="C149">
        <v>43.6</v>
      </c>
      <c r="E149" s="6" t="str">
        <f>IFERROR(FIND("mdi:",Table4[[#This Row],[Attributes]]),"")</f>
        <v/>
      </c>
      <c r="F149" s="6" t="str">
        <f>IF(Table4[[#This Row],[loc of mdi]]="","",IFERROR(FIND(" ",Table4[[#This Row],[Attributes]],Table4[[#This Row],[loc of mdi]]+3),LEN(Table4[[#This Row],[Attributes]])+1))</f>
        <v/>
      </c>
      <c r="G149" s="6" t="str">
        <f>IFERROR(MID(Table4[[#This Row],[Attributes]],Table4[[#This Row],[loc of mdi]],Table4[[#This Row],[loc of space after mdi]]-Table4[[#This Row],[loc of mdi]]),"")</f>
        <v/>
      </c>
      <c r="H149" s="6" t="str">
        <f>IF(COUNTIFS(entities[entity_id],Table4[[#This Row],[Entity]])=1,"yes","missing from 'Entities' tab")</f>
        <v>yes</v>
      </c>
      <c r="I149" s="6" t="str">
        <f>LEFT(Table4[[#This Row],[Entity]],FIND(".",Table4[[#This Row],[Entity]])-1)</f>
        <v>sensor</v>
      </c>
      <c r="J149" s="6" t="str">
        <f>MID(Table4[[#This Row],[Entity]],FIND(".",Table4[[#This Row],[Entity]])+1,999)</f>
        <v>dark_sky_temperature</v>
      </c>
    </row>
    <row r="150" spans="2:10" x14ac:dyDescent="0.45">
      <c r="B150" t="s">
        <v>186</v>
      </c>
      <c r="C150">
        <v>10</v>
      </c>
      <c r="E150" s="6" t="str">
        <f>IFERROR(FIND("mdi:",Table4[[#This Row],[Attributes]]),"")</f>
        <v/>
      </c>
      <c r="F150" s="6" t="str">
        <f>IF(Table4[[#This Row],[loc of mdi]]="","",IFERROR(FIND(" ",Table4[[#This Row],[Attributes]],Table4[[#This Row],[loc of mdi]]+3),LEN(Table4[[#This Row],[Attributes]])+1))</f>
        <v/>
      </c>
      <c r="G150" s="6" t="str">
        <f>IFERROR(MID(Table4[[#This Row],[Attributes]],Table4[[#This Row],[loc of mdi]],Table4[[#This Row],[loc of space after mdi]]-Table4[[#This Row],[loc of mdi]]),"")</f>
        <v/>
      </c>
      <c r="H150" s="6" t="str">
        <f>IF(COUNTIFS(entities[entity_id],Table4[[#This Row],[Entity]])=1,"yes","missing from 'Entities' tab")</f>
        <v>yes</v>
      </c>
      <c r="I150" s="6" t="str">
        <f>LEFT(Table4[[#This Row],[Entity]],FIND(".",Table4[[#This Row],[Entity]])-1)</f>
        <v>sensor</v>
      </c>
      <c r="J150" s="6" t="str">
        <f>MID(Table4[[#This Row],[Entity]],FIND(".",Table4[[#This Row],[Entity]])+1,999)</f>
        <v>dark_sky_visibility</v>
      </c>
    </row>
    <row r="151" spans="2:10" x14ac:dyDescent="0.45">
      <c r="B151" t="s">
        <v>187</v>
      </c>
      <c r="C151">
        <v>42824</v>
      </c>
      <c r="E151" s="6" t="str">
        <f>IFERROR(FIND("mdi:",Table4[[#This Row],[Attributes]]),"")</f>
        <v/>
      </c>
      <c r="F151" s="6" t="str">
        <f>IF(Table4[[#This Row],[loc of mdi]]="","",IFERROR(FIND(" ",Table4[[#This Row],[Attributes]],Table4[[#This Row],[loc of mdi]]+3),LEN(Table4[[#This Row],[Attributes]])+1))</f>
        <v/>
      </c>
      <c r="G151" s="6" t="str">
        <f>IFERROR(MID(Table4[[#This Row],[Attributes]],Table4[[#This Row],[loc of mdi]],Table4[[#This Row],[loc of space after mdi]]-Table4[[#This Row],[loc of mdi]]),"")</f>
        <v/>
      </c>
      <c r="H151" s="6" t="str">
        <f>IF(COUNTIFS(entities[entity_id],Table4[[#This Row],[Entity]])=1,"yes","missing from 'Entities' tab")</f>
        <v>yes</v>
      </c>
      <c r="I151" s="6" t="str">
        <f>LEFT(Table4[[#This Row],[Entity]],FIND(".",Table4[[#This Row],[Entity]])-1)</f>
        <v>sensor</v>
      </c>
      <c r="J151" s="6" t="str">
        <f>MID(Table4[[#This Row],[Entity]],FIND(".",Table4[[#This Row],[Entity]])+1,999)</f>
        <v>date</v>
      </c>
    </row>
    <row r="152" spans="2:10" x14ac:dyDescent="0.45">
      <c r="B152" t="s">
        <v>188</v>
      </c>
      <c r="C152" t="s">
        <v>773</v>
      </c>
      <c r="E152" s="6" t="str">
        <f>IFERROR(FIND("mdi:",Table4[[#This Row],[Attributes]]),"")</f>
        <v/>
      </c>
      <c r="F152" s="6" t="str">
        <f>IF(Table4[[#This Row],[loc of mdi]]="","",IFERROR(FIND(" ",Table4[[#This Row],[Attributes]],Table4[[#This Row],[loc of mdi]]+3),LEN(Table4[[#This Row],[Attributes]])+1))</f>
        <v/>
      </c>
      <c r="G152" s="6" t="str">
        <f>IFERROR(MID(Table4[[#This Row],[Attributes]],Table4[[#This Row],[loc of mdi]],Table4[[#This Row],[loc of space after mdi]]-Table4[[#This Row],[loc of mdi]]),"")</f>
        <v/>
      </c>
      <c r="H152" s="6" t="str">
        <f>IF(COUNTIFS(entities[entity_id],Table4[[#This Row],[Entity]])=1,"yes","missing from 'Entities' tab")</f>
        <v>yes</v>
      </c>
      <c r="I152" s="6" t="str">
        <f>LEFT(Table4[[#This Row],[Entity]],FIND(".",Table4[[#This Row],[Entity]])-1)</f>
        <v>sensor</v>
      </c>
      <c r="J152" s="6" t="str">
        <f>MID(Table4[[#This Row],[Entity]],FIND(".",Table4[[#This Row],[Entity]])+1,999)</f>
        <v>date_odd</v>
      </c>
    </row>
    <row r="153" spans="2:10" x14ac:dyDescent="0.45">
      <c r="B153" t="s">
        <v>189</v>
      </c>
      <c r="C153">
        <v>18.600000000000001</v>
      </c>
      <c r="E153" s="6" t="str">
        <f>IFERROR(FIND("mdi:",Table4[[#This Row],[Attributes]]),"")</f>
        <v/>
      </c>
      <c r="F153" s="6" t="str">
        <f>IF(Table4[[#This Row],[loc of mdi]]="","",IFERROR(FIND(" ",Table4[[#This Row],[Attributes]],Table4[[#This Row],[loc of mdi]]+3),LEN(Table4[[#This Row],[Attributes]])+1))</f>
        <v/>
      </c>
      <c r="G153" s="6" t="str">
        <f>IFERROR(MID(Table4[[#This Row],[Attributes]],Table4[[#This Row],[loc of mdi]],Table4[[#This Row],[loc of space after mdi]]-Table4[[#This Row],[loc of mdi]]),"")</f>
        <v/>
      </c>
      <c r="H153" s="6" t="str">
        <f>IF(COUNTIFS(entities[entity_id],Table4[[#This Row],[Entity]])=1,"yes","missing from 'Entities' tab")</f>
        <v>yes</v>
      </c>
      <c r="I153" s="6" t="str">
        <f>LEFT(Table4[[#This Row],[Entity]],FIND(".",Table4[[#This Row],[Entity]])-1)</f>
        <v>sensor</v>
      </c>
      <c r="J153" s="6" t="str">
        <f>MID(Table4[[#This Row],[Entity]],FIND(".",Table4[[#This Row],[Entity]])+1,999)</f>
        <v>disk_use_home</v>
      </c>
    </row>
    <row r="154" spans="2:10" x14ac:dyDescent="0.45">
      <c r="B154" t="s">
        <v>774</v>
      </c>
      <c r="C154">
        <v>24</v>
      </c>
      <c r="E154" s="6" t="str">
        <f>IFERROR(FIND("mdi:",Table4[[#This Row],[Attributes]]),"")</f>
        <v/>
      </c>
      <c r="F154" s="6" t="str">
        <f>IF(Table4[[#This Row],[loc of mdi]]="","",IFERROR(FIND(" ",Table4[[#This Row],[Attributes]],Table4[[#This Row],[loc of mdi]]+3),LEN(Table4[[#This Row],[Attributes]])+1))</f>
        <v/>
      </c>
      <c r="G154" s="6" t="str">
        <f>IFERROR(MID(Table4[[#This Row],[Attributes]],Table4[[#This Row],[loc of mdi]],Table4[[#This Row],[loc of space after mdi]]-Table4[[#This Row],[loc of mdi]]),"")</f>
        <v/>
      </c>
      <c r="H154" s="6" t="str">
        <f>IF(COUNTIFS(entities[entity_id],Table4[[#This Row],[Entity]])=1,"yes","missing from 'Entities' tab")</f>
        <v>yes</v>
      </c>
      <c r="I154" s="6" t="str">
        <f>LEFT(Table4[[#This Row],[Entity]],FIND(".",Table4[[#This Row],[Entity]])-1)</f>
        <v>sensor</v>
      </c>
      <c r="J154" s="6" t="str">
        <f>MID(Table4[[#This Row],[Entity]],FIND(".",Table4[[#This Row],[Entity]])+1,999)</f>
        <v>humidity_sensor_14</v>
      </c>
    </row>
    <row r="155" spans="2:10" x14ac:dyDescent="0.45">
      <c r="B155" t="s">
        <v>190</v>
      </c>
      <c r="C155">
        <v>42824</v>
      </c>
      <c r="E155" s="6" t="str">
        <f>IFERROR(FIND("mdi:",Table4[[#This Row],[Attributes]]),"")</f>
        <v/>
      </c>
      <c r="F155" s="6" t="str">
        <f>IF(Table4[[#This Row],[loc of mdi]]="","",IFERROR(FIND(" ",Table4[[#This Row],[Attributes]],Table4[[#This Row],[loc of mdi]]+3),LEN(Table4[[#This Row],[Attributes]])+1))</f>
        <v/>
      </c>
      <c r="G155" s="6" t="str">
        <f>IFERROR(MID(Table4[[#This Row],[Attributes]],Table4[[#This Row],[loc of mdi]],Table4[[#This Row],[loc of space after mdi]]-Table4[[#This Row],[loc of mdi]]),"")</f>
        <v/>
      </c>
      <c r="H155" s="6" t="str">
        <f>IF(COUNTIFS(entities[entity_id],Table4[[#This Row],[Entity]])=1,"yes","missing from 'Entities' tab")</f>
        <v>yes</v>
      </c>
      <c r="I155" s="6" t="str">
        <f>LEFT(Table4[[#This Row],[Entity]],FIND(".",Table4[[#This Row],[Entity]])-1)</f>
        <v>sensor</v>
      </c>
      <c r="J155" s="6" t="str">
        <f>MID(Table4[[#This Row],[Entity]],FIND(".",Table4[[#This Row],[Entity]])+1,999)</f>
        <v>last_boot</v>
      </c>
    </row>
    <row r="156" spans="2:10" x14ac:dyDescent="0.45">
      <c r="B156" t="s">
        <v>775</v>
      </c>
      <c r="C156">
        <v>123</v>
      </c>
      <c r="E156" s="6" t="str">
        <f>IFERROR(FIND("mdi:",Table4[[#This Row],[Attributes]]),"")</f>
        <v/>
      </c>
      <c r="F156" s="6" t="str">
        <f>IF(Table4[[#This Row],[loc of mdi]]="","",IFERROR(FIND(" ",Table4[[#This Row],[Attributes]],Table4[[#This Row],[loc of mdi]]+3),LEN(Table4[[#This Row],[Attributes]])+1))</f>
        <v/>
      </c>
      <c r="G156" s="6" t="str">
        <f>IFERROR(MID(Table4[[#This Row],[Attributes]],Table4[[#This Row],[loc of mdi]],Table4[[#This Row],[loc of space after mdi]]-Table4[[#This Row],[loc of mdi]]),"")</f>
        <v/>
      </c>
      <c r="H156" s="6" t="str">
        <f>IF(COUNTIFS(entities[entity_id],Table4[[#This Row],[Entity]])=1,"yes","missing from 'Entities' tab")</f>
        <v>yes</v>
      </c>
      <c r="I156" s="6" t="str">
        <f>LEFT(Table4[[#This Row],[Entity]],FIND(".",Table4[[#This Row],[Entity]])-1)</f>
        <v>sensor</v>
      </c>
      <c r="J156" s="6" t="str">
        <f>MID(Table4[[#This Row],[Entity]],FIND(".",Table4[[#This Row],[Entity]])+1,999)</f>
        <v>light_sensor_13</v>
      </c>
    </row>
    <row r="157" spans="2:10" x14ac:dyDescent="0.45">
      <c r="B157" t="s">
        <v>191</v>
      </c>
      <c r="C157">
        <v>807.5</v>
      </c>
      <c r="E157" s="6" t="str">
        <f>IFERROR(FIND("mdi:",Table4[[#This Row],[Attributes]]),"")</f>
        <v/>
      </c>
      <c r="F157" s="6" t="str">
        <f>IF(Table4[[#This Row],[loc of mdi]]="","",IFERROR(FIND(" ",Table4[[#This Row],[Attributes]],Table4[[#This Row],[loc of mdi]]+3),LEN(Table4[[#This Row],[Attributes]])+1))</f>
        <v/>
      </c>
      <c r="G157" s="6" t="str">
        <f>IFERROR(MID(Table4[[#This Row],[Attributes]],Table4[[#This Row],[loc of mdi]],Table4[[#This Row],[loc of space after mdi]]-Table4[[#This Row],[loc of mdi]]),"")</f>
        <v/>
      </c>
      <c r="H157" s="6" t="str">
        <f>IF(COUNTIFS(entities[entity_id],Table4[[#This Row],[Entity]])=1,"yes","missing from 'Entities' tab")</f>
        <v>yes</v>
      </c>
      <c r="I157" s="6" t="str">
        <f>LEFT(Table4[[#This Row],[Entity]],FIND(".",Table4[[#This Row],[Entity]])-1)</f>
        <v>sensor</v>
      </c>
      <c r="J157" s="6" t="str">
        <f>MID(Table4[[#This Row],[Entity]],FIND(".",Table4[[#This Row],[Entity]])+1,999)</f>
        <v>ram_free</v>
      </c>
    </row>
    <row r="158" spans="2:10" x14ac:dyDescent="0.45">
      <c r="B158" t="s">
        <v>192</v>
      </c>
      <c r="C158">
        <v>92.23</v>
      </c>
      <c r="E158" s="6" t="str">
        <f>IFERROR(FIND("mdi:",Table4[[#This Row],[Attributes]]),"")</f>
        <v/>
      </c>
      <c r="F158" s="6" t="str">
        <f>IF(Table4[[#This Row],[loc of mdi]]="","",IFERROR(FIND(" ",Table4[[#This Row],[Attributes]],Table4[[#This Row],[loc of mdi]]+3),LEN(Table4[[#This Row],[Attributes]])+1))</f>
        <v/>
      </c>
      <c r="G158" s="6" t="str">
        <f>IFERROR(MID(Table4[[#This Row],[Attributes]],Table4[[#This Row],[loc of mdi]],Table4[[#This Row],[loc of space after mdi]]-Table4[[#This Row],[loc of mdi]]),"")</f>
        <v/>
      </c>
      <c r="H158" s="6" t="str">
        <f>IF(COUNTIFS(entities[entity_id],Table4[[#This Row],[Entity]])=1,"yes","missing from 'Entities' tab")</f>
        <v>yes</v>
      </c>
      <c r="I158" s="6" t="str">
        <f>LEFT(Table4[[#This Row],[Entity]],FIND(".",Table4[[#This Row],[Entity]])-1)</f>
        <v>sensor</v>
      </c>
      <c r="J158" s="6" t="str">
        <f>MID(Table4[[#This Row],[Entity]],FIND(".",Table4[[#This Row],[Entity]])+1,999)</f>
        <v>speedtest_download</v>
      </c>
    </row>
    <row r="159" spans="2:10" x14ac:dyDescent="0.45">
      <c r="B159" t="s">
        <v>193</v>
      </c>
      <c r="C159">
        <v>22.29</v>
      </c>
      <c r="E159" s="6" t="str">
        <f>IFERROR(FIND("mdi:",Table4[[#This Row],[Attributes]]),"")</f>
        <v/>
      </c>
      <c r="F159" s="6" t="str">
        <f>IF(Table4[[#This Row],[loc of mdi]]="","",IFERROR(FIND(" ",Table4[[#This Row],[Attributes]],Table4[[#This Row],[loc of mdi]]+3),LEN(Table4[[#This Row],[Attributes]])+1))</f>
        <v/>
      </c>
      <c r="G159" s="6" t="str">
        <f>IFERROR(MID(Table4[[#This Row],[Attributes]],Table4[[#This Row],[loc of mdi]],Table4[[#This Row],[loc of space after mdi]]-Table4[[#This Row],[loc of mdi]]),"")</f>
        <v/>
      </c>
      <c r="H159" s="6" t="str">
        <f>IF(COUNTIFS(entities[entity_id],Table4[[#This Row],[Entity]])=1,"yes","missing from 'Entities' tab")</f>
        <v>yes</v>
      </c>
      <c r="I159" s="6" t="str">
        <f>LEFT(Table4[[#This Row],[Entity]],FIND(".",Table4[[#This Row],[Entity]])-1)</f>
        <v>sensor</v>
      </c>
      <c r="J159" s="6" t="str">
        <f>MID(Table4[[#This Row],[Entity]],FIND(".",Table4[[#This Row],[Entity]])+1,999)</f>
        <v>speedtest_ping</v>
      </c>
    </row>
    <row r="160" spans="2:10" x14ac:dyDescent="0.45">
      <c r="B160" t="s">
        <v>194</v>
      </c>
      <c r="C160">
        <v>6.7</v>
      </c>
      <c r="E160" s="6" t="str">
        <f>IFERROR(FIND("mdi:",Table4[[#This Row],[Attributes]]),"")</f>
        <v/>
      </c>
      <c r="F160" s="6" t="str">
        <f>IF(Table4[[#This Row],[loc of mdi]]="","",IFERROR(FIND(" ",Table4[[#This Row],[Attributes]],Table4[[#This Row],[loc of mdi]]+3),LEN(Table4[[#This Row],[Attributes]])+1))</f>
        <v/>
      </c>
      <c r="G160" s="6" t="str">
        <f>IFERROR(MID(Table4[[#This Row],[Attributes]],Table4[[#This Row],[loc of mdi]],Table4[[#This Row],[loc of space after mdi]]-Table4[[#This Row],[loc of mdi]]),"")</f>
        <v/>
      </c>
      <c r="H160" s="6" t="str">
        <f>IF(COUNTIFS(entities[entity_id],Table4[[#This Row],[Entity]])=1,"yes","missing from 'Entities' tab")</f>
        <v>yes</v>
      </c>
      <c r="I160" s="6" t="str">
        <f>LEFT(Table4[[#This Row],[Entity]],FIND(".",Table4[[#This Row],[Entity]])-1)</f>
        <v>sensor</v>
      </c>
      <c r="J160" s="6" t="str">
        <f>MID(Table4[[#This Row],[Entity]],FIND(".",Table4[[#This Row],[Entity]])+1,999)</f>
        <v>speedtest_upload</v>
      </c>
    </row>
    <row r="161" spans="2:10" x14ac:dyDescent="0.45">
      <c r="B161" t="s">
        <v>776</v>
      </c>
      <c r="C161">
        <v>71.099999999999994</v>
      </c>
      <c r="E161" s="6" t="str">
        <f>IFERROR(FIND("mdi:",Table4[[#This Row],[Attributes]]),"")</f>
        <v/>
      </c>
      <c r="F161" s="6" t="str">
        <f>IF(Table4[[#This Row],[loc of mdi]]="","",IFERROR(FIND(" ",Table4[[#This Row],[Attributes]],Table4[[#This Row],[loc of mdi]]+3),LEN(Table4[[#This Row],[Attributes]])+1))</f>
        <v/>
      </c>
      <c r="G161" s="6" t="str">
        <f>IFERROR(MID(Table4[[#This Row],[Attributes]],Table4[[#This Row],[loc of mdi]],Table4[[#This Row],[loc of space after mdi]]-Table4[[#This Row],[loc of mdi]]),"")</f>
        <v/>
      </c>
      <c r="H161" s="6" t="str">
        <f>IF(COUNTIFS(entities[entity_id],Table4[[#This Row],[Entity]])=1,"yes","missing from 'Entities' tab")</f>
        <v>yes</v>
      </c>
      <c r="I161" s="6" t="str">
        <f>LEFT(Table4[[#This Row],[Entity]],FIND(".",Table4[[#This Row],[Entity]])-1)</f>
        <v>sensor</v>
      </c>
      <c r="J161" s="6" t="str">
        <f>MID(Table4[[#This Row],[Entity]],FIND(".",Table4[[#This Row],[Entity]])+1,999)</f>
        <v>temperature_sensor_12</v>
      </c>
    </row>
    <row r="162" spans="2:10" x14ac:dyDescent="0.45">
      <c r="B162" t="s">
        <v>195</v>
      </c>
      <c r="C162">
        <v>0.48749999999999999</v>
      </c>
      <c r="E162" s="6" t="str">
        <f>IFERROR(FIND("mdi:",Table4[[#This Row],[Attributes]]),"")</f>
        <v/>
      </c>
      <c r="F162" s="6" t="str">
        <f>IF(Table4[[#This Row],[loc of mdi]]="","",IFERROR(FIND(" ",Table4[[#This Row],[Attributes]],Table4[[#This Row],[loc of mdi]]+3),LEN(Table4[[#This Row],[Attributes]])+1))</f>
        <v/>
      </c>
      <c r="G162" s="6" t="str">
        <f>IFERROR(MID(Table4[[#This Row],[Attributes]],Table4[[#This Row],[loc of mdi]],Table4[[#This Row],[loc of space after mdi]]-Table4[[#This Row],[loc of mdi]]),"")</f>
        <v/>
      </c>
      <c r="H162" s="6" t="str">
        <f>IF(COUNTIFS(entities[entity_id],Table4[[#This Row],[Entity]])=1,"yes","missing from 'Entities' tab")</f>
        <v>yes</v>
      </c>
      <c r="I162" s="6" t="str">
        <f>LEFT(Table4[[#This Row],[Entity]],FIND(".",Table4[[#This Row],[Entity]])-1)</f>
        <v>sensor</v>
      </c>
      <c r="J162" s="6" t="str">
        <f>MID(Table4[[#This Row],[Entity]],FIND(".",Table4[[#This Row],[Entity]])+1,999)</f>
        <v>time</v>
      </c>
    </row>
    <row r="163" spans="2:10" x14ac:dyDescent="0.45">
      <c r="B163" t="s">
        <v>196</v>
      </c>
      <c r="C163" t="s">
        <v>777</v>
      </c>
      <c r="E163" s="6" t="str">
        <f>IFERROR(FIND("mdi:",Table4[[#This Row],[Attributes]]),"")</f>
        <v/>
      </c>
      <c r="F163" s="6" t="str">
        <f>IF(Table4[[#This Row],[loc of mdi]]="","",IFERROR(FIND(" ",Table4[[#This Row],[Attributes]],Table4[[#This Row],[loc of mdi]]+3),LEN(Table4[[#This Row],[Attributes]])+1))</f>
        <v/>
      </c>
      <c r="G163" s="6" t="str">
        <f>IFERROR(MID(Table4[[#This Row],[Attributes]],Table4[[#This Row],[loc of mdi]],Table4[[#This Row],[loc of space after mdi]]-Table4[[#This Row],[loc of mdi]]),"")</f>
        <v/>
      </c>
      <c r="H163" s="6" t="str">
        <f>IF(COUNTIFS(entities[entity_id],Table4[[#This Row],[Entity]])=1,"yes","missing from 'Entities' tab")</f>
        <v>yes</v>
      </c>
      <c r="I163" s="6" t="str">
        <f>LEFT(Table4[[#This Row],[Entity]],FIND(".",Table4[[#This Row],[Entity]])-1)</f>
        <v>sun</v>
      </c>
      <c r="J163" s="6" t="str">
        <f>MID(Table4[[#This Row],[Entity]],FIND(".",Table4[[#This Row],[Entity]])+1,999)</f>
        <v>sun</v>
      </c>
    </row>
    <row r="164" spans="2:10" x14ac:dyDescent="0.45">
      <c r="B164" t="s">
        <v>197</v>
      </c>
      <c r="C164" t="s">
        <v>7</v>
      </c>
      <c r="E164" s="6" t="str">
        <f>IFERROR(FIND("mdi:",Table4[[#This Row],[Attributes]]),"")</f>
        <v/>
      </c>
      <c r="F164" s="6" t="str">
        <f>IF(Table4[[#This Row],[loc of mdi]]="","",IFERROR(FIND(" ",Table4[[#This Row],[Attributes]],Table4[[#This Row],[loc of mdi]]+3),LEN(Table4[[#This Row],[Attributes]])+1))</f>
        <v/>
      </c>
      <c r="G164" s="6" t="str">
        <f>IFERROR(MID(Table4[[#This Row],[Attributes]],Table4[[#This Row],[loc of mdi]],Table4[[#This Row],[loc of space after mdi]]-Table4[[#This Row],[loc of mdi]]),"")</f>
        <v/>
      </c>
      <c r="H164" s="6" t="str">
        <f>IF(COUNTIFS(entities[entity_id],Table4[[#This Row],[Entity]])=1,"yes","missing from 'Entities' tab")</f>
        <v>yes</v>
      </c>
      <c r="I164" s="6" t="str">
        <f>LEFT(Table4[[#This Row],[Entity]],FIND(".",Table4[[#This Row],[Entity]])-1)</f>
        <v>switch</v>
      </c>
      <c r="J164" s="6" t="str">
        <f>MID(Table4[[#This Row],[Entity]],FIND(".",Table4[[#This Row],[Entity]])+1,999)</f>
        <v>amp</v>
      </c>
    </row>
    <row r="165" spans="2:10" x14ac:dyDescent="0.45">
      <c r="B165" t="s">
        <v>198</v>
      </c>
      <c r="C165" t="s">
        <v>91</v>
      </c>
      <c r="E165" s="6" t="str">
        <f>IFERROR(FIND("mdi:",Table4[[#This Row],[Attributes]]),"")</f>
        <v/>
      </c>
      <c r="F165" s="6" t="str">
        <f>IF(Table4[[#This Row],[loc of mdi]]="","",IFERROR(FIND(" ",Table4[[#This Row],[Attributes]],Table4[[#This Row],[loc of mdi]]+3),LEN(Table4[[#This Row],[Attributes]])+1))</f>
        <v/>
      </c>
      <c r="G165" s="6" t="str">
        <f>IFERROR(MID(Table4[[#This Row],[Attributes]],Table4[[#This Row],[loc of mdi]],Table4[[#This Row],[loc of space after mdi]]-Table4[[#This Row],[loc of mdi]]),"")</f>
        <v/>
      </c>
      <c r="H165" s="6" t="str">
        <f>IF(COUNTIFS(entities[entity_id],Table4[[#This Row],[Entity]])=1,"yes","missing from 'Entities' tab")</f>
        <v>yes</v>
      </c>
      <c r="I165" s="6" t="str">
        <f>LEFT(Table4[[#This Row],[Entity]],FIND(".",Table4[[#This Row],[Entity]])-1)</f>
        <v>switch</v>
      </c>
      <c r="J165" s="6" t="str">
        <f>MID(Table4[[#This Row],[Entity]],FIND(".",Table4[[#This Row],[Entity]])+1,999)</f>
        <v>bedroom_fan</v>
      </c>
    </row>
    <row r="166" spans="2:10" x14ac:dyDescent="0.45">
      <c r="B166" t="s">
        <v>199</v>
      </c>
      <c r="C166" t="s">
        <v>91</v>
      </c>
      <c r="E166" s="6" t="str">
        <f>IFERROR(FIND("mdi:",Table4[[#This Row],[Attributes]]),"")</f>
        <v/>
      </c>
      <c r="F166" s="6" t="str">
        <f>IF(Table4[[#This Row],[loc of mdi]]="","",IFERROR(FIND(" ",Table4[[#This Row],[Attributes]],Table4[[#This Row],[loc of mdi]]+3),LEN(Table4[[#This Row],[Attributes]])+1))</f>
        <v/>
      </c>
      <c r="G166" s="6" t="str">
        <f>IFERROR(MID(Table4[[#This Row],[Attributes]],Table4[[#This Row],[loc of mdi]],Table4[[#This Row],[loc of space after mdi]]-Table4[[#This Row],[loc of mdi]]),"")</f>
        <v/>
      </c>
      <c r="H166" s="6" t="str">
        <f>IF(COUNTIFS(entities[entity_id],Table4[[#This Row],[Entity]])=1,"yes","missing from 'Entities' tab")</f>
        <v>yes</v>
      </c>
      <c r="I166" s="6" t="str">
        <f>LEFT(Table4[[#This Row],[Entity]],FIND(".",Table4[[#This Row],[Entity]])-1)</f>
        <v>switch</v>
      </c>
      <c r="J166" s="6" t="str">
        <f>MID(Table4[[#This Row],[Entity]],FIND(".",Table4[[#This Row],[Entity]])+1,999)</f>
        <v>bedroom_nightstand</v>
      </c>
    </row>
    <row r="167" spans="2:10" x14ac:dyDescent="0.45">
      <c r="B167" t="s">
        <v>807</v>
      </c>
      <c r="C167" t="s">
        <v>7</v>
      </c>
      <c r="E167" s="6" t="str">
        <f>IFERROR(FIND("mdi:",Table4[[#This Row],[Attributes]]),"")</f>
        <v/>
      </c>
      <c r="F167" s="6" t="str">
        <f>IF(Table4[[#This Row],[loc of mdi]]="","",IFERROR(FIND(" ",Table4[[#This Row],[Attributes]],Table4[[#This Row],[loc of mdi]]+3),LEN(Table4[[#This Row],[Attributes]])+1))</f>
        <v/>
      </c>
      <c r="G167" s="6" t="str">
        <f>IFERROR(MID(Table4[[#This Row],[Attributes]],Table4[[#This Row],[loc of mdi]],Table4[[#This Row],[loc of space after mdi]]-Table4[[#This Row],[loc of mdi]]),"")</f>
        <v/>
      </c>
      <c r="H167" s="6" t="str">
        <f>IF(COUNTIFS(entities[entity_id],Table4[[#This Row],[Entity]])=1,"yes","missing from 'Entities' tab")</f>
        <v>yes</v>
      </c>
      <c r="I167" s="6" t="str">
        <f>LEFT(Table4[[#This Row],[Entity]],FIND(".",Table4[[#This Row],[Entity]])-1)</f>
        <v>switch</v>
      </c>
      <c r="J167" s="6" t="str">
        <f>MID(Table4[[#This Row],[Entity]],FIND(".",Table4[[#This Row],[Entity]])+1,999)</f>
        <v>multi_sensor_4</v>
      </c>
    </row>
    <row r="168" spans="2:10" x14ac:dyDescent="0.45">
      <c r="B168" t="s">
        <v>778</v>
      </c>
      <c r="C168" t="s">
        <v>7</v>
      </c>
      <c r="E168" s="6" t="str">
        <f>IFERROR(FIND("mdi:",Table4[[#This Row],[Attributes]]),"")</f>
        <v/>
      </c>
      <c r="F168" s="6" t="str">
        <f>IF(Table4[[#This Row],[loc of mdi]]="","",IFERROR(FIND(" ",Table4[[#This Row],[Attributes]],Table4[[#This Row],[loc of mdi]]+3),LEN(Table4[[#This Row],[Attributes]])+1))</f>
        <v/>
      </c>
      <c r="G168" s="6" t="str">
        <f>IFERROR(MID(Table4[[#This Row],[Attributes]],Table4[[#This Row],[loc of mdi]],Table4[[#This Row],[loc of space after mdi]]-Table4[[#This Row],[loc of mdi]]),"")</f>
        <v/>
      </c>
      <c r="H168" s="6" t="str">
        <f>IF(COUNTIFS(entities[entity_id],Table4[[#This Row],[Entity]])=1,"yes","missing from 'Entities' tab")</f>
        <v>yes</v>
      </c>
      <c r="I168" s="6" t="str">
        <f>LEFT(Table4[[#This Row],[Entity]],FIND(".",Table4[[#This Row],[Entity]])-1)</f>
        <v>switch</v>
      </c>
      <c r="J168" s="6" t="str">
        <f>MID(Table4[[#This Row],[Entity]],FIND(".",Table4[[#This Row],[Entity]])+1,999)</f>
        <v>smart_switch1_3</v>
      </c>
    </row>
    <row r="169" spans="2:10" x14ac:dyDescent="0.45">
      <c r="B169" t="s">
        <v>779</v>
      </c>
      <c r="C169" t="s">
        <v>7</v>
      </c>
      <c r="E169" s="6" t="str">
        <f>IFERROR(FIND("mdi:",Table4[[#This Row],[Attributes]]),"")</f>
        <v/>
      </c>
      <c r="F169" s="6" t="str">
        <f>IF(Table4[[#This Row],[loc of mdi]]="","",IFERROR(FIND(" ",Table4[[#This Row],[Attributes]],Table4[[#This Row],[loc of mdi]]+3),LEN(Table4[[#This Row],[Attributes]])+1))</f>
        <v/>
      </c>
      <c r="G169" s="6" t="str">
        <f>IFERROR(MID(Table4[[#This Row],[Attributes]],Table4[[#This Row],[loc of mdi]],Table4[[#This Row],[loc of space after mdi]]-Table4[[#This Row],[loc of mdi]]),"")</f>
        <v/>
      </c>
      <c r="H169" s="6" t="str">
        <f>IF(COUNTIFS(entities[entity_id],Table4[[#This Row],[Entity]])=1,"yes","missing from 'Entities' tab")</f>
        <v>yes</v>
      </c>
      <c r="I169" s="6" t="str">
        <f>LEFT(Table4[[#This Row],[Entity]],FIND(".",Table4[[#This Row],[Entity]])-1)</f>
        <v>switch</v>
      </c>
      <c r="J169" s="6" t="str">
        <f>MID(Table4[[#This Row],[Entity]],FIND(".",Table4[[#This Row],[Entity]])+1,999)</f>
        <v>smart_switch2_7</v>
      </c>
    </row>
    <row r="170" spans="2:10" x14ac:dyDescent="0.45">
      <c r="B170" t="s">
        <v>200</v>
      </c>
      <c r="C170" t="s">
        <v>91</v>
      </c>
      <c r="E170" s="6" t="str">
        <f>IFERROR(FIND("mdi:",Table4[[#This Row],[Attributes]]),"")</f>
        <v/>
      </c>
      <c r="F170" s="6" t="str">
        <f>IF(Table4[[#This Row],[loc of mdi]]="","",IFERROR(FIND(" ",Table4[[#This Row],[Attributes]],Table4[[#This Row],[loc of mdi]]+3),LEN(Table4[[#This Row],[Attributes]])+1))</f>
        <v/>
      </c>
      <c r="G170" s="6" t="str">
        <f>IFERROR(MID(Table4[[#This Row],[Attributes]],Table4[[#This Row],[loc of mdi]],Table4[[#This Row],[loc of space after mdi]]-Table4[[#This Row],[loc of mdi]]),"")</f>
        <v/>
      </c>
      <c r="H170" s="6" t="str">
        <f>IF(COUNTIFS(entities[entity_id],Table4[[#This Row],[Entity]])=1,"yes","missing from 'Entities' tab")</f>
        <v>yes</v>
      </c>
      <c r="I170" s="6" t="str">
        <f>LEFT(Table4[[#This Row],[Entity]],FIND(".",Table4[[#This Row],[Entity]])-1)</f>
        <v>switch</v>
      </c>
      <c r="J170" s="6" t="str">
        <f>MID(Table4[[#This Row],[Entity]],FIND(".",Table4[[#This Row],[Entity]])+1,999)</f>
        <v>switch4</v>
      </c>
    </row>
    <row r="171" spans="2:10" x14ac:dyDescent="0.45">
      <c r="B171" t="s">
        <v>201</v>
      </c>
      <c r="C171" t="s">
        <v>91</v>
      </c>
      <c r="E171" s="6" t="str">
        <f>IFERROR(FIND("mdi:",Table4[[#This Row],[Attributes]]),"")</f>
        <v/>
      </c>
      <c r="F171" s="6" t="str">
        <f>IF(Table4[[#This Row],[loc of mdi]]="","",IFERROR(FIND(" ",Table4[[#This Row],[Attributes]],Table4[[#This Row],[loc of mdi]]+3),LEN(Table4[[#This Row],[Attributes]])+1))</f>
        <v/>
      </c>
      <c r="G171" s="6" t="str">
        <f>IFERROR(MID(Table4[[#This Row],[Attributes]],Table4[[#This Row],[loc of mdi]],Table4[[#This Row],[loc of space after mdi]]-Table4[[#This Row],[loc of mdi]]),"")</f>
        <v/>
      </c>
      <c r="H171" s="6" t="str">
        <f>IF(COUNTIFS(entities[entity_id],Table4[[#This Row],[Entity]])=1,"yes","missing from 'Entities' tab")</f>
        <v>yes</v>
      </c>
      <c r="I171" s="6" t="str">
        <f>LEFT(Table4[[#This Row],[Entity]],FIND(".",Table4[[#This Row],[Entity]])-1)</f>
        <v>switch</v>
      </c>
      <c r="J171" s="6" t="str">
        <f>MID(Table4[[#This Row],[Entity]],FIND(".",Table4[[#This Row],[Entity]])+1,999)</f>
        <v>switch5</v>
      </c>
    </row>
    <row r="172" spans="2:10" x14ac:dyDescent="0.45">
      <c r="B172" t="s">
        <v>202</v>
      </c>
      <c r="C172" t="s">
        <v>203</v>
      </c>
      <c r="E172" s="6" t="str">
        <f>IFERROR(FIND("mdi:",Table4[[#This Row],[Attributes]]),"")</f>
        <v/>
      </c>
      <c r="F172" s="6" t="str">
        <f>IF(Table4[[#This Row],[loc of mdi]]="","",IFERROR(FIND(" ",Table4[[#This Row],[Attributes]],Table4[[#This Row],[loc of mdi]]+3),LEN(Table4[[#This Row],[Attributes]])+1))</f>
        <v/>
      </c>
      <c r="G172" s="6" t="str">
        <f>IFERROR(MID(Table4[[#This Row],[Attributes]],Table4[[#This Row],[loc of mdi]],Table4[[#This Row],[loc of space after mdi]]-Table4[[#This Row],[loc of mdi]]),"")</f>
        <v/>
      </c>
      <c r="H172" s="6" t="str">
        <f>IF(COUNTIFS(entities[entity_id],Table4[[#This Row],[Entity]])=1,"yes","missing from 'Entities' tab")</f>
        <v>yes</v>
      </c>
      <c r="I172" s="6" t="str">
        <f>LEFT(Table4[[#This Row],[Entity]],FIND(".",Table4[[#This Row],[Entity]])-1)</f>
        <v>zone</v>
      </c>
      <c r="J172" s="6" t="str">
        <f>MID(Table4[[#This Row],[Entity]],FIND(".",Table4[[#This Row],[Entity]])+1,999)</f>
        <v>home</v>
      </c>
    </row>
  </sheetData>
  <conditionalFormatting sqref="H11:H172">
    <cfRule type="containsText" dxfId="85" priority="1" operator="containsText" text="missing">
      <formula>NOT(ISERROR(SEARCH("missing",H11)))</formula>
    </cfRule>
  </conditionalFormatting>
  <hyperlinks>
    <hyperlink ref="B11" r:id="rId1" display="http://192.168.0.132:8123/dev-state"/>
    <hyperlink ref="B12" r:id="rId2" display="http://192.168.0.132:8123/dev-state"/>
    <hyperlink ref="B13" r:id="rId3" display="http://192.168.0.132:8123/dev-state"/>
    <hyperlink ref="B14" r:id="rId4" display="http://192.168.0.132:8123/dev-state"/>
    <hyperlink ref="B15" r:id="rId5" display="http://192.168.0.132:8123/dev-state"/>
    <hyperlink ref="B16" r:id="rId6" display="http://192.168.0.132:8123/dev-state"/>
    <hyperlink ref="B17" r:id="rId7" display="http://192.168.0.132:8123/dev-state"/>
    <hyperlink ref="B18" r:id="rId8" display="http://192.168.0.132:8123/dev-state"/>
    <hyperlink ref="B19" r:id="rId9" display="http://192.168.0.132:8123/dev-state"/>
    <hyperlink ref="B20" r:id="rId10" display="http://192.168.0.132:8123/dev-state"/>
    <hyperlink ref="B21" r:id="rId11" display="http://192.168.0.132:8123/dev-state"/>
    <hyperlink ref="B22" r:id="rId12" display="http://192.168.0.132:8123/dev-state"/>
    <hyperlink ref="B23" r:id="rId13" display="http://192.168.0.132:8123/dev-state"/>
    <hyperlink ref="B24" r:id="rId14" display="http://192.168.0.132:8123/dev-state"/>
    <hyperlink ref="B25" r:id="rId15" display="http://192.168.0.132:8123/dev-state"/>
    <hyperlink ref="B26" r:id="rId16" display="http://192.168.0.132:8123/dev-state"/>
    <hyperlink ref="B27" r:id="rId17" display="http://192.168.0.132:8123/dev-state"/>
    <hyperlink ref="B28" r:id="rId18" display="http://192.168.0.132:8123/dev-state"/>
    <hyperlink ref="B29" r:id="rId19" display="http://192.168.0.132:8123/dev-state"/>
    <hyperlink ref="B30" r:id="rId20" display="http://192.168.0.132:8123/dev-state"/>
    <hyperlink ref="B31" r:id="rId21" display="http://192.168.0.132:8123/dev-state"/>
    <hyperlink ref="B32" r:id="rId22" display="http://192.168.0.132:8123/dev-state"/>
    <hyperlink ref="B33" r:id="rId23" display="http://192.168.0.132:8123/dev-state"/>
    <hyperlink ref="B34" r:id="rId24" display="http://192.168.0.132:8123/dev-state"/>
    <hyperlink ref="B35" r:id="rId25" display="http://192.168.0.132:8123/dev-state"/>
    <hyperlink ref="B36" r:id="rId26" display="http://192.168.0.132:8123/dev-state"/>
    <hyperlink ref="B37" r:id="rId27" display="http://192.168.0.132:8123/dev-state"/>
    <hyperlink ref="B38" r:id="rId28" display="http://192.168.0.132:8123/dev-state"/>
    <hyperlink ref="B39" r:id="rId29" display="http://192.168.0.132:8123/dev-state"/>
    <hyperlink ref="B40" r:id="rId30" display="http://192.168.0.132:8123/dev-state"/>
    <hyperlink ref="B41" r:id="rId31" display="http://192.168.0.132:8123/dev-state"/>
    <hyperlink ref="B42" r:id="rId32" display="http://192.168.0.132:8123/dev-state"/>
    <hyperlink ref="B43" r:id="rId33" display="http://192.168.0.132:8123/dev-state"/>
    <hyperlink ref="B44" r:id="rId34" display="http://192.168.0.132:8123/dev-state"/>
    <hyperlink ref="B45" r:id="rId35" display="http://192.168.0.132:8123/dev-state"/>
    <hyperlink ref="B46" r:id="rId36" display="http://192.168.0.132:8123/dev-state"/>
    <hyperlink ref="B47" r:id="rId37" display="http://192.168.0.132:8123/dev-state"/>
    <hyperlink ref="B48" r:id="rId38" display="http://192.168.0.132:8123/dev-state"/>
    <hyperlink ref="B49" r:id="rId39" display="http://192.168.0.132:8123/dev-state"/>
    <hyperlink ref="B50" r:id="rId40" display="http://192.168.0.132:8123/dev-state"/>
    <hyperlink ref="B51" r:id="rId41" display="http://192.168.0.132:8123/dev-state"/>
    <hyperlink ref="B52" r:id="rId42" display="http://192.168.0.132:8123/dev-state"/>
    <hyperlink ref="B53" r:id="rId43" display="http://192.168.0.132:8123/dev-state"/>
    <hyperlink ref="B54" r:id="rId44" display="http://192.168.0.132:8123/dev-state"/>
    <hyperlink ref="B55" r:id="rId45" display="http://192.168.0.132:8123/dev-state"/>
    <hyperlink ref="B56" r:id="rId46" display="http://192.168.0.132:8123/dev-state"/>
    <hyperlink ref="B57" r:id="rId47" display="http://192.168.0.132:8123/dev-state"/>
    <hyperlink ref="B58" r:id="rId48" display="http://192.168.0.132:8123/dev-state"/>
    <hyperlink ref="B59" r:id="rId49" display="http://192.168.0.132:8123/dev-state"/>
    <hyperlink ref="B60" r:id="rId50" display="http://192.168.0.132:8123/dev-state"/>
    <hyperlink ref="B61" r:id="rId51" display="http://192.168.0.132:8123/dev-state"/>
    <hyperlink ref="B62" r:id="rId52" display="http://192.168.0.132:8123/dev-state"/>
    <hyperlink ref="B63" r:id="rId53" display="http://192.168.0.132:8123/dev-state"/>
    <hyperlink ref="B64" r:id="rId54" display="http://192.168.0.132:8123/dev-state"/>
    <hyperlink ref="B65" r:id="rId55" display="http://192.168.0.132:8123/dev-state"/>
    <hyperlink ref="B66" r:id="rId56" display="http://192.168.0.132:8123/dev-state"/>
    <hyperlink ref="B67" r:id="rId57" display="http://192.168.0.132:8123/dev-state"/>
    <hyperlink ref="B68" r:id="rId58" display="http://192.168.0.132:8123/dev-state"/>
    <hyperlink ref="B69" r:id="rId59" display="http://192.168.0.132:8123/dev-state"/>
    <hyperlink ref="B70" r:id="rId60" display="http://192.168.0.132:8123/dev-state"/>
    <hyperlink ref="B71" r:id="rId61" display="http://192.168.0.132:8123/dev-state"/>
    <hyperlink ref="B72" r:id="rId62" display="http://192.168.0.132:8123/dev-state"/>
    <hyperlink ref="B73" r:id="rId63" display="http://192.168.0.132:8123/dev-state"/>
    <hyperlink ref="B74" r:id="rId64" display="http://192.168.0.132:8123/dev-state"/>
    <hyperlink ref="B75" r:id="rId65" display="http://192.168.0.132:8123/dev-state"/>
    <hyperlink ref="B76" r:id="rId66" display="http://192.168.0.132:8123/dev-state"/>
    <hyperlink ref="B77" r:id="rId67" display="http://192.168.0.132:8123/dev-state"/>
    <hyperlink ref="B78" r:id="rId68" display="http://192.168.0.132:8123/dev-state"/>
    <hyperlink ref="B79" r:id="rId69" display="http://192.168.0.132:8123/dev-state"/>
    <hyperlink ref="B80" r:id="rId70" display="http://192.168.0.132:8123/dev-state"/>
    <hyperlink ref="B81" r:id="rId71" display="http://192.168.0.132:8123/dev-state"/>
    <hyperlink ref="B82" r:id="rId72" display="http://192.168.0.132:8123/dev-state"/>
    <hyperlink ref="B83" r:id="rId73" display="http://192.168.0.132:8123/dev-state"/>
    <hyperlink ref="B84" r:id="rId74" display="http://192.168.0.132:8123/dev-state"/>
    <hyperlink ref="B85" r:id="rId75" display="http://192.168.0.132:8123/dev-state"/>
    <hyperlink ref="B86" r:id="rId76" display="http://192.168.0.132:8123/dev-state"/>
    <hyperlink ref="B87" r:id="rId77" display="http://192.168.0.132:8123/dev-state"/>
    <hyperlink ref="B88" r:id="rId78" display="http://192.168.0.132:8123/dev-state"/>
    <hyperlink ref="B89" r:id="rId79" display="http://192.168.0.132:8123/dev-state"/>
    <hyperlink ref="B90" r:id="rId80" display="http://192.168.0.132:8123/dev-state"/>
    <hyperlink ref="B91" r:id="rId81" display="http://192.168.0.132:8123/dev-state"/>
    <hyperlink ref="B92" r:id="rId82" display="http://192.168.0.132:8123/dev-state"/>
    <hyperlink ref="B93" r:id="rId83" display="http://192.168.0.132:8123/dev-state"/>
    <hyperlink ref="B94" r:id="rId84" display="http://192.168.0.132:8123/dev-state"/>
    <hyperlink ref="B95" r:id="rId85" display="http://192.168.0.132:8123/dev-state"/>
    <hyperlink ref="B96" r:id="rId86" display="http://192.168.0.132:8123/dev-state"/>
    <hyperlink ref="B97" r:id="rId87" display="http://192.168.0.132:8123/dev-state"/>
    <hyperlink ref="B98" r:id="rId88" display="http://192.168.0.132:8123/dev-state"/>
    <hyperlink ref="B99" r:id="rId89" display="http://192.168.0.132:8123/dev-state"/>
    <hyperlink ref="B100" r:id="rId90" display="http://192.168.0.132:8123/dev-state"/>
    <hyperlink ref="B101" r:id="rId91" display="http://192.168.0.132:8123/dev-state"/>
    <hyperlink ref="B102" r:id="rId92" display="http://192.168.0.132:8123/dev-state"/>
    <hyperlink ref="B103" r:id="rId93" display="http://192.168.0.132:8123/dev-state"/>
    <hyperlink ref="B104" r:id="rId94" display="http://192.168.0.132:8123/dev-state"/>
    <hyperlink ref="B105" r:id="rId95" display="http://192.168.0.132:8123/dev-state"/>
    <hyperlink ref="B106" r:id="rId96" display="http://192.168.0.132:8123/dev-state"/>
    <hyperlink ref="B107" r:id="rId97" display="http://192.168.0.132:8123/dev-state"/>
    <hyperlink ref="B108" r:id="rId98" display="http://192.168.0.132:8123/dev-state"/>
    <hyperlink ref="B109" r:id="rId99" display="http://192.168.0.132:8123/dev-state"/>
    <hyperlink ref="B110" r:id="rId100" display="http://192.168.0.132:8123/dev-state"/>
    <hyperlink ref="B111" r:id="rId101" display="http://192.168.0.132:8123/dev-state"/>
    <hyperlink ref="B112" r:id="rId102" display="http://192.168.0.132:8123/dev-state"/>
    <hyperlink ref="B113" r:id="rId103" display="http://192.168.0.132:8123/dev-state"/>
    <hyperlink ref="B114" r:id="rId104" display="http://192.168.0.132:8123/dev-state"/>
    <hyperlink ref="B115" r:id="rId105" display="http://192.168.0.132:8123/dev-state"/>
    <hyperlink ref="B116" r:id="rId106" display="http://192.168.0.132:8123/dev-state"/>
    <hyperlink ref="B117" r:id="rId107" display="http://192.168.0.132:8123/dev-state"/>
    <hyperlink ref="B118" r:id="rId108" display="http://192.168.0.132:8123/dev-state"/>
    <hyperlink ref="B119" r:id="rId109" display="http://192.168.0.132:8123/dev-state"/>
    <hyperlink ref="B120" r:id="rId110" display="http://192.168.0.132:8123/dev-state"/>
    <hyperlink ref="B121" r:id="rId111" display="http://192.168.0.132:8123/dev-state"/>
    <hyperlink ref="B122" r:id="rId112" display="http://192.168.0.132:8123/dev-state"/>
    <hyperlink ref="B123" r:id="rId113" display="http://192.168.0.132:8123/dev-state"/>
    <hyperlink ref="B124" r:id="rId114" display="http://192.168.0.132:8123/dev-state"/>
    <hyperlink ref="B125" r:id="rId115" display="http://192.168.0.132:8123/dev-state"/>
    <hyperlink ref="B126" r:id="rId116" display="http://192.168.0.132:8123/dev-state"/>
    <hyperlink ref="B127" r:id="rId117" display="http://192.168.0.132:8123/dev-state"/>
    <hyperlink ref="B128" r:id="rId118" display="http://192.168.0.132:8123/dev-state"/>
    <hyperlink ref="B129" r:id="rId119" display="http://192.168.0.132:8123/dev-state"/>
    <hyperlink ref="B130" r:id="rId120" display="http://192.168.0.132:8123/dev-state"/>
    <hyperlink ref="B131" r:id="rId121" display="http://192.168.0.132:8123/dev-state"/>
    <hyperlink ref="B132" r:id="rId122" display="http://192.168.0.132:8123/dev-state"/>
    <hyperlink ref="B133" r:id="rId123" display="http://192.168.0.132:8123/dev-state"/>
    <hyperlink ref="B134" r:id="rId124" display="http://192.168.0.132:8123/dev-state"/>
    <hyperlink ref="B135" r:id="rId125" display="http://192.168.0.132:8123/dev-state"/>
    <hyperlink ref="B136" r:id="rId126" display="http://192.168.0.132:8123/dev-state"/>
    <hyperlink ref="B137" r:id="rId127" display="http://192.168.0.132:8123/dev-state"/>
    <hyperlink ref="B138" r:id="rId128" display="http://192.168.0.132:8123/dev-state"/>
    <hyperlink ref="B139" r:id="rId129" display="http://192.168.0.132:8123/dev-state"/>
    <hyperlink ref="B140" r:id="rId130" display="http://192.168.0.132:8123/dev-state"/>
    <hyperlink ref="B141" r:id="rId131" display="http://192.168.0.132:8123/dev-state"/>
    <hyperlink ref="B142" r:id="rId132" display="http://192.168.0.132:8123/dev-state"/>
    <hyperlink ref="B143" r:id="rId133" display="http://192.168.0.132:8123/dev-state"/>
    <hyperlink ref="B144" r:id="rId134" display="http://192.168.0.132:8123/dev-state"/>
    <hyperlink ref="B145" r:id="rId135" display="http://192.168.0.132:8123/dev-state"/>
    <hyperlink ref="B146" r:id="rId136" display="http://192.168.0.132:8123/dev-state"/>
    <hyperlink ref="B147" r:id="rId137" display="http://192.168.0.132:8123/dev-state"/>
    <hyperlink ref="B148" r:id="rId138" display="http://192.168.0.132:8123/dev-state"/>
    <hyperlink ref="B149" r:id="rId139" display="http://192.168.0.132:8123/dev-state"/>
    <hyperlink ref="B150" r:id="rId140" display="http://192.168.0.132:8123/dev-state"/>
    <hyperlink ref="B151" r:id="rId141" display="http://192.168.0.132:8123/dev-state"/>
    <hyperlink ref="B152" r:id="rId142" display="http://192.168.0.132:8123/dev-state"/>
    <hyperlink ref="B153" r:id="rId143" display="http://192.168.0.132:8123/dev-state"/>
    <hyperlink ref="B154" r:id="rId144" display="http://192.168.0.132:8123/dev-state"/>
    <hyperlink ref="B155" r:id="rId145" display="http://192.168.0.132:8123/dev-state"/>
    <hyperlink ref="B156" r:id="rId146" display="http://192.168.0.132:8123/dev-state"/>
    <hyperlink ref="B157" r:id="rId147" display="http://192.168.0.132:8123/dev-state"/>
    <hyperlink ref="B158" r:id="rId148" display="http://192.168.0.132:8123/dev-state"/>
    <hyperlink ref="B159" r:id="rId149" display="http://192.168.0.132:8123/dev-state"/>
    <hyperlink ref="B160" r:id="rId150" display="http://192.168.0.132:8123/dev-state"/>
    <hyperlink ref="B161" r:id="rId151" display="http://192.168.0.132:8123/dev-state"/>
    <hyperlink ref="B162" r:id="rId152" display="http://192.168.0.132:8123/dev-state"/>
    <hyperlink ref="B163" r:id="rId153" display="http://192.168.0.132:8123/dev-state"/>
    <hyperlink ref="B164" r:id="rId154" display="http://192.168.0.132:8123/dev-state"/>
    <hyperlink ref="B165" r:id="rId155" display="http://192.168.0.132:8123/dev-state"/>
    <hyperlink ref="B166" r:id="rId156" display="http://192.168.0.132:8123/dev-state"/>
    <hyperlink ref="B167" r:id="rId157" display="http://192.168.0.132:8123/dev-state"/>
    <hyperlink ref="B168" r:id="rId158" display="http://192.168.0.132:8123/dev-state"/>
    <hyperlink ref="B169" r:id="rId159" display="http://192.168.0.132:8123/dev-state"/>
    <hyperlink ref="B170" r:id="rId160" display="http://192.168.0.132:8123/dev-state"/>
    <hyperlink ref="B171" r:id="rId161" display="http://192.168.0.132:8123/dev-state"/>
    <hyperlink ref="B172" r:id="rId162" display="http://192.168.0.132:8123/dev-state"/>
  </hyperlinks>
  <pageMargins left="0.7" right="0.7" top="0.75" bottom="0.75" header="0.3" footer="0.3"/>
  <pageSetup orientation="portrait" horizontalDpi="1200" verticalDpi="1200" r:id="rId163"/>
  <tableParts count="1">
    <tablePart r:id="rId16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69"/>
  <sheetViews>
    <sheetView showGridLines="0" zoomScaleNormal="100" workbookViewId="0">
      <selection activeCell="C1" sqref="C1"/>
    </sheetView>
  </sheetViews>
  <sheetFormatPr defaultRowHeight="14.25" outlineLevelCol="1" x14ac:dyDescent="0.45"/>
  <cols>
    <col min="1" max="1" width="2.3984375" customWidth="1"/>
    <col min="2" max="2" width="14.1328125" bestFit="1" customWidth="1"/>
    <col min="3" max="3" width="73" customWidth="1"/>
    <col min="6" max="6" width="12.1328125" customWidth="1"/>
    <col min="9" max="9" width="38.86328125" customWidth="1"/>
    <col min="10" max="11" width="9.1328125" hidden="1" customWidth="1" outlineLevel="1"/>
    <col min="12" max="12" width="20.3984375" hidden="1" customWidth="1" outlineLevel="1"/>
    <col min="13" max="14" width="19.73046875" hidden="1" customWidth="1" outlineLevel="1"/>
    <col min="15" max="17" width="18.59765625" hidden="1" customWidth="1" outlineLevel="1"/>
    <col min="18" max="20" width="9.1328125" hidden="1" customWidth="1" outlineLevel="1"/>
    <col min="21" max="21" width="21.3984375" customWidth="1" collapsed="1"/>
    <col min="22" max="22" width="21.3984375" bestFit="1" customWidth="1"/>
    <col min="23" max="25" width="21.3984375" hidden="1" customWidth="1" outlineLevel="1"/>
    <col min="26" max="26" width="21.3984375" customWidth="1" collapsed="1"/>
    <col min="27" max="27" width="24" bestFit="1" customWidth="1"/>
    <col min="28" max="29" width="21.3984375" customWidth="1"/>
    <col min="30" max="30" width="13.86328125" bestFit="1" customWidth="1"/>
    <col min="31" max="31" width="18.59765625" bestFit="1" customWidth="1"/>
    <col min="32" max="32" width="13.86328125" style="14" bestFit="1" customWidth="1"/>
    <col min="33" max="33" width="9.1328125" customWidth="1"/>
  </cols>
  <sheetData>
    <row r="1" spans="1:32" ht="21" x14ac:dyDescent="0.65">
      <c r="A1" s="1" t="s">
        <v>406</v>
      </c>
      <c r="P1" s="14"/>
      <c r="AF1"/>
    </row>
    <row r="2" spans="1:32" ht="8.25" customHeight="1" x14ac:dyDescent="0.45">
      <c r="P2" s="14"/>
      <c r="AF2"/>
    </row>
    <row r="3" spans="1:32" x14ac:dyDescent="0.45">
      <c r="A3" s="19" t="s">
        <v>890</v>
      </c>
      <c r="P3" s="14"/>
      <c r="AF3"/>
    </row>
    <row r="4" spans="1:32" x14ac:dyDescent="0.45">
      <c r="AF4"/>
    </row>
    <row r="5" spans="1:32" x14ac:dyDescent="0.45">
      <c r="A5" t="s">
        <v>884</v>
      </c>
      <c r="B5" s="30" t="s">
        <v>888</v>
      </c>
      <c r="C5" s="30"/>
      <c r="D5" s="30" t="s">
        <v>889</v>
      </c>
      <c r="E5" s="30"/>
      <c r="F5" s="30"/>
      <c r="G5" s="30"/>
      <c r="H5" s="30"/>
      <c r="I5" s="30" t="s">
        <v>891</v>
      </c>
      <c r="J5" s="30" t="s">
        <v>379</v>
      </c>
      <c r="K5" s="30"/>
      <c r="L5" s="30" t="s">
        <v>351</v>
      </c>
      <c r="M5" s="30"/>
      <c r="N5" s="30"/>
      <c r="O5" s="30"/>
      <c r="P5" s="30" t="s">
        <v>351</v>
      </c>
      <c r="Q5" s="30"/>
      <c r="R5" s="30"/>
      <c r="S5" s="30"/>
      <c r="T5" s="30" t="s">
        <v>40</v>
      </c>
      <c r="U5" s="30" t="s">
        <v>40</v>
      </c>
      <c r="V5" s="30"/>
      <c r="W5" s="30" t="s">
        <v>405</v>
      </c>
      <c r="X5" s="30"/>
      <c r="Y5" s="30"/>
      <c r="Z5" s="30" t="s">
        <v>405</v>
      </c>
      <c r="AA5" s="30"/>
      <c r="AB5" s="30" t="s">
        <v>696</v>
      </c>
      <c r="AF5"/>
    </row>
    <row r="6" spans="1:32" x14ac:dyDescent="0.45">
      <c r="B6" t="s">
        <v>207</v>
      </c>
      <c r="C6" t="s">
        <v>208</v>
      </c>
      <c r="D6" t="s">
        <v>204</v>
      </c>
      <c r="E6" t="s">
        <v>8</v>
      </c>
      <c r="F6" t="s">
        <v>338</v>
      </c>
      <c r="G6" t="s">
        <v>335</v>
      </c>
      <c r="H6" t="s">
        <v>205</v>
      </c>
      <c r="I6" s="13" t="s">
        <v>206</v>
      </c>
      <c r="J6" s="13" t="s">
        <v>349</v>
      </c>
      <c r="K6" s="13" t="s">
        <v>350</v>
      </c>
      <c r="L6" s="13" t="s">
        <v>352</v>
      </c>
      <c r="M6" s="13" t="s">
        <v>353</v>
      </c>
      <c r="N6" s="13" t="s">
        <v>354</v>
      </c>
      <c r="O6" s="13" t="s">
        <v>417</v>
      </c>
      <c r="P6" s="15" t="s">
        <v>362</v>
      </c>
      <c r="Q6" s="13" t="s">
        <v>363</v>
      </c>
      <c r="R6" s="13" t="s">
        <v>364</v>
      </c>
      <c r="S6" s="13" t="s">
        <v>759</v>
      </c>
      <c r="T6" s="13" t="s">
        <v>40</v>
      </c>
      <c r="U6" s="24" t="s">
        <v>893</v>
      </c>
      <c r="V6" s="24" t="s">
        <v>892</v>
      </c>
      <c r="W6" s="13" t="s">
        <v>731</v>
      </c>
      <c r="X6" s="13" t="s">
        <v>732</v>
      </c>
      <c r="Y6" s="13" t="s">
        <v>405</v>
      </c>
      <c r="Z6" s="24" t="s">
        <v>894</v>
      </c>
      <c r="AA6" s="24" t="s">
        <v>895</v>
      </c>
      <c r="AB6" s="13" t="s">
        <v>703</v>
      </c>
      <c r="AF6"/>
    </row>
    <row r="7" spans="1:32" x14ac:dyDescent="0.45">
      <c r="B7" t="s">
        <v>52</v>
      </c>
      <c r="C7" t="s">
        <v>382</v>
      </c>
      <c r="D7" s="4"/>
      <c r="I7" s="6" t="str">
        <f>entities[[#This Row],[domain]]&amp;"."&amp;entities[[#This Row],[object_id]]</f>
        <v>automation.almclk_wake_up_script_triggered_by_alarm_clock</v>
      </c>
      <c r="J7" s="6">
        <f>5-COUNTBLANK(entities[[#This Row],[hidden]:[icon]])</f>
        <v>0</v>
      </c>
      <c r="K7" s="6" t="str">
        <f>IF(entities[[#This Row],[Custom Attributes]]=0,"",
COUNTIFS(entities[Custom Attributes],"&gt;0",entities[entity_id],"&lt;="&amp;entities[[#This Row],[entity_id]]))</f>
        <v/>
      </c>
      <c r="L7" s="6" t="str">
        <f t="array" aca="1" ref="L7" ca="1">IF(entities[[#This Row],[Custom Attributes]]&lt;1,"",
MATCH(FALSE, ISBLANK(OFFSET(entities[[#This Row],[hidden]],0,0,1,5)), 0))</f>
        <v/>
      </c>
      <c r="M7" s="6" t="str">
        <f t="array" aca="1" ref="M7" ca="1">IF(entities[[#This Row],[Custom Attributes]]&lt;2,"",
IF(entities[[#This Row],[1]]=5-1,5,
MATCH(FALSE, ISBLANK(OFFSET(entities[[#This Row],[hidden]],0,entities[[#This Row],[1]],1,5-entities[[#This Row],[1]])), 0)+entities[[#This Row],[1]]))</f>
        <v/>
      </c>
      <c r="N7" s="6" t="str">
        <f t="array" aca="1" ref="N7" ca="1">IF(entities[[#This Row],[Custom Attributes]]&lt;3,"",
IF(entities[[#This Row],[2]]=5-1,5,
MATCH(FALSE, ISBLANK(OFFSET(entities[[#This Row],[hidden]],0,entities[[#This Row],[2]],1,5-entities[[#This Row],[2]])), 0)+entities[[#This Row],[2]]))</f>
        <v/>
      </c>
      <c r="O7" s="6" t="str">
        <f t="array" aca="1" ref="O7" ca="1">IF(entities[[#This Row],[Custom Attributes]]&lt;4,"",
IF(entities[[#This Row],[3]]=5-1,5,
MATCH(FALSE, ISBLANK(OFFSET(entities[[#This Row],[hidden]],0,entities[[#This Row],[3]],1,5-entities[[#This Row],[3]])), 0)+entities[[#This Row],[3]]))</f>
        <v/>
      </c>
      <c r="P7" s="14" t="str">
        <f ca="1">IF(entities[[#This Row],[1]]="","",
VLOOKUP(entities[[#This Row],[1]],Lookup!$B$5:$D$9,3,FALSE)  &amp;  INDEX(entities[[#This Row],[hidden]:[icon]],entities[[#This Row],[1]])
)</f>
        <v/>
      </c>
      <c r="Q7" s="6" t="str">
        <f ca="1">IF(entities[[#This Row],[2]]="","",
VLOOKUP(entities[[#This Row],[2]],Lookup!$B$5:$D$9,3,FALSE)  &amp;  INDEX(entities[[#This Row],[hidden]:[icon]],entities[[#This Row],[2]])
)</f>
        <v/>
      </c>
      <c r="R7" s="6" t="str">
        <f ca="1">IF(entities[[#This Row],[3]]="","",
VLOOKUP(entities[[#This Row],[3]],Lookup!$B$5:$D$9,3,FALSE)  &amp;  INDEX(entities[[#This Row],[hidden]:[icon]],entities[[#This Row],[3]])
)</f>
        <v/>
      </c>
      <c r="S7" s="6" t="str">
        <f ca="1">IF(entities[[#This Row],[4]]="","",
VLOOKUP(entities[[#This Row],[4]],Lookup!$B$5:$D$9,3,FALSE)  &amp;  INDEX(entities[[#This Row],[hidden]:[icon]],entities[[#This Row],[4]])
)</f>
        <v/>
      </c>
      <c r="T7" t="str">
        <f t="array" ref="T7">IFERROR(INDEX(cards[object_id],SMALL(IF(cards[[1]:[25]]=entities[[#This Row],[entity_id]],ROW(cards[])-7,99^99),1)),"")</f>
        <v>automation_almclk</v>
      </c>
      <c r="U7" t="str">
        <f>IF(entities[[#This Row],[In HA?]]&lt;&gt;"ok",  "Not in Home Assistant",
IF(entities[[#This Row],[hidden]]="true",  "Hidden",
IF(entities[[#This Row],[Card]]&lt;&gt;"",
INDEX(cards[name],MATCH(entities[[#This Row],[Card]],cards[object_id],0)),  "Badge / automatic card")))</f>
        <v>Automation || Alarm Clock</v>
      </c>
      <c r="V7" t="str">
        <f>IF(entities[[#This Row],[Card]]&lt;&gt;"","group."&amp;entities[[#This Row],[Card]],"")</f>
        <v>group.automation_almclk</v>
      </c>
      <c r="W7" t="str">
        <f t="array" ref="W7">IFERROR(IF(entities[[#This Row],[Assigned Card]]="","",INDEX(views[object_id],SMALL(IF(views[[1]:[25]]=entities[[#This Row],[Assigned Card]],ROW(views[])-7,99^99),1))),"")</f>
        <v/>
      </c>
      <c r="X7" t="str">
        <f t="array" ref="X7">IFERROR(INDEX(views[object_id],SMALL(IF(views[[1]:[25]]=entities[[#This Row],[entity_id]],ROW(views[])-7,99^99),1)),"")</f>
        <v/>
      </c>
      <c r="Y7" t="str">
        <f>IF(entities[[#This Row],[View from card]]&lt;&gt;"",entities[[#This Row],[View from card]],entities[[#This Row],[View from entitiy]])</f>
        <v/>
      </c>
      <c r="Z7" t="str">
        <f>IF(entities[[#This Row],[In HA?]]&lt;&gt;"ok",  "Not in Home Assistant",
IF(entities[[#This Row],[hidden]]="true",  "Hidden",
IF(entities[[#This Row],[View]]&lt;&gt;"",
INDEX(views[name],MATCH(entities[[#This Row],[View]],views[object_id],0)),  "Default view")))</f>
        <v>Default view</v>
      </c>
      <c r="AA7" t="str">
        <f>IF(entities[[#This Row],[View]]&lt;&gt;"","group."&amp;entities[[#This Row],[View]],"")</f>
        <v/>
      </c>
      <c r="AB7" s="6" t="str">
        <f>IF(COUNTIF(Table4[Entity],entities[[#This Row],[entity_id]]),"ok","Missing from States tab")</f>
        <v>ok</v>
      </c>
      <c r="AF7"/>
    </row>
    <row r="8" spans="1:32" x14ac:dyDescent="0.45">
      <c r="B8" t="s">
        <v>52</v>
      </c>
      <c r="C8" t="s">
        <v>383</v>
      </c>
      <c r="D8" s="4" t="s">
        <v>294</v>
      </c>
      <c r="I8" s="6" t="str">
        <f>entities[[#This Row],[domain]]&amp;"."&amp;entities[[#This Row],[object_id]]</f>
        <v>automation.locaway_devices_in_bedroom_off_when_at_the_computer</v>
      </c>
      <c r="J8" s="6">
        <f>5-COUNTBLANK(entities[[#This Row],[hidden]:[icon]])</f>
        <v>1</v>
      </c>
      <c r="K8" s="6">
        <f>IF(entities[[#This Row],[Custom Attributes]]=0,"",
COUNTIFS(entities[Custom Attributes],"&gt;0",entities[entity_id],"&lt;="&amp;entities[[#This Row],[entity_id]]))</f>
        <v>1</v>
      </c>
      <c r="L8" s="6">
        <f t="array" aca="1" ref="L8" ca="1">IF(entities[[#This Row],[Custom Attributes]]&lt;1,"",
MATCH(FALSE, ISBLANK(OFFSET(entities[[#This Row],[hidden]],0,0,1,5)), 0))</f>
        <v>1</v>
      </c>
      <c r="M8" s="6" t="str">
        <f t="array" aca="1" ref="M8" ca="1">IF(entities[[#This Row],[Custom Attributes]]&lt;2,"",
IF(entities[[#This Row],[1]]=5-1,5,
MATCH(FALSE, ISBLANK(OFFSET(entities[[#This Row],[hidden]],0,entities[[#This Row],[1]],1,5-entities[[#This Row],[1]])), 0)+entities[[#This Row],[1]]))</f>
        <v/>
      </c>
      <c r="N8" s="6" t="str">
        <f t="array" aca="1" ref="N8" ca="1">IF(entities[[#This Row],[Custom Attributes]]&lt;3,"",
IF(entities[[#This Row],[2]]=5-1,5,
MATCH(FALSE, ISBLANK(OFFSET(entities[[#This Row],[hidden]],0,entities[[#This Row],[2]],1,5-entities[[#This Row],[2]])), 0)+entities[[#This Row],[2]]))</f>
        <v/>
      </c>
      <c r="O8" s="6" t="str">
        <f t="array" aca="1" ref="O8" ca="1">IF(entities[[#This Row],[Custom Attributes]]&lt;4,"",
IF(entities[[#This Row],[3]]=5-1,5,
MATCH(FALSE, ISBLANK(OFFSET(entities[[#This Row],[hidden]],0,entities[[#This Row],[3]],1,5-entities[[#This Row],[3]])), 0)+entities[[#This Row],[3]]))</f>
        <v/>
      </c>
      <c r="P8" s="14" t="str">
        <f ca="1">IF(entities[[#This Row],[1]]="","",
VLOOKUP(entities[[#This Row],[1]],Lookup!$B$5:$D$9,3,FALSE)  &amp;  INDEX(entities[[#This Row],[hidden]:[icon]],entities[[#This Row],[1]])
)</f>
        <v xml:space="preserve">  hidden: true</v>
      </c>
      <c r="Q8" s="6" t="str">
        <f ca="1">IF(entities[[#This Row],[2]]="","",
VLOOKUP(entities[[#This Row],[2]],Lookup!$B$5:$D$9,3,FALSE)  &amp;  INDEX(entities[[#This Row],[hidden]:[icon]],entities[[#This Row],[2]])
)</f>
        <v/>
      </c>
      <c r="R8" s="6" t="str">
        <f ca="1">IF(entities[[#This Row],[3]]="","",
VLOOKUP(entities[[#This Row],[3]],Lookup!$B$5:$D$9,3,FALSE)  &amp;  INDEX(entities[[#This Row],[hidden]:[icon]],entities[[#This Row],[3]])
)</f>
        <v/>
      </c>
      <c r="S8" s="6" t="str">
        <f ca="1">IF(entities[[#This Row],[4]]="","",
VLOOKUP(entities[[#This Row],[4]],Lookup!$B$5:$D$9,3,FALSE)  &amp;  INDEX(entities[[#This Row],[hidden]:[icon]],entities[[#This Row],[4]])
)</f>
        <v/>
      </c>
      <c r="T8" t="str">
        <f t="array" ref="T8">IFERROR(INDEX(cards[object_id],SMALL(IF(cards[[1]:[25]]=entities[[#This Row],[entity_id]],ROW(cards[])-7,99^99),1)),"")</f>
        <v>automation_locaway</v>
      </c>
      <c r="U8" t="str">
        <f>IF(entities[[#This Row],[In HA?]]&lt;&gt;"ok",  "Not in Home Assistant",
IF(entities[[#This Row],[hidden]]="true",  "Hidden",
IF(entities[[#This Row],[Card]]&lt;&gt;"",
INDEX(cards[name],MATCH(entities[[#This Row],[Card]],cards[object_id],0)),  "Badge / automatic card")))</f>
        <v>Hidden</v>
      </c>
      <c r="V8" t="str">
        <f>IF(entities[[#This Row],[Card]]&lt;&gt;"","group."&amp;entities[[#This Row],[Card]],"")</f>
        <v>group.automation_locaway</v>
      </c>
      <c r="W8" t="str">
        <f t="array" ref="W8">IFERROR(IF(entities[[#This Row],[Assigned Card]]="","",INDEX(views[object_id],SMALL(IF(views[[1]:[25]]=entities[[#This Row],[Assigned Card]],ROW(views[])-7,99^99),1))),"")</f>
        <v/>
      </c>
      <c r="X8" t="str">
        <f t="array" ref="X8">IFERROR(INDEX(views[object_id],SMALL(IF(views[[1]:[25]]=entities[[#This Row],[entity_id]],ROW(views[])-7,99^99),1)),"")</f>
        <v/>
      </c>
      <c r="Y8" t="str">
        <f>IF(entities[[#This Row],[View from card]]&lt;&gt;"",entities[[#This Row],[View from card]],entities[[#This Row],[View from entitiy]])</f>
        <v/>
      </c>
      <c r="Z8" t="str">
        <f>IF(entities[[#This Row],[In HA?]]&lt;&gt;"ok",  "Not in Home Assistant",
IF(entities[[#This Row],[hidden]]="true",  "Hidden",
IF(entities[[#This Row],[View]]&lt;&gt;"",
INDEX(views[name],MATCH(entities[[#This Row],[View]],views[object_id],0)),  "Default view")))</f>
        <v>Hidden</v>
      </c>
      <c r="AA8" t="str">
        <f>IF(entities[[#This Row],[View]]&lt;&gt;"","group."&amp;entities[[#This Row],[View]],"")</f>
        <v/>
      </c>
      <c r="AB8" s="6" t="str">
        <f>IF(COUNTIF(Table4[Entity],entities[[#This Row],[entity_id]]),"ok","Missing from States tab")</f>
        <v>ok</v>
      </c>
      <c r="AF8"/>
    </row>
    <row r="9" spans="1:32" x14ac:dyDescent="0.45">
      <c r="B9" t="s">
        <v>52</v>
      </c>
      <c r="C9" t="s">
        <v>384</v>
      </c>
      <c r="D9" s="4" t="s">
        <v>294</v>
      </c>
      <c r="I9" s="6" t="str">
        <f>entities[[#This Row],[domain]]&amp;"."&amp;entities[[#This Row],[object_id]]</f>
        <v>automation.locaway_devices_off_when_away</v>
      </c>
      <c r="J9" s="6">
        <f>5-COUNTBLANK(entities[[#This Row],[hidden]:[icon]])</f>
        <v>1</v>
      </c>
      <c r="K9" s="6">
        <f>IF(entities[[#This Row],[Custom Attributes]]=0,"",
COUNTIFS(entities[Custom Attributes],"&gt;0",entities[entity_id],"&lt;="&amp;entities[[#This Row],[entity_id]]))</f>
        <v>2</v>
      </c>
      <c r="L9" s="6">
        <f t="array" aca="1" ref="L9" ca="1">IF(entities[[#This Row],[Custom Attributes]]&lt;1,"",
MATCH(FALSE, ISBLANK(OFFSET(entities[[#This Row],[hidden]],0,0,1,5)), 0))</f>
        <v>1</v>
      </c>
      <c r="M9" s="6" t="str">
        <f t="array" aca="1" ref="M9" ca="1">IF(entities[[#This Row],[Custom Attributes]]&lt;2,"",
IF(entities[[#This Row],[1]]=5-1,5,
MATCH(FALSE, ISBLANK(OFFSET(entities[[#This Row],[hidden]],0,entities[[#This Row],[1]],1,5-entities[[#This Row],[1]])), 0)+entities[[#This Row],[1]]))</f>
        <v/>
      </c>
      <c r="N9" s="6" t="str">
        <f t="array" aca="1" ref="N9" ca="1">IF(entities[[#This Row],[Custom Attributes]]&lt;3,"",
IF(entities[[#This Row],[2]]=5-1,5,
MATCH(FALSE, ISBLANK(OFFSET(entities[[#This Row],[hidden]],0,entities[[#This Row],[2]],1,5-entities[[#This Row],[2]])), 0)+entities[[#This Row],[2]]))</f>
        <v/>
      </c>
      <c r="O9" s="6" t="str">
        <f t="array" aca="1" ref="O9" ca="1">IF(entities[[#This Row],[Custom Attributes]]&lt;4,"",
IF(entities[[#This Row],[3]]=5-1,5,
MATCH(FALSE, ISBLANK(OFFSET(entities[[#This Row],[hidden]],0,entities[[#This Row],[3]],1,5-entities[[#This Row],[3]])), 0)+entities[[#This Row],[3]]))</f>
        <v/>
      </c>
      <c r="P9" s="14" t="str">
        <f ca="1">IF(entities[[#This Row],[1]]="","",
VLOOKUP(entities[[#This Row],[1]],Lookup!$B$5:$D$9,3,FALSE)  &amp;  INDEX(entities[[#This Row],[hidden]:[icon]],entities[[#This Row],[1]])
)</f>
        <v xml:space="preserve">  hidden: true</v>
      </c>
      <c r="Q9" s="6" t="str">
        <f ca="1">IF(entities[[#This Row],[2]]="","",
VLOOKUP(entities[[#This Row],[2]],Lookup!$B$5:$D$9,3,FALSE)  &amp;  INDEX(entities[[#This Row],[hidden]:[icon]],entities[[#This Row],[2]])
)</f>
        <v/>
      </c>
      <c r="R9" s="6" t="str">
        <f ca="1">IF(entities[[#This Row],[3]]="","",
VLOOKUP(entities[[#This Row],[3]],Lookup!$B$5:$D$9,3,FALSE)  &amp;  INDEX(entities[[#This Row],[hidden]:[icon]],entities[[#This Row],[3]])
)</f>
        <v/>
      </c>
      <c r="S9" s="6" t="str">
        <f ca="1">IF(entities[[#This Row],[4]]="","",
VLOOKUP(entities[[#This Row],[4]],Lookup!$B$5:$D$9,3,FALSE)  &amp;  INDEX(entities[[#This Row],[hidden]:[icon]],entities[[#This Row],[4]])
)</f>
        <v/>
      </c>
      <c r="T9" t="str">
        <f t="array" ref="T9">IFERROR(INDEX(cards[object_id],SMALL(IF(cards[[1]:[25]]=entities[[#This Row],[entity_id]],ROW(cards[])-7,99^99),1)),"")</f>
        <v>automation_locaway</v>
      </c>
      <c r="U9" t="str">
        <f>IF(entities[[#This Row],[In HA?]]&lt;&gt;"ok",  "Not in Home Assistant",
IF(entities[[#This Row],[hidden]]="true",  "Hidden",
IF(entities[[#This Row],[Card]]&lt;&gt;"",
INDEX(cards[name],MATCH(entities[[#This Row],[Card]],cards[object_id],0)),  "Badge / automatic card")))</f>
        <v>Hidden</v>
      </c>
      <c r="V9" t="str">
        <f>IF(entities[[#This Row],[Card]]&lt;&gt;"","group."&amp;entities[[#This Row],[Card]],"")</f>
        <v>group.automation_locaway</v>
      </c>
      <c r="W9" t="str">
        <f t="array" ref="W9">IFERROR(IF(entities[[#This Row],[Assigned Card]]="","",INDEX(views[object_id],SMALL(IF(views[[1]:[25]]=entities[[#This Row],[Assigned Card]],ROW(views[])-7,99^99),1))),"")</f>
        <v/>
      </c>
      <c r="X9" t="str">
        <f t="array" ref="X9">IFERROR(INDEX(views[object_id],SMALL(IF(views[[1]:[25]]=entities[[#This Row],[entity_id]],ROW(views[])-7,99^99),1)),"")</f>
        <v/>
      </c>
      <c r="Y9" t="str">
        <f>IF(entities[[#This Row],[View from card]]&lt;&gt;"",entities[[#This Row],[View from card]],entities[[#This Row],[View from entitiy]])</f>
        <v/>
      </c>
      <c r="Z9" t="str">
        <f>IF(entities[[#This Row],[In HA?]]&lt;&gt;"ok",  "Not in Home Assistant",
IF(entities[[#This Row],[hidden]]="true",  "Hidden",
IF(entities[[#This Row],[View]]&lt;&gt;"",
INDEX(views[name],MATCH(entities[[#This Row],[View]],views[object_id],0)),  "Default view")))</f>
        <v>Hidden</v>
      </c>
      <c r="AA9" t="str">
        <f>IF(entities[[#This Row],[View]]&lt;&gt;"","group."&amp;entities[[#This Row],[View]],"")</f>
        <v/>
      </c>
      <c r="AB9" s="6" t="str">
        <f>IF(COUNTIF(Table4[Entity],entities[[#This Row],[entity_id]]),"ok","Missing from States tab")</f>
        <v>ok</v>
      </c>
      <c r="AF9"/>
    </row>
    <row r="10" spans="1:32" x14ac:dyDescent="0.45">
      <c r="B10" t="s">
        <v>52</v>
      </c>
      <c r="C10" t="s">
        <v>385</v>
      </c>
      <c r="D10" s="4" t="s">
        <v>294</v>
      </c>
      <c r="I10" s="6" t="str">
        <f>entities[[#This Row],[domain]]&amp;"."&amp;entities[[#This Row],[object_id]]</f>
        <v>automation.locaway_devices_on_desk_off_when_leave_the_computer</v>
      </c>
      <c r="J10" s="6">
        <f>5-COUNTBLANK(entities[[#This Row],[hidden]:[icon]])</f>
        <v>1</v>
      </c>
      <c r="K10" s="6">
        <f>IF(entities[[#This Row],[Custom Attributes]]=0,"",
COUNTIFS(entities[Custom Attributes],"&gt;0",entities[entity_id],"&lt;="&amp;entities[[#This Row],[entity_id]]))</f>
        <v>3</v>
      </c>
      <c r="L10" s="6">
        <f t="array" aca="1" ref="L10" ca="1">IF(entities[[#This Row],[Custom Attributes]]&lt;1,"",
MATCH(FALSE, ISBLANK(OFFSET(entities[[#This Row],[hidden]],0,0,1,5)), 0))</f>
        <v>1</v>
      </c>
      <c r="M10" s="6" t="str">
        <f t="array" aca="1" ref="M10" ca="1">IF(entities[[#This Row],[Custom Attributes]]&lt;2,"",
IF(entities[[#This Row],[1]]=5-1,5,
MATCH(FALSE, ISBLANK(OFFSET(entities[[#This Row],[hidden]],0,entities[[#This Row],[1]],1,5-entities[[#This Row],[1]])), 0)+entities[[#This Row],[1]]))</f>
        <v/>
      </c>
      <c r="N10" s="6" t="str">
        <f t="array" aca="1" ref="N10" ca="1">IF(entities[[#This Row],[Custom Attributes]]&lt;3,"",
IF(entities[[#This Row],[2]]=5-1,5,
MATCH(FALSE, ISBLANK(OFFSET(entities[[#This Row],[hidden]],0,entities[[#This Row],[2]],1,5-entities[[#This Row],[2]])), 0)+entities[[#This Row],[2]]))</f>
        <v/>
      </c>
      <c r="O10" s="6" t="str">
        <f t="array" aca="1" ref="O10" ca="1">IF(entities[[#This Row],[Custom Attributes]]&lt;4,"",
IF(entities[[#This Row],[3]]=5-1,5,
MATCH(FALSE, ISBLANK(OFFSET(entities[[#This Row],[hidden]],0,entities[[#This Row],[3]],1,5-entities[[#This Row],[3]])), 0)+entities[[#This Row],[3]]))</f>
        <v/>
      </c>
      <c r="P10" s="14" t="str">
        <f ca="1">IF(entities[[#This Row],[1]]="","",
VLOOKUP(entities[[#This Row],[1]],Lookup!$B$5:$D$9,3,FALSE)  &amp;  INDEX(entities[[#This Row],[hidden]:[icon]],entities[[#This Row],[1]])
)</f>
        <v xml:space="preserve">  hidden: true</v>
      </c>
      <c r="Q10" s="6" t="str">
        <f ca="1">IF(entities[[#This Row],[2]]="","",
VLOOKUP(entities[[#This Row],[2]],Lookup!$B$5:$D$9,3,FALSE)  &amp;  INDEX(entities[[#This Row],[hidden]:[icon]],entities[[#This Row],[2]])
)</f>
        <v/>
      </c>
      <c r="R10" s="6" t="str">
        <f ca="1">IF(entities[[#This Row],[3]]="","",
VLOOKUP(entities[[#This Row],[3]],Lookup!$B$5:$D$9,3,FALSE)  &amp;  INDEX(entities[[#This Row],[hidden]:[icon]],entities[[#This Row],[3]])
)</f>
        <v/>
      </c>
      <c r="S10" s="6" t="str">
        <f ca="1">IF(entities[[#This Row],[4]]="","",
VLOOKUP(entities[[#This Row],[4]],Lookup!$B$5:$D$9,3,FALSE)  &amp;  INDEX(entities[[#This Row],[hidden]:[icon]],entities[[#This Row],[4]])
)</f>
        <v/>
      </c>
      <c r="T10" t="str">
        <f t="array" ref="T10">IFERROR(INDEX(cards[object_id],SMALL(IF(cards[[1]:[25]]=entities[[#This Row],[entity_id]],ROW(cards[])-7,99^99),1)),"")</f>
        <v>automation_locaway</v>
      </c>
      <c r="U10" t="str">
        <f>IF(entities[[#This Row],[In HA?]]&lt;&gt;"ok",  "Not in Home Assistant",
IF(entities[[#This Row],[hidden]]="true",  "Hidden",
IF(entities[[#This Row],[Card]]&lt;&gt;"",
INDEX(cards[name],MATCH(entities[[#This Row],[Card]],cards[object_id],0)),  "Badge / automatic card")))</f>
        <v>Hidden</v>
      </c>
      <c r="V10" t="str">
        <f>IF(entities[[#This Row],[Card]]&lt;&gt;"","group."&amp;entities[[#This Row],[Card]],"")</f>
        <v>group.automation_locaway</v>
      </c>
      <c r="W10" t="str">
        <f t="array" ref="W10">IFERROR(IF(entities[[#This Row],[Assigned Card]]="","",INDEX(views[object_id],SMALL(IF(views[[1]:[25]]=entities[[#This Row],[Assigned Card]],ROW(views[])-7,99^99),1))),"")</f>
        <v/>
      </c>
      <c r="X10" t="str">
        <f t="array" ref="X10">IFERROR(INDEX(views[object_id],SMALL(IF(views[[1]:[25]]=entities[[#This Row],[entity_id]],ROW(views[])-7,99^99),1)),"")</f>
        <v/>
      </c>
      <c r="Y10" t="str">
        <f>IF(entities[[#This Row],[View from card]]&lt;&gt;"",entities[[#This Row],[View from card]],entities[[#This Row],[View from entitiy]])</f>
        <v/>
      </c>
      <c r="Z10" t="str">
        <f>IF(entities[[#This Row],[In HA?]]&lt;&gt;"ok",  "Not in Home Assistant",
IF(entities[[#This Row],[hidden]]="true",  "Hidden",
IF(entities[[#This Row],[View]]&lt;&gt;"",
INDEX(views[name],MATCH(entities[[#This Row],[View]],views[object_id],0)),  "Default view")))</f>
        <v>Hidden</v>
      </c>
      <c r="AA10" t="str">
        <f>IF(entities[[#This Row],[View]]&lt;&gt;"","group."&amp;entities[[#This Row],[View]],"")</f>
        <v/>
      </c>
      <c r="AB10" s="6" t="str">
        <f>IF(COUNTIF(Table4[Entity],entities[[#This Row],[entity_id]]),"ok","Missing from States tab")</f>
        <v>ok</v>
      </c>
      <c r="AF10"/>
    </row>
    <row r="11" spans="1:32" x14ac:dyDescent="0.45">
      <c r="B11" t="s">
        <v>52</v>
      </c>
      <c r="C11" t="s">
        <v>876</v>
      </c>
      <c r="I11" s="6" t="str">
        <f>entities[[#This Row],[domain]]&amp;"."&amp;entities[[#This Row],[object_id]]</f>
        <v>automation.not_notification_when_humvee_left_on</v>
      </c>
      <c r="J11" s="6">
        <f>5-COUNTBLANK(entities[[#This Row],[hidden]:[icon]])</f>
        <v>0</v>
      </c>
      <c r="K11" s="6" t="str">
        <f>IF(entities[[#This Row],[Custom Attributes]]=0,"",
COUNTIFS(entities[Custom Attributes],"&gt;0",entities[entity_id],"&lt;="&amp;entities[[#This Row],[entity_id]]))</f>
        <v/>
      </c>
      <c r="L11" s="6" t="str">
        <f t="array" aca="1" ref="L11" ca="1">IF(entities[[#This Row],[Custom Attributes]]&lt;1,"",
MATCH(FALSE, ISBLANK(OFFSET(entities[[#This Row],[hidden]],0,0,1,5)), 0))</f>
        <v/>
      </c>
      <c r="M11" s="6" t="str">
        <f t="array" aca="1" ref="M11" ca="1">IF(entities[[#This Row],[Custom Attributes]]&lt;2,"",
IF(entities[[#This Row],[1]]=5-1,5,
MATCH(FALSE, ISBLANK(OFFSET(entities[[#This Row],[hidden]],0,entities[[#This Row],[1]],1,5-entities[[#This Row],[1]])), 0)+entities[[#This Row],[1]]))</f>
        <v/>
      </c>
      <c r="N11" s="6" t="str">
        <f t="array" aca="1" ref="N11" ca="1">IF(entities[[#This Row],[Custom Attributes]]&lt;3,"",
IF(entities[[#This Row],[2]]=5-1,5,
MATCH(FALSE, ISBLANK(OFFSET(entities[[#This Row],[hidden]],0,entities[[#This Row],[2]],1,5-entities[[#This Row],[2]])), 0)+entities[[#This Row],[2]]))</f>
        <v/>
      </c>
      <c r="O11" s="6" t="str">
        <f t="array" aca="1" ref="O11" ca="1">IF(entities[[#This Row],[Custom Attributes]]&lt;4,"",
IF(entities[[#This Row],[3]]=5-1,5,
MATCH(FALSE, ISBLANK(OFFSET(entities[[#This Row],[hidden]],0,entities[[#This Row],[3]],1,5-entities[[#This Row],[3]])), 0)+entities[[#This Row],[3]]))</f>
        <v/>
      </c>
      <c r="P11" s="14" t="str">
        <f ca="1">IF(entities[[#This Row],[1]]="","",
VLOOKUP(entities[[#This Row],[1]],Lookup!$B$5:$D$9,3,FALSE)  &amp;  INDEX(entities[[#This Row],[hidden]:[icon]],entities[[#This Row],[1]])
)</f>
        <v/>
      </c>
      <c r="Q11" s="6" t="str">
        <f ca="1">IF(entities[[#This Row],[2]]="","",
VLOOKUP(entities[[#This Row],[2]],Lookup!$B$5:$D$9,3,FALSE)  &amp;  INDEX(entities[[#This Row],[hidden]:[icon]],entities[[#This Row],[2]])
)</f>
        <v/>
      </c>
      <c r="R11" s="6" t="str">
        <f ca="1">IF(entities[[#This Row],[3]]="","",
VLOOKUP(entities[[#This Row],[3]],Lookup!$B$5:$D$9,3,FALSE)  &amp;  INDEX(entities[[#This Row],[hidden]:[icon]],entities[[#This Row],[3]])
)</f>
        <v/>
      </c>
      <c r="S11" s="6" t="str">
        <f ca="1">IF(entities[[#This Row],[4]]="","",
VLOOKUP(entities[[#This Row],[4]],Lookup!$B$5:$D$9,3,FALSE)  &amp;  INDEX(entities[[#This Row],[hidden]:[icon]],entities[[#This Row],[4]])
)</f>
        <v/>
      </c>
      <c r="T11" s="6" t="str">
        <f t="array" ref="T11">IFERROR(INDEX(cards[object_id],SMALL(IF(cards[[1]:[25]]=entities[[#This Row],[entity_id]],ROW(cards[])-7,99^99),1)),"")</f>
        <v>automation_not</v>
      </c>
      <c r="U11" s="6" t="str">
        <f>IF(entities[[#This Row],[In HA?]]&lt;&gt;"ok",  "Not in Home Assistant",
IF(entities[[#This Row],[hidden]]="true",  "Hidden",
IF(entities[[#This Row],[Card]]&lt;&gt;"",
INDEX(cards[name],MATCH(entities[[#This Row],[Card]],cards[object_id],0)),  "Badge / automatic card")))</f>
        <v>Automation || Notifications</v>
      </c>
      <c r="V11" s="6" t="str">
        <f>IF(entities[[#This Row],[Card]]&lt;&gt;"","group."&amp;entities[[#This Row],[Card]],"")</f>
        <v>group.automation_not</v>
      </c>
      <c r="W11" s="6" t="str">
        <f t="array" ref="W11">IFERROR(IF(entities[[#This Row],[Assigned Card]]="","",INDEX(views[object_id],SMALL(IF(views[[1]:[25]]=entities[[#This Row],[Assigned Card]],ROW(views[])-7,99^99),1))),"")</f>
        <v/>
      </c>
      <c r="X11" s="6" t="str">
        <f t="array" ref="X11">IFERROR(INDEX(views[object_id],SMALL(IF(views[[1]:[25]]=entities[[#This Row],[entity_id]],ROW(views[])-7,99^99),1)),"")</f>
        <v/>
      </c>
      <c r="Y11" s="6" t="str">
        <f>IF(entities[[#This Row],[View from card]]&lt;&gt;"",entities[[#This Row],[View from card]],entities[[#This Row],[View from entitiy]])</f>
        <v/>
      </c>
      <c r="Z11" s="6" t="str">
        <f>IF(entities[[#This Row],[In HA?]]&lt;&gt;"ok",  "Not in Home Assistant",
IF(entities[[#This Row],[hidden]]="true",  "Hidden",
IF(entities[[#This Row],[View]]&lt;&gt;"",
INDEX(views[name],MATCH(entities[[#This Row],[View]],views[object_id],0)),  "Default view")))</f>
        <v>Default view</v>
      </c>
      <c r="AA11" s="6" t="str">
        <f>IF(entities[[#This Row],[View]]&lt;&gt;"","group."&amp;entities[[#This Row],[View]],"")</f>
        <v/>
      </c>
      <c r="AB11" s="6" t="str">
        <f>IF(COUNTIF(Table4[Entity],entities[[#This Row],[entity_id]]),"ok","Missing from States tab")</f>
        <v>ok</v>
      </c>
      <c r="AF11"/>
    </row>
    <row r="12" spans="1:32" x14ac:dyDescent="0.45">
      <c r="B12" t="s">
        <v>52</v>
      </c>
      <c r="C12" t="s">
        <v>386</v>
      </c>
      <c r="D12" s="4" t="s">
        <v>294</v>
      </c>
      <c r="I12" s="6" t="str">
        <f>entities[[#This Row],[domain]]&amp;"."&amp;entities[[#This Row],[object_id]]</f>
        <v>automation.not_notification_when_multisensor_battery_is_low</v>
      </c>
      <c r="J12" s="6">
        <f>5-COUNTBLANK(entities[[#This Row],[hidden]:[icon]])</f>
        <v>1</v>
      </c>
      <c r="K12" s="6">
        <f>IF(entities[[#This Row],[Custom Attributes]]=0,"",
COUNTIFS(entities[Custom Attributes],"&gt;0",entities[entity_id],"&lt;="&amp;entities[[#This Row],[entity_id]]))</f>
        <v>4</v>
      </c>
      <c r="L12" s="6">
        <f t="array" aca="1" ref="L12" ca="1">IF(entities[[#This Row],[Custom Attributes]]&lt;1,"",
MATCH(FALSE, ISBLANK(OFFSET(entities[[#This Row],[hidden]],0,0,1,5)), 0))</f>
        <v>1</v>
      </c>
      <c r="M12" s="6" t="str">
        <f t="array" aca="1" ref="M12" ca="1">IF(entities[[#This Row],[Custom Attributes]]&lt;2,"",
IF(entities[[#This Row],[1]]=5-1,5,
MATCH(FALSE, ISBLANK(OFFSET(entities[[#This Row],[hidden]],0,entities[[#This Row],[1]],1,5-entities[[#This Row],[1]])), 0)+entities[[#This Row],[1]]))</f>
        <v/>
      </c>
      <c r="N12" s="6" t="str">
        <f t="array" aca="1" ref="N12" ca="1">IF(entities[[#This Row],[Custom Attributes]]&lt;3,"",
IF(entities[[#This Row],[2]]=5-1,5,
MATCH(FALSE, ISBLANK(OFFSET(entities[[#This Row],[hidden]],0,entities[[#This Row],[2]],1,5-entities[[#This Row],[2]])), 0)+entities[[#This Row],[2]]))</f>
        <v/>
      </c>
      <c r="O12" s="6" t="str">
        <f t="array" aca="1" ref="O12" ca="1">IF(entities[[#This Row],[Custom Attributes]]&lt;4,"",
IF(entities[[#This Row],[3]]=5-1,5,
MATCH(FALSE, ISBLANK(OFFSET(entities[[#This Row],[hidden]],0,entities[[#This Row],[3]],1,5-entities[[#This Row],[3]])), 0)+entities[[#This Row],[3]]))</f>
        <v/>
      </c>
      <c r="P12" s="14" t="str">
        <f ca="1">IF(entities[[#This Row],[1]]="","",
VLOOKUP(entities[[#This Row],[1]],Lookup!$B$5:$D$9,3,FALSE)  &amp;  INDEX(entities[[#This Row],[hidden]:[icon]],entities[[#This Row],[1]])
)</f>
        <v xml:space="preserve">  hidden: true</v>
      </c>
      <c r="Q12" s="6" t="str">
        <f ca="1">IF(entities[[#This Row],[2]]="","",
VLOOKUP(entities[[#This Row],[2]],Lookup!$B$5:$D$9,3,FALSE)  &amp;  INDEX(entities[[#This Row],[hidden]:[icon]],entities[[#This Row],[2]])
)</f>
        <v/>
      </c>
      <c r="R12" s="6" t="str">
        <f ca="1">IF(entities[[#This Row],[3]]="","",
VLOOKUP(entities[[#This Row],[3]],Lookup!$B$5:$D$9,3,FALSE)  &amp;  INDEX(entities[[#This Row],[hidden]:[icon]],entities[[#This Row],[3]])
)</f>
        <v/>
      </c>
      <c r="S12" s="6" t="str">
        <f ca="1">IF(entities[[#This Row],[4]]="","",
VLOOKUP(entities[[#This Row],[4]],Lookup!$B$5:$D$9,3,FALSE)  &amp;  INDEX(entities[[#This Row],[hidden]:[icon]],entities[[#This Row],[4]])
)</f>
        <v/>
      </c>
      <c r="T12" t="str">
        <f t="array" ref="T12">IFERROR(INDEX(cards[object_id],SMALL(IF(cards[[1]:[25]]=entities[[#This Row],[entity_id]],ROW(cards[])-7,99^99),1)),"")</f>
        <v>automation_not</v>
      </c>
      <c r="U12" t="str">
        <f>IF(entities[[#This Row],[In HA?]]&lt;&gt;"ok",  "Not in Home Assistant",
IF(entities[[#This Row],[hidden]]="true",  "Hidden",
IF(entities[[#This Row],[Card]]&lt;&gt;"",
INDEX(cards[name],MATCH(entities[[#This Row],[Card]],cards[object_id],0)),  "Badge / automatic card")))</f>
        <v>Hidden</v>
      </c>
      <c r="V12" t="str">
        <f>IF(entities[[#This Row],[Card]]&lt;&gt;"","group."&amp;entities[[#This Row],[Card]],"")</f>
        <v>group.automation_not</v>
      </c>
      <c r="W12" t="str">
        <f t="array" ref="W12">IFERROR(IF(entities[[#This Row],[Assigned Card]]="","",INDEX(views[object_id],SMALL(IF(views[[1]:[25]]=entities[[#This Row],[Assigned Card]],ROW(views[])-7,99^99),1))),"")</f>
        <v/>
      </c>
      <c r="X12" t="str">
        <f t="array" ref="X12">IFERROR(INDEX(views[object_id],SMALL(IF(views[[1]:[25]]=entities[[#This Row],[entity_id]],ROW(views[])-7,99^99),1)),"")</f>
        <v/>
      </c>
      <c r="Y12" t="str">
        <f>IF(entities[[#This Row],[View from card]]&lt;&gt;"",entities[[#This Row],[View from card]],entities[[#This Row],[View from entitiy]])</f>
        <v/>
      </c>
      <c r="Z12" t="str">
        <f>IF(entities[[#This Row],[In HA?]]&lt;&gt;"ok",  "Not in Home Assistant",
IF(entities[[#This Row],[hidden]]="true",  "Hidden",
IF(entities[[#This Row],[View]]&lt;&gt;"",
INDEX(views[name],MATCH(entities[[#This Row],[View]],views[object_id],0)),  "Default view")))</f>
        <v>Hidden</v>
      </c>
      <c r="AA12" t="str">
        <f>IF(entities[[#This Row],[View]]&lt;&gt;"","group."&amp;entities[[#This Row],[View]],"")</f>
        <v/>
      </c>
      <c r="AB12" s="6" t="str">
        <f>IF(COUNTIF(Table4[Entity],entities[[#This Row],[entity_id]]),"ok","Missing from States tab")</f>
        <v>ok</v>
      </c>
      <c r="AF12"/>
    </row>
    <row r="13" spans="1:32" x14ac:dyDescent="0.45">
      <c r="B13" t="s">
        <v>52</v>
      </c>
      <c r="C13" t="s">
        <v>387</v>
      </c>
      <c r="D13" s="4"/>
      <c r="I13" s="6" t="str">
        <f>entities[[#This Row],[domain]]&amp;"."&amp;entities[[#This Row],[object_id]]</f>
        <v>automation.not_notification_when_tank_turns_off</v>
      </c>
      <c r="J13" s="6">
        <f>5-COUNTBLANK(entities[[#This Row],[hidden]:[icon]])</f>
        <v>0</v>
      </c>
      <c r="K13" s="6" t="str">
        <f>IF(entities[[#This Row],[Custom Attributes]]=0,"",
COUNTIFS(entities[Custom Attributes],"&gt;0",entities[entity_id],"&lt;="&amp;entities[[#This Row],[entity_id]]))</f>
        <v/>
      </c>
      <c r="L13" s="6" t="str">
        <f t="array" aca="1" ref="L13" ca="1">IF(entities[[#This Row],[Custom Attributes]]&lt;1,"",
MATCH(FALSE, ISBLANK(OFFSET(entities[[#This Row],[hidden]],0,0,1,5)), 0))</f>
        <v/>
      </c>
      <c r="M13" s="6" t="str">
        <f t="array" aca="1" ref="M13" ca="1">IF(entities[[#This Row],[Custom Attributes]]&lt;2,"",
IF(entities[[#This Row],[1]]=5-1,5,
MATCH(FALSE, ISBLANK(OFFSET(entities[[#This Row],[hidden]],0,entities[[#This Row],[1]],1,5-entities[[#This Row],[1]])), 0)+entities[[#This Row],[1]]))</f>
        <v/>
      </c>
      <c r="N13" s="6" t="str">
        <f t="array" aca="1" ref="N13" ca="1">IF(entities[[#This Row],[Custom Attributes]]&lt;3,"",
IF(entities[[#This Row],[2]]=5-1,5,
MATCH(FALSE, ISBLANK(OFFSET(entities[[#This Row],[hidden]],0,entities[[#This Row],[2]],1,5-entities[[#This Row],[2]])), 0)+entities[[#This Row],[2]]))</f>
        <v/>
      </c>
      <c r="O13" s="6" t="str">
        <f t="array" aca="1" ref="O13" ca="1">IF(entities[[#This Row],[Custom Attributes]]&lt;4,"",
IF(entities[[#This Row],[3]]=5-1,5,
MATCH(FALSE, ISBLANK(OFFSET(entities[[#This Row],[hidden]],0,entities[[#This Row],[3]],1,5-entities[[#This Row],[3]])), 0)+entities[[#This Row],[3]]))</f>
        <v/>
      </c>
      <c r="P13" s="14" t="str">
        <f ca="1">IF(entities[[#This Row],[1]]="","",
VLOOKUP(entities[[#This Row],[1]],Lookup!$B$5:$D$9,3,FALSE)  &amp;  INDEX(entities[[#This Row],[hidden]:[icon]],entities[[#This Row],[1]])
)</f>
        <v/>
      </c>
      <c r="Q13" s="6" t="str">
        <f ca="1">IF(entities[[#This Row],[2]]="","",
VLOOKUP(entities[[#This Row],[2]],Lookup!$B$5:$D$9,3,FALSE)  &amp;  INDEX(entities[[#This Row],[hidden]:[icon]],entities[[#This Row],[2]])
)</f>
        <v/>
      </c>
      <c r="R13" s="6" t="str">
        <f ca="1">IF(entities[[#This Row],[3]]="","",
VLOOKUP(entities[[#This Row],[3]],Lookup!$B$5:$D$9,3,FALSE)  &amp;  INDEX(entities[[#This Row],[hidden]:[icon]],entities[[#This Row],[3]])
)</f>
        <v/>
      </c>
      <c r="S13" s="6" t="str">
        <f ca="1">IF(entities[[#This Row],[4]]="","",
VLOOKUP(entities[[#This Row],[4]],Lookup!$B$5:$D$9,3,FALSE)  &amp;  INDEX(entities[[#This Row],[hidden]:[icon]],entities[[#This Row],[4]])
)</f>
        <v/>
      </c>
      <c r="T13" t="str">
        <f t="array" ref="T13">IFERROR(INDEX(cards[object_id],SMALL(IF(cards[[1]:[25]]=entities[[#This Row],[entity_id]],ROW(cards[])-7,99^99),1)),"")</f>
        <v>automation_not</v>
      </c>
      <c r="U13" t="str">
        <f>IF(entities[[#This Row],[In HA?]]&lt;&gt;"ok",  "Not in Home Assistant",
IF(entities[[#This Row],[hidden]]="true",  "Hidden",
IF(entities[[#This Row],[Card]]&lt;&gt;"",
INDEX(cards[name],MATCH(entities[[#This Row],[Card]],cards[object_id],0)),  "Badge / automatic card")))</f>
        <v>Automation || Notifications</v>
      </c>
      <c r="V13" t="str">
        <f>IF(entities[[#This Row],[Card]]&lt;&gt;"","group."&amp;entities[[#This Row],[Card]],"")</f>
        <v>group.automation_not</v>
      </c>
      <c r="W13" t="str">
        <f t="array" ref="W13">IFERROR(IF(entities[[#This Row],[Assigned Card]]="","",INDEX(views[object_id],SMALL(IF(views[[1]:[25]]=entities[[#This Row],[Assigned Card]],ROW(views[])-7,99^99),1))),"")</f>
        <v/>
      </c>
      <c r="X13" t="str">
        <f t="array" ref="X13">IFERROR(INDEX(views[object_id],SMALL(IF(views[[1]:[25]]=entities[[#This Row],[entity_id]],ROW(views[])-7,99^99),1)),"")</f>
        <v/>
      </c>
      <c r="Y13" t="str">
        <f>IF(entities[[#This Row],[View from card]]&lt;&gt;"",entities[[#This Row],[View from card]],entities[[#This Row],[View from entitiy]])</f>
        <v/>
      </c>
      <c r="Z13" t="str">
        <f>IF(entities[[#This Row],[In HA?]]&lt;&gt;"ok",  "Not in Home Assistant",
IF(entities[[#This Row],[hidden]]="true",  "Hidden",
IF(entities[[#This Row],[View]]&lt;&gt;"",
INDEX(views[name],MATCH(entities[[#This Row],[View]],views[object_id],0)),  "Default view")))</f>
        <v>Default view</v>
      </c>
      <c r="AA13" t="str">
        <f>IF(entities[[#This Row],[View]]&lt;&gt;"","group."&amp;entities[[#This Row],[View]],"")</f>
        <v/>
      </c>
      <c r="AB13" s="6" t="str">
        <f>IF(COUNTIF(Table4[Entity],entities[[#This Row],[entity_id]]),"ok","Missing from States tab")</f>
        <v>ok</v>
      </c>
      <c r="AF13"/>
    </row>
    <row r="14" spans="1:32" x14ac:dyDescent="0.45">
      <c r="B14" t="s">
        <v>52</v>
      </c>
      <c r="C14" t="s">
        <v>877</v>
      </c>
      <c r="I14" s="6" t="str">
        <f>entities[[#This Row],[domain]]&amp;"."&amp;entities[[#This Row],[object_id]]</f>
        <v>automation.not_speed_test_record</v>
      </c>
      <c r="J14" s="6">
        <f>5-COUNTBLANK(entities[[#This Row],[hidden]:[icon]])</f>
        <v>0</v>
      </c>
      <c r="K14" s="6" t="str">
        <f>IF(entities[[#This Row],[Custom Attributes]]=0,"",
COUNTIFS(entities[Custom Attributes],"&gt;0",entities[entity_id],"&lt;="&amp;entities[[#This Row],[entity_id]]))</f>
        <v/>
      </c>
      <c r="L14" s="6" t="str">
        <f t="array" aca="1" ref="L14" ca="1">IF(entities[[#This Row],[Custom Attributes]]&lt;1,"",
MATCH(FALSE, ISBLANK(OFFSET(entities[[#This Row],[hidden]],0,0,1,5)), 0))</f>
        <v/>
      </c>
      <c r="M14" s="6" t="str">
        <f t="array" aca="1" ref="M14" ca="1">IF(entities[[#This Row],[Custom Attributes]]&lt;2,"",
IF(entities[[#This Row],[1]]=5-1,5,
MATCH(FALSE, ISBLANK(OFFSET(entities[[#This Row],[hidden]],0,entities[[#This Row],[1]],1,5-entities[[#This Row],[1]])), 0)+entities[[#This Row],[1]]))</f>
        <v/>
      </c>
      <c r="N14" s="6" t="str">
        <f t="array" aca="1" ref="N14" ca="1">IF(entities[[#This Row],[Custom Attributes]]&lt;3,"",
IF(entities[[#This Row],[2]]=5-1,5,
MATCH(FALSE, ISBLANK(OFFSET(entities[[#This Row],[hidden]],0,entities[[#This Row],[2]],1,5-entities[[#This Row],[2]])), 0)+entities[[#This Row],[2]]))</f>
        <v/>
      </c>
      <c r="O14" s="6" t="str">
        <f t="array" aca="1" ref="O14" ca="1">IF(entities[[#This Row],[Custom Attributes]]&lt;4,"",
IF(entities[[#This Row],[3]]=5-1,5,
MATCH(FALSE, ISBLANK(OFFSET(entities[[#This Row],[hidden]],0,entities[[#This Row],[3]],1,5-entities[[#This Row],[3]])), 0)+entities[[#This Row],[3]]))</f>
        <v/>
      </c>
      <c r="P14" s="14" t="str">
        <f ca="1">IF(entities[[#This Row],[1]]="","",
VLOOKUP(entities[[#This Row],[1]],Lookup!$B$5:$D$9,3,FALSE)  &amp;  INDEX(entities[[#This Row],[hidden]:[icon]],entities[[#This Row],[1]])
)</f>
        <v/>
      </c>
      <c r="Q14" s="6" t="str">
        <f ca="1">IF(entities[[#This Row],[2]]="","",
VLOOKUP(entities[[#This Row],[2]],Lookup!$B$5:$D$9,3,FALSE)  &amp;  INDEX(entities[[#This Row],[hidden]:[icon]],entities[[#This Row],[2]])
)</f>
        <v/>
      </c>
      <c r="R14" s="6" t="str">
        <f ca="1">IF(entities[[#This Row],[3]]="","",
VLOOKUP(entities[[#This Row],[3]],Lookup!$B$5:$D$9,3,FALSE)  &amp;  INDEX(entities[[#This Row],[hidden]:[icon]],entities[[#This Row],[3]])
)</f>
        <v/>
      </c>
      <c r="S14" s="6" t="str">
        <f ca="1">IF(entities[[#This Row],[4]]="","",
VLOOKUP(entities[[#This Row],[4]],Lookup!$B$5:$D$9,3,FALSE)  &amp;  INDEX(entities[[#This Row],[hidden]:[icon]],entities[[#This Row],[4]])
)</f>
        <v/>
      </c>
      <c r="T14" s="6" t="str">
        <f t="array" ref="T14">IFERROR(INDEX(cards[object_id],SMALL(IF(cards[[1]:[25]]=entities[[#This Row],[entity_id]],ROW(cards[])-7,99^99),1)),"")</f>
        <v>automation_not</v>
      </c>
      <c r="U14" s="6" t="str">
        <f>IF(entities[[#This Row],[In HA?]]&lt;&gt;"ok",  "Not in Home Assistant",
IF(entities[[#This Row],[hidden]]="true",  "Hidden",
IF(entities[[#This Row],[Card]]&lt;&gt;"",
INDEX(cards[name],MATCH(entities[[#This Row],[Card]],cards[object_id],0)),  "Badge / automatic card")))</f>
        <v>Automation || Notifications</v>
      </c>
      <c r="V14" s="6" t="str">
        <f>IF(entities[[#This Row],[Card]]&lt;&gt;"","group."&amp;entities[[#This Row],[Card]],"")</f>
        <v>group.automation_not</v>
      </c>
      <c r="W14" s="6" t="str">
        <f t="array" ref="W14">IFERROR(IF(entities[[#This Row],[Assigned Card]]="","",INDEX(views[object_id],SMALL(IF(views[[1]:[25]]=entities[[#This Row],[Assigned Card]],ROW(views[])-7,99^99),1))),"")</f>
        <v/>
      </c>
      <c r="X14" s="6" t="str">
        <f t="array" ref="X14">IFERROR(INDEX(views[object_id],SMALL(IF(views[[1]:[25]]=entities[[#This Row],[entity_id]],ROW(views[])-7,99^99),1)),"")</f>
        <v/>
      </c>
      <c r="Y14" s="6" t="str">
        <f>IF(entities[[#This Row],[View from card]]&lt;&gt;"",entities[[#This Row],[View from card]],entities[[#This Row],[View from entitiy]])</f>
        <v/>
      </c>
      <c r="Z14" s="6" t="str">
        <f>IF(entities[[#This Row],[In HA?]]&lt;&gt;"ok",  "Not in Home Assistant",
IF(entities[[#This Row],[hidden]]="true",  "Hidden",
IF(entities[[#This Row],[View]]&lt;&gt;"",
INDEX(views[name],MATCH(entities[[#This Row],[View]],views[object_id],0)),  "Default view")))</f>
        <v>Default view</v>
      </c>
      <c r="AA14" s="6" t="str">
        <f>IF(entities[[#This Row],[View]]&lt;&gt;"","group."&amp;entities[[#This Row],[View]],"")</f>
        <v/>
      </c>
      <c r="AB14" s="6" t="str">
        <f>IF(COUNTIF(Table4[Entity],entities[[#This Row],[entity_id]]),"ok","Missing from States tab")</f>
        <v>ok</v>
      </c>
      <c r="AF14"/>
    </row>
    <row r="15" spans="1:32" x14ac:dyDescent="0.45">
      <c r="B15" t="s">
        <v>52</v>
      </c>
      <c r="C15" t="s">
        <v>388</v>
      </c>
      <c r="D15" s="4" t="s">
        <v>294</v>
      </c>
      <c r="I15" s="6" t="str">
        <f>entities[[#This Row],[domain]]&amp;"."&amp;entities[[#This Row],[object_id]]</f>
        <v>automation.rmbd_fan_off_at_12_pm</v>
      </c>
      <c r="J15" s="6">
        <f>5-COUNTBLANK(entities[[#This Row],[hidden]:[icon]])</f>
        <v>1</v>
      </c>
      <c r="K15" s="6">
        <f>IF(entities[[#This Row],[Custom Attributes]]=0,"",
COUNTIFS(entities[Custom Attributes],"&gt;0",entities[entity_id],"&lt;="&amp;entities[[#This Row],[entity_id]]))</f>
        <v>5</v>
      </c>
      <c r="L15" s="6">
        <f t="array" aca="1" ref="L15" ca="1">IF(entities[[#This Row],[Custom Attributes]]&lt;1,"",
MATCH(FALSE, ISBLANK(OFFSET(entities[[#This Row],[hidden]],0,0,1,5)), 0))</f>
        <v>1</v>
      </c>
      <c r="M15" s="6" t="str">
        <f t="array" aca="1" ref="M15" ca="1">IF(entities[[#This Row],[Custom Attributes]]&lt;2,"",
IF(entities[[#This Row],[1]]=5-1,5,
MATCH(FALSE, ISBLANK(OFFSET(entities[[#This Row],[hidden]],0,entities[[#This Row],[1]],1,5-entities[[#This Row],[1]])), 0)+entities[[#This Row],[1]]))</f>
        <v/>
      </c>
      <c r="N15" s="6" t="str">
        <f t="array" aca="1" ref="N15" ca="1">IF(entities[[#This Row],[Custom Attributes]]&lt;3,"",
IF(entities[[#This Row],[2]]=5-1,5,
MATCH(FALSE, ISBLANK(OFFSET(entities[[#This Row],[hidden]],0,entities[[#This Row],[2]],1,5-entities[[#This Row],[2]])), 0)+entities[[#This Row],[2]]))</f>
        <v/>
      </c>
      <c r="O15" s="6" t="str">
        <f t="array" aca="1" ref="O15" ca="1">IF(entities[[#This Row],[Custom Attributes]]&lt;4,"",
IF(entities[[#This Row],[3]]=5-1,5,
MATCH(FALSE, ISBLANK(OFFSET(entities[[#This Row],[hidden]],0,entities[[#This Row],[3]],1,5-entities[[#This Row],[3]])), 0)+entities[[#This Row],[3]]))</f>
        <v/>
      </c>
      <c r="P15" s="14" t="str">
        <f ca="1">IF(entities[[#This Row],[1]]="","",
VLOOKUP(entities[[#This Row],[1]],Lookup!$B$5:$D$9,3,FALSE)  &amp;  INDEX(entities[[#This Row],[hidden]:[icon]],entities[[#This Row],[1]])
)</f>
        <v xml:space="preserve">  hidden: true</v>
      </c>
      <c r="Q15" s="6" t="str">
        <f ca="1">IF(entities[[#This Row],[2]]="","",
VLOOKUP(entities[[#This Row],[2]],Lookup!$B$5:$D$9,3,FALSE)  &amp;  INDEX(entities[[#This Row],[hidden]:[icon]],entities[[#This Row],[2]])
)</f>
        <v/>
      </c>
      <c r="R15" s="6" t="str">
        <f ca="1">IF(entities[[#This Row],[3]]="","",
VLOOKUP(entities[[#This Row],[3]],Lookup!$B$5:$D$9,3,FALSE)  &amp;  INDEX(entities[[#This Row],[hidden]:[icon]],entities[[#This Row],[3]])
)</f>
        <v/>
      </c>
      <c r="S15" s="6" t="str">
        <f ca="1">IF(entities[[#This Row],[4]]="","",
VLOOKUP(entities[[#This Row],[4]],Lookup!$B$5:$D$9,3,FALSE)  &amp;  INDEX(entities[[#This Row],[hidden]:[icon]],entities[[#This Row],[4]])
)</f>
        <v/>
      </c>
      <c r="T15" t="str">
        <f t="array" ref="T15">IFERROR(INDEX(cards[object_id],SMALL(IF(cards[[1]:[25]]=entities[[#This Row],[entity_id]],ROW(cards[])-7,99^99),1)),"")</f>
        <v>automation_rmbd</v>
      </c>
      <c r="U15" t="str">
        <f>IF(entities[[#This Row],[In HA?]]&lt;&gt;"ok",  "Not in Home Assistant",
IF(entities[[#This Row],[hidden]]="true",  "Hidden",
IF(entities[[#This Row],[Card]]&lt;&gt;"",
INDEX(cards[name],MATCH(entities[[#This Row],[Card]],cards[object_id],0)),  "Badge / automatic card")))</f>
        <v>Hidden</v>
      </c>
      <c r="V15" t="str">
        <f>IF(entities[[#This Row],[Card]]&lt;&gt;"","group."&amp;entities[[#This Row],[Card]],"")</f>
        <v>group.automation_rmbd</v>
      </c>
      <c r="W15" t="str">
        <f t="array" ref="W15">IFERROR(IF(entities[[#This Row],[Assigned Card]]="","",INDEX(views[object_id],SMALL(IF(views[[1]:[25]]=entities[[#This Row],[Assigned Card]],ROW(views[])-7,99^99),1))),"")</f>
        <v/>
      </c>
      <c r="X15" t="str">
        <f t="array" ref="X15">IFERROR(INDEX(views[object_id],SMALL(IF(views[[1]:[25]]=entities[[#This Row],[entity_id]],ROW(views[])-7,99^99),1)),"")</f>
        <v/>
      </c>
      <c r="Y15" t="str">
        <f>IF(entities[[#This Row],[View from card]]&lt;&gt;"",entities[[#This Row],[View from card]],entities[[#This Row],[View from entitiy]])</f>
        <v/>
      </c>
      <c r="Z15" t="str">
        <f>IF(entities[[#This Row],[In HA?]]&lt;&gt;"ok",  "Not in Home Assistant",
IF(entities[[#This Row],[hidden]]="true",  "Hidden",
IF(entities[[#This Row],[View]]&lt;&gt;"",
INDEX(views[name],MATCH(entities[[#This Row],[View]],views[object_id],0)),  "Default view")))</f>
        <v>Hidden</v>
      </c>
      <c r="AA15" t="str">
        <f>IF(entities[[#This Row],[View]]&lt;&gt;"","group."&amp;entities[[#This Row],[View]],"")</f>
        <v/>
      </c>
      <c r="AB15" s="6" t="str">
        <f>IF(COUNTIF(Table4[Entity],entities[[#This Row],[entity_id]]),"ok","Missing from States tab")</f>
        <v>ok</v>
      </c>
      <c r="AF15"/>
    </row>
    <row r="16" spans="1:32" x14ac:dyDescent="0.45">
      <c r="B16" t="s">
        <v>52</v>
      </c>
      <c r="C16" t="s">
        <v>389</v>
      </c>
      <c r="D16" s="4" t="s">
        <v>294</v>
      </c>
      <c r="I16" s="6" t="str">
        <f>entities[[#This Row],[domain]]&amp;"."&amp;entities[[#This Row],[object_id]]</f>
        <v>automation.rmbd_one_bulb_off_at_sunset</v>
      </c>
      <c r="J16" s="6">
        <f>5-COUNTBLANK(entities[[#This Row],[hidden]:[icon]])</f>
        <v>1</v>
      </c>
      <c r="K16" s="6">
        <f>IF(entities[[#This Row],[Custom Attributes]]=0,"",
COUNTIFS(entities[Custom Attributes],"&gt;0",entities[entity_id],"&lt;="&amp;entities[[#This Row],[entity_id]]))</f>
        <v>6</v>
      </c>
      <c r="L16" s="6">
        <f t="array" aca="1" ref="L16" ca="1">IF(entities[[#This Row],[Custom Attributes]]&lt;1,"",
MATCH(FALSE, ISBLANK(OFFSET(entities[[#This Row],[hidden]],0,0,1,5)), 0))</f>
        <v>1</v>
      </c>
      <c r="M16" s="6" t="str">
        <f t="array" aca="1" ref="M16" ca="1">IF(entities[[#This Row],[Custom Attributes]]&lt;2,"",
IF(entities[[#This Row],[1]]=5-1,5,
MATCH(FALSE, ISBLANK(OFFSET(entities[[#This Row],[hidden]],0,entities[[#This Row],[1]],1,5-entities[[#This Row],[1]])), 0)+entities[[#This Row],[1]]))</f>
        <v/>
      </c>
      <c r="N16" s="6" t="str">
        <f t="array" aca="1" ref="N16" ca="1">IF(entities[[#This Row],[Custom Attributes]]&lt;3,"",
IF(entities[[#This Row],[2]]=5-1,5,
MATCH(FALSE, ISBLANK(OFFSET(entities[[#This Row],[hidden]],0,entities[[#This Row],[2]],1,5-entities[[#This Row],[2]])), 0)+entities[[#This Row],[2]]))</f>
        <v/>
      </c>
      <c r="O16" s="6" t="str">
        <f t="array" aca="1" ref="O16" ca="1">IF(entities[[#This Row],[Custom Attributes]]&lt;4,"",
IF(entities[[#This Row],[3]]=5-1,5,
MATCH(FALSE, ISBLANK(OFFSET(entities[[#This Row],[hidden]],0,entities[[#This Row],[3]],1,5-entities[[#This Row],[3]])), 0)+entities[[#This Row],[3]]))</f>
        <v/>
      </c>
      <c r="P16" s="14" t="str">
        <f ca="1">IF(entities[[#This Row],[1]]="","",
VLOOKUP(entities[[#This Row],[1]],Lookup!$B$5:$D$9,3,FALSE)  &amp;  INDEX(entities[[#This Row],[hidden]:[icon]],entities[[#This Row],[1]])
)</f>
        <v xml:space="preserve">  hidden: true</v>
      </c>
      <c r="Q16" s="6" t="str">
        <f ca="1">IF(entities[[#This Row],[2]]="","",
VLOOKUP(entities[[#This Row],[2]],Lookup!$B$5:$D$9,3,FALSE)  &amp;  INDEX(entities[[#This Row],[hidden]:[icon]],entities[[#This Row],[2]])
)</f>
        <v/>
      </c>
      <c r="R16" s="6" t="str">
        <f ca="1">IF(entities[[#This Row],[3]]="","",
VLOOKUP(entities[[#This Row],[3]],Lookup!$B$5:$D$9,3,FALSE)  &amp;  INDEX(entities[[#This Row],[hidden]:[icon]],entities[[#This Row],[3]])
)</f>
        <v/>
      </c>
      <c r="S16" s="6" t="str">
        <f ca="1">IF(entities[[#This Row],[4]]="","",
VLOOKUP(entities[[#This Row],[4]],Lookup!$B$5:$D$9,3,FALSE)  &amp;  INDEX(entities[[#This Row],[hidden]:[icon]],entities[[#This Row],[4]])
)</f>
        <v/>
      </c>
      <c r="T16" t="str">
        <f t="array" ref="T16">IFERROR(INDEX(cards[object_id],SMALL(IF(cards[[1]:[25]]=entities[[#This Row],[entity_id]],ROW(cards[])-7,99^99),1)),"")</f>
        <v>automation_rmbd</v>
      </c>
      <c r="U16" t="str">
        <f>IF(entities[[#This Row],[In HA?]]&lt;&gt;"ok",  "Not in Home Assistant",
IF(entities[[#This Row],[hidden]]="true",  "Hidden",
IF(entities[[#This Row],[Card]]&lt;&gt;"",
INDEX(cards[name],MATCH(entities[[#This Row],[Card]],cards[object_id],0)),  "Badge / automatic card")))</f>
        <v>Hidden</v>
      </c>
      <c r="V16" t="str">
        <f>IF(entities[[#This Row],[Card]]&lt;&gt;"","group."&amp;entities[[#This Row],[Card]],"")</f>
        <v>group.automation_rmbd</v>
      </c>
      <c r="W16" t="str">
        <f t="array" ref="W16">IFERROR(IF(entities[[#This Row],[Assigned Card]]="","",INDEX(views[object_id],SMALL(IF(views[[1]:[25]]=entities[[#This Row],[Assigned Card]],ROW(views[])-7,99^99),1))),"")</f>
        <v/>
      </c>
      <c r="X16" t="str">
        <f t="array" ref="X16">IFERROR(INDEX(views[object_id],SMALL(IF(views[[1]:[25]]=entities[[#This Row],[entity_id]],ROW(views[])-7,99^99),1)),"")</f>
        <v/>
      </c>
      <c r="Y16" t="str">
        <f>IF(entities[[#This Row],[View from card]]&lt;&gt;"",entities[[#This Row],[View from card]],entities[[#This Row],[View from entitiy]])</f>
        <v/>
      </c>
      <c r="Z16" t="str">
        <f>IF(entities[[#This Row],[In HA?]]&lt;&gt;"ok",  "Not in Home Assistant",
IF(entities[[#This Row],[hidden]]="true",  "Hidden",
IF(entities[[#This Row],[View]]&lt;&gt;"",
INDEX(views[name],MATCH(entities[[#This Row],[View]],views[object_id],0)),  "Default view")))</f>
        <v>Hidden</v>
      </c>
      <c r="AA16" t="str">
        <f>IF(entities[[#This Row],[View]]&lt;&gt;"","group."&amp;entities[[#This Row],[View]],"")</f>
        <v/>
      </c>
      <c r="AB16" s="6" t="str">
        <f>IF(COUNTIF(Table4[Entity],entities[[#This Row],[entity_id]]),"ok","Missing from States tab")</f>
        <v>ok</v>
      </c>
      <c r="AF16"/>
    </row>
    <row r="17" spans="2:32" x14ac:dyDescent="0.45">
      <c r="B17" t="s">
        <v>52</v>
      </c>
      <c r="C17" t="s">
        <v>390</v>
      </c>
      <c r="D17" s="4" t="s">
        <v>294</v>
      </c>
      <c r="I17" s="6" t="str">
        <f>entities[[#This Row],[domain]]&amp;"."&amp;entities[[#This Row],[object_id]]</f>
        <v>automation.rmbd_one_bulb_on_with_switch_at_night</v>
      </c>
      <c r="J17" s="6">
        <f>5-COUNTBLANK(entities[[#This Row],[hidden]:[icon]])</f>
        <v>1</v>
      </c>
      <c r="K17" s="6">
        <f>IF(entities[[#This Row],[Custom Attributes]]=0,"",
COUNTIFS(entities[Custom Attributes],"&gt;0",entities[entity_id],"&lt;="&amp;entities[[#This Row],[entity_id]]))</f>
        <v>7</v>
      </c>
      <c r="L17" s="6">
        <f t="array" aca="1" ref="L17" ca="1">IF(entities[[#This Row],[Custom Attributes]]&lt;1,"",
MATCH(FALSE, ISBLANK(OFFSET(entities[[#This Row],[hidden]],0,0,1,5)), 0))</f>
        <v>1</v>
      </c>
      <c r="M17" s="6" t="str">
        <f t="array" aca="1" ref="M17" ca="1">IF(entities[[#This Row],[Custom Attributes]]&lt;2,"",
IF(entities[[#This Row],[1]]=5-1,5,
MATCH(FALSE, ISBLANK(OFFSET(entities[[#This Row],[hidden]],0,entities[[#This Row],[1]],1,5-entities[[#This Row],[1]])), 0)+entities[[#This Row],[1]]))</f>
        <v/>
      </c>
      <c r="N17" s="6" t="str">
        <f t="array" aca="1" ref="N17" ca="1">IF(entities[[#This Row],[Custom Attributes]]&lt;3,"",
IF(entities[[#This Row],[2]]=5-1,5,
MATCH(FALSE, ISBLANK(OFFSET(entities[[#This Row],[hidden]],0,entities[[#This Row],[2]],1,5-entities[[#This Row],[2]])), 0)+entities[[#This Row],[2]]))</f>
        <v/>
      </c>
      <c r="O17" s="6" t="str">
        <f t="array" aca="1" ref="O17" ca="1">IF(entities[[#This Row],[Custom Attributes]]&lt;4,"",
IF(entities[[#This Row],[3]]=5-1,5,
MATCH(FALSE, ISBLANK(OFFSET(entities[[#This Row],[hidden]],0,entities[[#This Row],[3]],1,5-entities[[#This Row],[3]])), 0)+entities[[#This Row],[3]]))</f>
        <v/>
      </c>
      <c r="P17" s="14" t="str">
        <f ca="1">IF(entities[[#This Row],[1]]="","",
VLOOKUP(entities[[#This Row],[1]],Lookup!$B$5:$D$9,3,FALSE)  &amp;  INDEX(entities[[#This Row],[hidden]:[icon]],entities[[#This Row],[1]])
)</f>
        <v xml:space="preserve">  hidden: true</v>
      </c>
      <c r="Q17" s="6" t="str">
        <f ca="1">IF(entities[[#This Row],[2]]="","",
VLOOKUP(entities[[#This Row],[2]],Lookup!$B$5:$D$9,3,FALSE)  &amp;  INDEX(entities[[#This Row],[hidden]:[icon]],entities[[#This Row],[2]])
)</f>
        <v/>
      </c>
      <c r="R17" s="6" t="str">
        <f ca="1">IF(entities[[#This Row],[3]]="","",
VLOOKUP(entities[[#This Row],[3]],Lookup!$B$5:$D$9,3,FALSE)  &amp;  INDEX(entities[[#This Row],[hidden]:[icon]],entities[[#This Row],[3]])
)</f>
        <v/>
      </c>
      <c r="S17" s="6" t="str">
        <f ca="1">IF(entities[[#This Row],[4]]="","",
VLOOKUP(entities[[#This Row],[4]],Lookup!$B$5:$D$9,3,FALSE)  &amp;  INDEX(entities[[#This Row],[hidden]:[icon]],entities[[#This Row],[4]])
)</f>
        <v/>
      </c>
      <c r="T17" t="str">
        <f t="array" ref="T17">IFERROR(INDEX(cards[object_id],SMALL(IF(cards[[1]:[25]]=entities[[#This Row],[entity_id]],ROW(cards[])-7,99^99),1)),"")</f>
        <v>automation_rmbd</v>
      </c>
      <c r="U17" t="str">
        <f>IF(entities[[#This Row],[In HA?]]&lt;&gt;"ok",  "Not in Home Assistant",
IF(entities[[#This Row],[hidden]]="true",  "Hidden",
IF(entities[[#This Row],[Card]]&lt;&gt;"",
INDEX(cards[name],MATCH(entities[[#This Row],[Card]],cards[object_id],0)),  "Badge / automatic card")))</f>
        <v>Hidden</v>
      </c>
      <c r="V17" t="str">
        <f>IF(entities[[#This Row],[Card]]&lt;&gt;"","group."&amp;entities[[#This Row],[Card]],"")</f>
        <v>group.automation_rmbd</v>
      </c>
      <c r="W17" t="str">
        <f t="array" ref="W17">IFERROR(IF(entities[[#This Row],[Assigned Card]]="","",INDEX(views[object_id],SMALL(IF(views[[1]:[25]]=entities[[#This Row],[Assigned Card]],ROW(views[])-7,99^99),1))),"")</f>
        <v/>
      </c>
      <c r="X17" t="str">
        <f t="array" ref="X17">IFERROR(INDEX(views[object_id],SMALL(IF(views[[1]:[25]]=entities[[#This Row],[entity_id]],ROW(views[])-7,99^99),1)),"")</f>
        <v/>
      </c>
      <c r="Y17" t="str">
        <f>IF(entities[[#This Row],[View from card]]&lt;&gt;"",entities[[#This Row],[View from card]],entities[[#This Row],[View from entitiy]])</f>
        <v/>
      </c>
      <c r="Z17" t="str">
        <f>IF(entities[[#This Row],[In HA?]]&lt;&gt;"ok",  "Not in Home Assistant",
IF(entities[[#This Row],[hidden]]="true",  "Hidden",
IF(entities[[#This Row],[View]]&lt;&gt;"",
INDEX(views[name],MATCH(entities[[#This Row],[View]],views[object_id],0)),  "Default view")))</f>
        <v>Hidden</v>
      </c>
      <c r="AA17" t="str">
        <f>IF(entities[[#This Row],[View]]&lt;&gt;"","group."&amp;entities[[#This Row],[View]],"")</f>
        <v/>
      </c>
      <c r="AB17" s="6" t="str">
        <f>IF(COUNTIF(Table4[Entity],entities[[#This Row],[entity_id]]),"ok","Missing from States tab")</f>
        <v>ok</v>
      </c>
      <c r="AF17"/>
    </row>
    <row r="18" spans="2:32" x14ac:dyDescent="0.45">
      <c r="B18" t="s">
        <v>52</v>
      </c>
      <c r="C18" t="s">
        <v>391</v>
      </c>
      <c r="D18" s="4" t="s">
        <v>294</v>
      </c>
      <c r="I18" s="6" t="str">
        <f>entities[[#This Row],[domain]]&amp;"."&amp;entities[[#This Row],[object_id]]</f>
        <v>automation.rmlv_amp_off_at_3_am</v>
      </c>
      <c r="J18" s="6">
        <f>5-COUNTBLANK(entities[[#This Row],[hidden]:[icon]])</f>
        <v>1</v>
      </c>
      <c r="K18" s="6">
        <f>IF(entities[[#This Row],[Custom Attributes]]=0,"",
COUNTIFS(entities[Custom Attributes],"&gt;0",entities[entity_id],"&lt;="&amp;entities[[#This Row],[entity_id]]))</f>
        <v>8</v>
      </c>
      <c r="L18" s="6">
        <f t="array" aca="1" ref="L18" ca="1">IF(entities[[#This Row],[Custom Attributes]]&lt;1,"",
MATCH(FALSE, ISBLANK(OFFSET(entities[[#This Row],[hidden]],0,0,1,5)), 0))</f>
        <v>1</v>
      </c>
      <c r="M18" s="6" t="str">
        <f t="array" aca="1" ref="M18" ca="1">IF(entities[[#This Row],[Custom Attributes]]&lt;2,"",
IF(entities[[#This Row],[1]]=5-1,5,
MATCH(FALSE, ISBLANK(OFFSET(entities[[#This Row],[hidden]],0,entities[[#This Row],[1]],1,5-entities[[#This Row],[1]])), 0)+entities[[#This Row],[1]]))</f>
        <v/>
      </c>
      <c r="N18" s="6" t="str">
        <f t="array" aca="1" ref="N18" ca="1">IF(entities[[#This Row],[Custom Attributes]]&lt;3,"",
IF(entities[[#This Row],[2]]=5-1,5,
MATCH(FALSE, ISBLANK(OFFSET(entities[[#This Row],[hidden]],0,entities[[#This Row],[2]],1,5-entities[[#This Row],[2]])), 0)+entities[[#This Row],[2]]))</f>
        <v/>
      </c>
      <c r="O18" s="6" t="str">
        <f t="array" aca="1" ref="O18" ca="1">IF(entities[[#This Row],[Custom Attributes]]&lt;4,"",
IF(entities[[#This Row],[3]]=5-1,5,
MATCH(FALSE, ISBLANK(OFFSET(entities[[#This Row],[hidden]],0,entities[[#This Row],[3]],1,5-entities[[#This Row],[3]])), 0)+entities[[#This Row],[3]]))</f>
        <v/>
      </c>
      <c r="P18" s="14" t="str">
        <f ca="1">IF(entities[[#This Row],[1]]="","",
VLOOKUP(entities[[#This Row],[1]],Lookup!$B$5:$D$9,3,FALSE)  &amp;  INDEX(entities[[#This Row],[hidden]:[icon]],entities[[#This Row],[1]])
)</f>
        <v xml:space="preserve">  hidden: true</v>
      </c>
      <c r="Q18" s="6" t="str">
        <f ca="1">IF(entities[[#This Row],[2]]="","",
VLOOKUP(entities[[#This Row],[2]],Lookup!$B$5:$D$9,3,FALSE)  &amp;  INDEX(entities[[#This Row],[hidden]:[icon]],entities[[#This Row],[2]])
)</f>
        <v/>
      </c>
      <c r="R18" s="6" t="str">
        <f ca="1">IF(entities[[#This Row],[3]]="","",
VLOOKUP(entities[[#This Row],[3]],Lookup!$B$5:$D$9,3,FALSE)  &amp;  INDEX(entities[[#This Row],[hidden]:[icon]],entities[[#This Row],[3]])
)</f>
        <v/>
      </c>
      <c r="S18" s="6" t="str">
        <f ca="1">IF(entities[[#This Row],[4]]="","",
VLOOKUP(entities[[#This Row],[4]],Lookup!$B$5:$D$9,3,FALSE)  &amp;  INDEX(entities[[#This Row],[hidden]:[icon]],entities[[#This Row],[4]])
)</f>
        <v/>
      </c>
      <c r="T18" t="str">
        <f t="array" ref="T18">IFERROR(INDEX(cards[object_id],SMALL(IF(cards[[1]:[25]]=entities[[#This Row],[entity_id]],ROW(cards[])-7,99^99),1)),"")</f>
        <v>automation_rmlv</v>
      </c>
      <c r="U18" t="str">
        <f>IF(entities[[#This Row],[In HA?]]&lt;&gt;"ok",  "Not in Home Assistant",
IF(entities[[#This Row],[hidden]]="true",  "Hidden",
IF(entities[[#This Row],[Card]]&lt;&gt;"",
INDEX(cards[name],MATCH(entities[[#This Row],[Card]],cards[object_id],0)),  "Badge / automatic card")))</f>
        <v>Hidden</v>
      </c>
      <c r="V18" t="str">
        <f>IF(entities[[#This Row],[Card]]&lt;&gt;"","group."&amp;entities[[#This Row],[Card]],"")</f>
        <v>group.automation_rmlv</v>
      </c>
      <c r="W18" t="str">
        <f t="array" ref="W18">IFERROR(IF(entities[[#This Row],[Assigned Card]]="","",INDEX(views[object_id],SMALL(IF(views[[1]:[25]]=entities[[#This Row],[Assigned Card]],ROW(views[])-7,99^99),1))),"")</f>
        <v/>
      </c>
      <c r="X18" t="str">
        <f t="array" ref="X18">IFERROR(INDEX(views[object_id],SMALL(IF(views[[1]:[25]]=entities[[#This Row],[entity_id]],ROW(views[])-7,99^99),1)),"")</f>
        <v/>
      </c>
      <c r="Y18" t="str">
        <f>IF(entities[[#This Row],[View from card]]&lt;&gt;"",entities[[#This Row],[View from card]],entities[[#This Row],[View from entitiy]])</f>
        <v/>
      </c>
      <c r="Z18" t="str">
        <f>IF(entities[[#This Row],[In HA?]]&lt;&gt;"ok",  "Not in Home Assistant",
IF(entities[[#This Row],[hidden]]="true",  "Hidden",
IF(entities[[#This Row],[View]]&lt;&gt;"",
INDEX(views[name],MATCH(entities[[#This Row],[View]],views[object_id],0)),  "Default view")))</f>
        <v>Hidden</v>
      </c>
      <c r="AA18" t="str">
        <f>IF(entities[[#This Row],[View]]&lt;&gt;"","group."&amp;entities[[#This Row],[View]],"")</f>
        <v/>
      </c>
      <c r="AB18" s="6" t="str">
        <f>IF(COUNTIF(Table4[Entity],entities[[#This Row],[entity_id]]),"ok","Missing from States tab")</f>
        <v>ok</v>
      </c>
      <c r="AF18"/>
    </row>
    <row r="19" spans="2:32" x14ac:dyDescent="0.45">
      <c r="B19" t="s">
        <v>52</v>
      </c>
      <c r="C19" t="s">
        <v>392</v>
      </c>
      <c r="D19" s="4" t="s">
        <v>294</v>
      </c>
      <c r="I19" s="6" t="str">
        <f>entities[[#This Row],[domain]]&amp;"."&amp;entities[[#This Row],[object_id]]</f>
        <v>automation.rmlv_amp_off_with_humvee</v>
      </c>
      <c r="J19" s="6">
        <f>5-COUNTBLANK(entities[[#This Row],[hidden]:[icon]])</f>
        <v>1</v>
      </c>
      <c r="K19" s="6">
        <f>IF(entities[[#This Row],[Custom Attributes]]=0,"",
COUNTIFS(entities[Custom Attributes],"&gt;0",entities[entity_id],"&lt;="&amp;entities[[#This Row],[entity_id]]))</f>
        <v>9</v>
      </c>
      <c r="L19" s="6">
        <f t="array" aca="1" ref="L19" ca="1">IF(entities[[#This Row],[Custom Attributes]]&lt;1,"",
MATCH(FALSE, ISBLANK(OFFSET(entities[[#This Row],[hidden]],0,0,1,5)), 0))</f>
        <v>1</v>
      </c>
      <c r="M19" s="6" t="str">
        <f t="array" aca="1" ref="M19" ca="1">IF(entities[[#This Row],[Custom Attributes]]&lt;2,"",
IF(entities[[#This Row],[1]]=5-1,5,
MATCH(FALSE, ISBLANK(OFFSET(entities[[#This Row],[hidden]],0,entities[[#This Row],[1]],1,5-entities[[#This Row],[1]])), 0)+entities[[#This Row],[1]]))</f>
        <v/>
      </c>
      <c r="N19" s="6" t="str">
        <f t="array" aca="1" ref="N19" ca="1">IF(entities[[#This Row],[Custom Attributes]]&lt;3,"",
IF(entities[[#This Row],[2]]=5-1,5,
MATCH(FALSE, ISBLANK(OFFSET(entities[[#This Row],[hidden]],0,entities[[#This Row],[2]],1,5-entities[[#This Row],[2]])), 0)+entities[[#This Row],[2]]))</f>
        <v/>
      </c>
      <c r="O19" s="6" t="str">
        <f t="array" aca="1" ref="O19" ca="1">IF(entities[[#This Row],[Custom Attributes]]&lt;4,"",
IF(entities[[#This Row],[3]]=5-1,5,
MATCH(FALSE, ISBLANK(OFFSET(entities[[#This Row],[hidden]],0,entities[[#This Row],[3]],1,5-entities[[#This Row],[3]])), 0)+entities[[#This Row],[3]]))</f>
        <v/>
      </c>
      <c r="P19" s="14" t="str">
        <f ca="1">IF(entities[[#This Row],[1]]="","",
VLOOKUP(entities[[#This Row],[1]],Lookup!$B$5:$D$9,3,FALSE)  &amp;  INDEX(entities[[#This Row],[hidden]:[icon]],entities[[#This Row],[1]])
)</f>
        <v xml:space="preserve">  hidden: true</v>
      </c>
      <c r="Q19" s="6" t="str">
        <f ca="1">IF(entities[[#This Row],[2]]="","",
VLOOKUP(entities[[#This Row],[2]],Lookup!$B$5:$D$9,3,FALSE)  &amp;  INDEX(entities[[#This Row],[hidden]:[icon]],entities[[#This Row],[2]])
)</f>
        <v/>
      </c>
      <c r="R19" s="6" t="str">
        <f ca="1">IF(entities[[#This Row],[3]]="","",
VLOOKUP(entities[[#This Row],[3]],Lookup!$B$5:$D$9,3,FALSE)  &amp;  INDEX(entities[[#This Row],[hidden]:[icon]],entities[[#This Row],[3]])
)</f>
        <v/>
      </c>
      <c r="S19" s="6" t="str">
        <f ca="1">IF(entities[[#This Row],[4]]="","",
VLOOKUP(entities[[#This Row],[4]],Lookup!$B$5:$D$9,3,FALSE)  &amp;  INDEX(entities[[#This Row],[hidden]:[icon]],entities[[#This Row],[4]])
)</f>
        <v/>
      </c>
      <c r="T19" t="str">
        <f t="array" ref="T19">IFERROR(INDEX(cards[object_id],SMALL(IF(cards[[1]:[25]]=entities[[#This Row],[entity_id]],ROW(cards[])-7,99^99),1)),"")</f>
        <v>automation_rmlv</v>
      </c>
      <c r="U19" t="str">
        <f>IF(entities[[#This Row],[In HA?]]&lt;&gt;"ok",  "Not in Home Assistant",
IF(entities[[#This Row],[hidden]]="true",  "Hidden",
IF(entities[[#This Row],[Card]]&lt;&gt;"",
INDEX(cards[name],MATCH(entities[[#This Row],[Card]],cards[object_id],0)),  "Badge / automatic card")))</f>
        <v>Hidden</v>
      </c>
      <c r="V19" t="str">
        <f>IF(entities[[#This Row],[Card]]&lt;&gt;"","group."&amp;entities[[#This Row],[Card]],"")</f>
        <v>group.automation_rmlv</v>
      </c>
      <c r="W19" t="str">
        <f t="array" ref="W19">IFERROR(IF(entities[[#This Row],[Assigned Card]]="","",INDEX(views[object_id],SMALL(IF(views[[1]:[25]]=entities[[#This Row],[Assigned Card]],ROW(views[])-7,99^99),1))),"")</f>
        <v/>
      </c>
      <c r="X19" t="str">
        <f t="array" ref="X19">IFERROR(INDEX(views[object_id],SMALL(IF(views[[1]:[25]]=entities[[#This Row],[entity_id]],ROW(views[])-7,99^99),1)),"")</f>
        <v/>
      </c>
      <c r="Y19" t="str">
        <f>IF(entities[[#This Row],[View from card]]&lt;&gt;"",entities[[#This Row],[View from card]],entities[[#This Row],[View from entitiy]])</f>
        <v/>
      </c>
      <c r="Z19" t="str">
        <f>IF(entities[[#This Row],[In HA?]]&lt;&gt;"ok",  "Not in Home Assistant",
IF(entities[[#This Row],[hidden]]="true",  "Hidden",
IF(entities[[#This Row],[View]]&lt;&gt;"",
INDEX(views[name],MATCH(entities[[#This Row],[View]],views[object_id],0)),  "Default view")))</f>
        <v>Hidden</v>
      </c>
      <c r="AA19" t="str">
        <f>IF(entities[[#This Row],[View]]&lt;&gt;"","group."&amp;entities[[#This Row],[View]],"")</f>
        <v/>
      </c>
      <c r="AB19" s="6" t="str">
        <f>IF(COUNTIF(Table4[Entity],entities[[#This Row],[entity_id]]),"ok","Missing from States tab")</f>
        <v>ok</v>
      </c>
      <c r="AF19"/>
    </row>
    <row r="20" spans="2:32" x14ac:dyDescent="0.45">
      <c r="B20" t="s">
        <v>52</v>
      </c>
      <c r="C20" t="s">
        <v>393</v>
      </c>
      <c r="D20" s="4" t="s">
        <v>294</v>
      </c>
      <c r="I20" s="6" t="str">
        <f>entities[[#This Row],[domain]]&amp;"."&amp;entities[[#This Row],[object_id]]</f>
        <v>automation.rmlvtv_chromecast_volume_to_4_on_start</v>
      </c>
      <c r="J20" s="6">
        <f>5-COUNTBLANK(entities[[#This Row],[hidden]:[icon]])</f>
        <v>1</v>
      </c>
      <c r="K20" s="6">
        <f>IF(entities[[#This Row],[Custom Attributes]]=0,"",
COUNTIFS(entities[Custom Attributes],"&gt;0",entities[entity_id],"&lt;="&amp;entities[[#This Row],[entity_id]]))</f>
        <v>10</v>
      </c>
      <c r="L20" s="6">
        <f t="array" aca="1" ref="L20" ca="1">IF(entities[[#This Row],[Custom Attributes]]&lt;1,"",
MATCH(FALSE, ISBLANK(OFFSET(entities[[#This Row],[hidden]],0,0,1,5)), 0))</f>
        <v>1</v>
      </c>
      <c r="M20" s="6" t="str">
        <f t="array" aca="1" ref="M20" ca="1">IF(entities[[#This Row],[Custom Attributes]]&lt;2,"",
IF(entities[[#This Row],[1]]=5-1,5,
MATCH(FALSE, ISBLANK(OFFSET(entities[[#This Row],[hidden]],0,entities[[#This Row],[1]],1,5-entities[[#This Row],[1]])), 0)+entities[[#This Row],[1]]))</f>
        <v/>
      </c>
      <c r="N20" s="6" t="str">
        <f t="array" aca="1" ref="N20" ca="1">IF(entities[[#This Row],[Custom Attributes]]&lt;3,"",
IF(entities[[#This Row],[2]]=5-1,5,
MATCH(FALSE, ISBLANK(OFFSET(entities[[#This Row],[hidden]],0,entities[[#This Row],[2]],1,5-entities[[#This Row],[2]])), 0)+entities[[#This Row],[2]]))</f>
        <v/>
      </c>
      <c r="O20" s="6" t="str">
        <f t="array" aca="1" ref="O20" ca="1">IF(entities[[#This Row],[Custom Attributes]]&lt;4,"",
IF(entities[[#This Row],[3]]=5-1,5,
MATCH(FALSE, ISBLANK(OFFSET(entities[[#This Row],[hidden]],0,entities[[#This Row],[3]],1,5-entities[[#This Row],[3]])), 0)+entities[[#This Row],[3]]))</f>
        <v/>
      </c>
      <c r="P20" s="14" t="str">
        <f ca="1">IF(entities[[#This Row],[1]]="","",
VLOOKUP(entities[[#This Row],[1]],Lookup!$B$5:$D$9,3,FALSE)  &amp;  INDEX(entities[[#This Row],[hidden]:[icon]],entities[[#This Row],[1]])
)</f>
        <v xml:space="preserve">  hidden: true</v>
      </c>
      <c r="Q20" s="6" t="str">
        <f ca="1">IF(entities[[#This Row],[2]]="","",
VLOOKUP(entities[[#This Row],[2]],Lookup!$B$5:$D$9,3,FALSE)  &amp;  INDEX(entities[[#This Row],[hidden]:[icon]],entities[[#This Row],[2]])
)</f>
        <v/>
      </c>
      <c r="R20" s="6" t="str">
        <f ca="1">IF(entities[[#This Row],[3]]="","",
VLOOKUP(entities[[#This Row],[3]],Lookup!$B$5:$D$9,3,FALSE)  &amp;  INDEX(entities[[#This Row],[hidden]:[icon]],entities[[#This Row],[3]])
)</f>
        <v/>
      </c>
      <c r="S20" s="6" t="str">
        <f ca="1">IF(entities[[#This Row],[4]]="","",
VLOOKUP(entities[[#This Row],[4]],Lookup!$B$5:$D$9,3,FALSE)  &amp;  INDEX(entities[[#This Row],[hidden]:[icon]],entities[[#This Row],[4]])
)</f>
        <v/>
      </c>
      <c r="T20" t="str">
        <f t="array" ref="T20">IFERROR(INDEX(cards[object_id],SMALL(IF(cards[[1]:[25]]=entities[[#This Row],[entity_id]],ROW(cards[])-7,99^99),1)),"")</f>
        <v>automation_rmlvtv</v>
      </c>
      <c r="U20" t="str">
        <f>IF(entities[[#This Row],[In HA?]]&lt;&gt;"ok",  "Not in Home Assistant",
IF(entities[[#This Row],[hidden]]="true",  "Hidden",
IF(entities[[#This Row],[Card]]&lt;&gt;"",
INDEX(cards[name],MATCH(entities[[#This Row],[Card]],cards[object_id],0)),  "Badge / automatic card")))</f>
        <v>Hidden</v>
      </c>
      <c r="V20" t="str">
        <f>IF(entities[[#This Row],[Card]]&lt;&gt;"","group."&amp;entities[[#This Row],[Card]],"")</f>
        <v>group.automation_rmlvtv</v>
      </c>
      <c r="W20" t="str">
        <f t="array" ref="W20">IFERROR(IF(entities[[#This Row],[Assigned Card]]="","",INDEX(views[object_id],SMALL(IF(views[[1]:[25]]=entities[[#This Row],[Assigned Card]],ROW(views[])-7,99^99),1))),"")</f>
        <v/>
      </c>
      <c r="X20" t="str">
        <f t="array" ref="X20">IFERROR(INDEX(views[object_id],SMALL(IF(views[[1]:[25]]=entities[[#This Row],[entity_id]],ROW(views[])-7,99^99),1)),"")</f>
        <v/>
      </c>
      <c r="Y20" t="str">
        <f>IF(entities[[#This Row],[View from card]]&lt;&gt;"",entities[[#This Row],[View from card]],entities[[#This Row],[View from entitiy]])</f>
        <v/>
      </c>
      <c r="Z20" t="str">
        <f>IF(entities[[#This Row],[In HA?]]&lt;&gt;"ok",  "Not in Home Assistant",
IF(entities[[#This Row],[hidden]]="true",  "Hidden",
IF(entities[[#This Row],[View]]&lt;&gt;"",
INDEX(views[name],MATCH(entities[[#This Row],[View]],views[object_id],0)),  "Default view")))</f>
        <v>Hidden</v>
      </c>
      <c r="AA20" t="str">
        <f>IF(entities[[#This Row],[View]]&lt;&gt;"","group."&amp;entities[[#This Row],[View]],"")</f>
        <v/>
      </c>
      <c r="AB20" s="6" t="str">
        <f>IF(COUNTIF(Table4[Entity],entities[[#This Row],[entity_id]]),"ok","Missing from States tab")</f>
        <v>ok</v>
      </c>
      <c r="AF20"/>
    </row>
    <row r="21" spans="2:32" x14ac:dyDescent="0.45">
      <c r="B21" t="s">
        <v>52</v>
      </c>
      <c r="C21" t="s">
        <v>878</v>
      </c>
      <c r="I21" s="6" t="str">
        <f>entities[[#This Row],[domain]]&amp;"."&amp;entities[[#This Row],[object_id]]</f>
        <v>automation.rmlvtv_turn_off_tv_if_chromecast_off</v>
      </c>
      <c r="J21" s="6">
        <f>5-COUNTBLANK(entities[[#This Row],[hidden]:[icon]])</f>
        <v>0</v>
      </c>
      <c r="K21" s="6" t="str">
        <f>IF(entities[[#This Row],[Custom Attributes]]=0,"",
COUNTIFS(entities[Custom Attributes],"&gt;0",entities[entity_id],"&lt;="&amp;entities[[#This Row],[entity_id]]))</f>
        <v/>
      </c>
      <c r="L21" s="6" t="str">
        <f t="array" aca="1" ref="L21" ca="1">IF(entities[[#This Row],[Custom Attributes]]&lt;1,"",
MATCH(FALSE, ISBLANK(OFFSET(entities[[#This Row],[hidden]],0,0,1,5)), 0))</f>
        <v/>
      </c>
      <c r="M21" s="6" t="str">
        <f t="array" aca="1" ref="M21" ca="1">IF(entities[[#This Row],[Custom Attributes]]&lt;2,"",
IF(entities[[#This Row],[1]]=5-1,5,
MATCH(FALSE, ISBLANK(OFFSET(entities[[#This Row],[hidden]],0,entities[[#This Row],[1]],1,5-entities[[#This Row],[1]])), 0)+entities[[#This Row],[1]]))</f>
        <v/>
      </c>
      <c r="N21" s="6" t="str">
        <f t="array" aca="1" ref="N21" ca="1">IF(entities[[#This Row],[Custom Attributes]]&lt;3,"",
IF(entities[[#This Row],[2]]=5-1,5,
MATCH(FALSE, ISBLANK(OFFSET(entities[[#This Row],[hidden]],0,entities[[#This Row],[2]],1,5-entities[[#This Row],[2]])), 0)+entities[[#This Row],[2]]))</f>
        <v/>
      </c>
      <c r="O21" s="6" t="str">
        <f t="array" aca="1" ref="O21" ca="1">IF(entities[[#This Row],[Custom Attributes]]&lt;4,"",
IF(entities[[#This Row],[3]]=5-1,5,
MATCH(FALSE, ISBLANK(OFFSET(entities[[#This Row],[hidden]],0,entities[[#This Row],[3]],1,5-entities[[#This Row],[3]])), 0)+entities[[#This Row],[3]]))</f>
        <v/>
      </c>
      <c r="P21" s="14" t="str">
        <f ca="1">IF(entities[[#This Row],[1]]="","",
VLOOKUP(entities[[#This Row],[1]],Lookup!$B$5:$D$9,3,FALSE)  &amp;  INDEX(entities[[#This Row],[hidden]:[icon]],entities[[#This Row],[1]])
)</f>
        <v/>
      </c>
      <c r="Q21" s="6" t="str">
        <f ca="1">IF(entities[[#This Row],[2]]="","",
VLOOKUP(entities[[#This Row],[2]],Lookup!$B$5:$D$9,3,FALSE)  &amp;  INDEX(entities[[#This Row],[hidden]:[icon]],entities[[#This Row],[2]])
)</f>
        <v/>
      </c>
      <c r="R21" s="6" t="str">
        <f ca="1">IF(entities[[#This Row],[3]]="","",
VLOOKUP(entities[[#This Row],[3]],Lookup!$B$5:$D$9,3,FALSE)  &amp;  INDEX(entities[[#This Row],[hidden]:[icon]],entities[[#This Row],[3]])
)</f>
        <v/>
      </c>
      <c r="S21" s="6" t="str">
        <f ca="1">IF(entities[[#This Row],[4]]="","",
VLOOKUP(entities[[#This Row],[4]],Lookup!$B$5:$D$9,3,FALSE)  &amp;  INDEX(entities[[#This Row],[hidden]:[icon]],entities[[#This Row],[4]])
)</f>
        <v/>
      </c>
      <c r="T21" s="6" t="str">
        <f t="array" ref="T21">IFERROR(INDEX(cards[object_id],SMALL(IF(cards[[1]:[25]]=entities[[#This Row],[entity_id]],ROW(cards[])-7,99^99),1)),"")</f>
        <v>automation_rmlvtv</v>
      </c>
      <c r="U21" s="6" t="str">
        <f>IF(entities[[#This Row],[In HA?]]&lt;&gt;"ok",  "Not in Home Assistant",
IF(entities[[#This Row],[hidden]]="true",  "Hidden",
IF(entities[[#This Row],[Card]]&lt;&gt;"",
INDEX(cards[name],MATCH(entities[[#This Row],[Card]],cards[object_id],0)),  "Badge / automatic card")))</f>
        <v>Automation || Living Room TV</v>
      </c>
      <c r="V21" s="6" t="str">
        <f>IF(entities[[#This Row],[Card]]&lt;&gt;"","group."&amp;entities[[#This Row],[Card]],"")</f>
        <v>group.automation_rmlvtv</v>
      </c>
      <c r="W21" s="6" t="str">
        <f t="array" ref="W21">IFERROR(IF(entities[[#This Row],[Assigned Card]]="","",INDEX(views[object_id],SMALL(IF(views[[1]:[25]]=entities[[#This Row],[Assigned Card]],ROW(views[])-7,99^99),1))),"")</f>
        <v/>
      </c>
      <c r="X21" s="6" t="str">
        <f t="array" ref="X21">IFERROR(INDEX(views[object_id],SMALL(IF(views[[1]:[25]]=entities[[#This Row],[entity_id]],ROW(views[])-7,99^99),1)),"")</f>
        <v/>
      </c>
      <c r="Y21" s="6" t="str">
        <f>IF(entities[[#This Row],[View from card]]&lt;&gt;"",entities[[#This Row],[View from card]],entities[[#This Row],[View from entitiy]])</f>
        <v/>
      </c>
      <c r="Z21" s="6" t="str">
        <f>IF(entities[[#This Row],[In HA?]]&lt;&gt;"ok",  "Not in Home Assistant",
IF(entities[[#This Row],[hidden]]="true",  "Hidden",
IF(entities[[#This Row],[View]]&lt;&gt;"",
INDEX(views[name],MATCH(entities[[#This Row],[View]],views[object_id],0)),  "Default view")))</f>
        <v>Default view</v>
      </c>
      <c r="AA21" s="6" t="str">
        <f>IF(entities[[#This Row],[View]]&lt;&gt;"","group."&amp;entities[[#This Row],[View]],"")</f>
        <v/>
      </c>
      <c r="AB21" s="6" t="str">
        <f>IF(COUNTIF(Table4[Entity],entities[[#This Row],[entity_id]]),"ok","Missing from States tab")</f>
        <v>ok</v>
      </c>
      <c r="AF21"/>
    </row>
    <row r="22" spans="2:32" x14ac:dyDescent="0.45">
      <c r="B22" t="s">
        <v>52</v>
      </c>
      <c r="C22" t="s">
        <v>796</v>
      </c>
      <c r="D22" s="4" t="s">
        <v>294</v>
      </c>
      <c r="I22" s="6" t="str">
        <f>entities[[#This Row],[domain]]&amp;"."&amp;entities[[#This Row],[object_id]]</f>
        <v>automation.rmlvtv_tv_off_with_chromecast_from_idle</v>
      </c>
      <c r="J22" s="6">
        <f>5-COUNTBLANK(entities[[#This Row],[hidden]:[icon]])</f>
        <v>1</v>
      </c>
      <c r="K22" s="6">
        <f>IF(entities[[#This Row],[Custom Attributes]]=0,"",
COUNTIFS(entities[Custom Attributes],"&gt;0",entities[entity_id],"&lt;="&amp;entities[[#This Row],[entity_id]]))</f>
        <v>11</v>
      </c>
      <c r="L22" s="6">
        <f t="array" aca="1" ref="L22" ca="1">IF(entities[[#This Row],[Custom Attributes]]&lt;1,"",
MATCH(FALSE, ISBLANK(OFFSET(entities[[#This Row],[hidden]],0,0,1,5)), 0))</f>
        <v>1</v>
      </c>
      <c r="M22" s="6" t="str">
        <f t="array" aca="1" ref="M22" ca="1">IF(entities[[#This Row],[Custom Attributes]]&lt;2,"",
IF(entities[[#This Row],[1]]=5-1,5,
MATCH(FALSE, ISBLANK(OFFSET(entities[[#This Row],[hidden]],0,entities[[#This Row],[1]],1,5-entities[[#This Row],[1]])), 0)+entities[[#This Row],[1]]))</f>
        <v/>
      </c>
      <c r="N22" s="6" t="str">
        <f t="array" aca="1" ref="N22" ca="1">IF(entities[[#This Row],[Custom Attributes]]&lt;3,"",
IF(entities[[#This Row],[2]]=5-1,5,
MATCH(FALSE, ISBLANK(OFFSET(entities[[#This Row],[hidden]],0,entities[[#This Row],[2]],1,5-entities[[#This Row],[2]])), 0)+entities[[#This Row],[2]]))</f>
        <v/>
      </c>
      <c r="O22" s="6" t="str">
        <f t="array" aca="1" ref="O22" ca="1">IF(entities[[#This Row],[Custom Attributes]]&lt;4,"",
IF(entities[[#This Row],[3]]=5-1,5,
MATCH(FALSE, ISBLANK(OFFSET(entities[[#This Row],[hidden]],0,entities[[#This Row],[3]],1,5-entities[[#This Row],[3]])), 0)+entities[[#This Row],[3]]))</f>
        <v/>
      </c>
      <c r="P22" s="14" t="str">
        <f ca="1">IF(entities[[#This Row],[1]]="","",
VLOOKUP(entities[[#This Row],[1]],Lookup!$B$5:$D$9,3,FALSE)  &amp;  INDEX(entities[[#This Row],[hidden]:[icon]],entities[[#This Row],[1]])
)</f>
        <v xml:space="preserve">  hidden: true</v>
      </c>
      <c r="Q22" s="6" t="str">
        <f ca="1">IF(entities[[#This Row],[2]]="","",
VLOOKUP(entities[[#This Row],[2]],Lookup!$B$5:$D$9,3,FALSE)  &amp;  INDEX(entities[[#This Row],[hidden]:[icon]],entities[[#This Row],[2]])
)</f>
        <v/>
      </c>
      <c r="R22" s="6" t="str">
        <f ca="1">IF(entities[[#This Row],[3]]="","",
VLOOKUP(entities[[#This Row],[3]],Lookup!$B$5:$D$9,3,FALSE)  &amp;  INDEX(entities[[#This Row],[hidden]:[icon]],entities[[#This Row],[3]])
)</f>
        <v/>
      </c>
      <c r="S22" s="6" t="str">
        <f ca="1">IF(entities[[#This Row],[4]]="","",
VLOOKUP(entities[[#This Row],[4]],Lookup!$B$5:$D$9,3,FALSE)  &amp;  INDEX(entities[[#This Row],[hidden]:[icon]],entities[[#This Row],[4]])
)</f>
        <v/>
      </c>
      <c r="T22" t="str">
        <f t="array" ref="T22">IFERROR(INDEX(cards[object_id],SMALL(IF(cards[[1]:[25]]=entities[[#This Row],[entity_id]],ROW(cards[])-7,99^99),1)),"")</f>
        <v>automation_rmlvtv</v>
      </c>
      <c r="U22" t="str">
        <f>IF(entities[[#This Row],[In HA?]]&lt;&gt;"ok",  "Not in Home Assistant",
IF(entities[[#This Row],[hidden]]="true",  "Hidden",
IF(entities[[#This Row],[Card]]&lt;&gt;"",
INDEX(cards[name],MATCH(entities[[#This Row],[Card]],cards[object_id],0)),  "Badge / automatic card")))</f>
        <v>Hidden</v>
      </c>
      <c r="V22" t="str">
        <f>IF(entities[[#This Row],[Card]]&lt;&gt;"","group."&amp;entities[[#This Row],[Card]],"")</f>
        <v>group.automation_rmlvtv</v>
      </c>
      <c r="W22" t="str">
        <f t="array" ref="W22">IFERROR(IF(entities[[#This Row],[Assigned Card]]="","",INDEX(views[object_id],SMALL(IF(views[[1]:[25]]=entities[[#This Row],[Assigned Card]],ROW(views[])-7,99^99),1))),"")</f>
        <v/>
      </c>
      <c r="X22" t="str">
        <f t="array" ref="X22">IFERROR(INDEX(views[object_id],SMALL(IF(views[[1]:[25]]=entities[[#This Row],[entity_id]],ROW(views[])-7,99^99),1)),"")</f>
        <v/>
      </c>
      <c r="Y22" t="str">
        <f>IF(entities[[#This Row],[View from card]]&lt;&gt;"",entities[[#This Row],[View from card]],entities[[#This Row],[View from entitiy]])</f>
        <v/>
      </c>
      <c r="Z22" t="str">
        <f>IF(entities[[#This Row],[In HA?]]&lt;&gt;"ok",  "Not in Home Assistant",
IF(entities[[#This Row],[hidden]]="true",  "Hidden",
IF(entities[[#This Row],[View]]&lt;&gt;"",
INDEX(views[name],MATCH(entities[[#This Row],[View]],views[object_id],0)),  "Default view")))</f>
        <v>Hidden</v>
      </c>
      <c r="AA22" t="str">
        <f>IF(entities[[#This Row],[View]]&lt;&gt;"","group."&amp;entities[[#This Row],[View]],"")</f>
        <v/>
      </c>
      <c r="AB22" s="6" t="str">
        <f>IF(COUNTIF(Table4[Entity],entities[[#This Row],[entity_id]]),"ok","Missing from States tab")</f>
        <v>ok</v>
      </c>
      <c r="AF22"/>
    </row>
    <row r="23" spans="2:32" x14ac:dyDescent="0.45">
      <c r="B23" t="s">
        <v>52</v>
      </c>
      <c r="C23" t="s">
        <v>797</v>
      </c>
      <c r="D23" s="4" t="s">
        <v>294</v>
      </c>
      <c r="I23" s="6" t="str">
        <f>entities[[#This Row],[domain]]&amp;"."&amp;entities[[#This Row],[object_id]]</f>
        <v>automation.rmlvtv_tv_off_with_chromecast_from_paused</v>
      </c>
      <c r="J23" s="6">
        <f>5-COUNTBLANK(entities[[#This Row],[hidden]:[icon]])</f>
        <v>1</v>
      </c>
      <c r="K23" s="6">
        <f>IF(entities[[#This Row],[Custom Attributes]]=0,"",
COUNTIFS(entities[Custom Attributes],"&gt;0",entities[entity_id],"&lt;="&amp;entities[[#This Row],[entity_id]]))</f>
        <v>12</v>
      </c>
      <c r="L23" s="6">
        <f t="array" aca="1" ref="L23" ca="1">IF(entities[[#This Row],[Custom Attributes]]&lt;1,"",
MATCH(FALSE, ISBLANK(OFFSET(entities[[#This Row],[hidden]],0,0,1,5)), 0))</f>
        <v>1</v>
      </c>
      <c r="M23" s="6" t="str">
        <f t="array" aca="1" ref="M23" ca="1">IF(entities[[#This Row],[Custom Attributes]]&lt;2,"",
IF(entities[[#This Row],[1]]=5-1,5,
MATCH(FALSE, ISBLANK(OFFSET(entities[[#This Row],[hidden]],0,entities[[#This Row],[1]],1,5-entities[[#This Row],[1]])), 0)+entities[[#This Row],[1]]))</f>
        <v/>
      </c>
      <c r="N23" s="6" t="str">
        <f t="array" aca="1" ref="N23" ca="1">IF(entities[[#This Row],[Custom Attributes]]&lt;3,"",
IF(entities[[#This Row],[2]]=5-1,5,
MATCH(FALSE, ISBLANK(OFFSET(entities[[#This Row],[hidden]],0,entities[[#This Row],[2]],1,5-entities[[#This Row],[2]])), 0)+entities[[#This Row],[2]]))</f>
        <v/>
      </c>
      <c r="O23" s="6" t="str">
        <f t="array" aca="1" ref="O23" ca="1">IF(entities[[#This Row],[Custom Attributes]]&lt;4,"",
IF(entities[[#This Row],[3]]=5-1,5,
MATCH(FALSE, ISBLANK(OFFSET(entities[[#This Row],[hidden]],0,entities[[#This Row],[3]],1,5-entities[[#This Row],[3]])), 0)+entities[[#This Row],[3]]))</f>
        <v/>
      </c>
      <c r="P23" s="14" t="str">
        <f ca="1">IF(entities[[#This Row],[1]]="","",
VLOOKUP(entities[[#This Row],[1]],Lookup!$B$5:$D$9,3,FALSE)  &amp;  INDEX(entities[[#This Row],[hidden]:[icon]],entities[[#This Row],[1]])
)</f>
        <v xml:space="preserve">  hidden: true</v>
      </c>
      <c r="Q23" s="6" t="str">
        <f ca="1">IF(entities[[#This Row],[2]]="","",
VLOOKUP(entities[[#This Row],[2]],Lookup!$B$5:$D$9,3,FALSE)  &amp;  INDEX(entities[[#This Row],[hidden]:[icon]],entities[[#This Row],[2]])
)</f>
        <v/>
      </c>
      <c r="R23" s="6" t="str">
        <f ca="1">IF(entities[[#This Row],[3]]="","",
VLOOKUP(entities[[#This Row],[3]],Lookup!$B$5:$D$9,3,FALSE)  &amp;  INDEX(entities[[#This Row],[hidden]:[icon]],entities[[#This Row],[3]])
)</f>
        <v/>
      </c>
      <c r="S23" s="6" t="str">
        <f ca="1">IF(entities[[#This Row],[4]]="","",
VLOOKUP(entities[[#This Row],[4]],Lookup!$B$5:$D$9,3,FALSE)  &amp;  INDEX(entities[[#This Row],[hidden]:[icon]],entities[[#This Row],[4]])
)</f>
        <v/>
      </c>
      <c r="T23" t="str">
        <f t="array" ref="T23">IFERROR(INDEX(cards[object_id],SMALL(IF(cards[[1]:[25]]=entities[[#This Row],[entity_id]],ROW(cards[])-7,99^99),1)),"")</f>
        <v>automation_rmlvtv</v>
      </c>
      <c r="U23" t="str">
        <f>IF(entities[[#This Row],[In HA?]]&lt;&gt;"ok",  "Not in Home Assistant",
IF(entities[[#This Row],[hidden]]="true",  "Hidden",
IF(entities[[#This Row],[Card]]&lt;&gt;"",
INDEX(cards[name],MATCH(entities[[#This Row],[Card]],cards[object_id],0)),  "Badge / automatic card")))</f>
        <v>Hidden</v>
      </c>
      <c r="V23" t="str">
        <f>IF(entities[[#This Row],[Card]]&lt;&gt;"","group."&amp;entities[[#This Row],[Card]],"")</f>
        <v>group.automation_rmlvtv</v>
      </c>
      <c r="W23" t="str">
        <f t="array" ref="W23">IFERROR(IF(entities[[#This Row],[Assigned Card]]="","",INDEX(views[object_id],SMALL(IF(views[[1]:[25]]=entities[[#This Row],[Assigned Card]],ROW(views[])-7,99^99),1))),"")</f>
        <v/>
      </c>
      <c r="X23" t="str">
        <f t="array" ref="X23">IFERROR(INDEX(views[object_id],SMALL(IF(views[[1]:[25]]=entities[[#This Row],[entity_id]],ROW(views[])-7,99^99),1)),"")</f>
        <v/>
      </c>
      <c r="Y23" t="str">
        <f>IF(entities[[#This Row],[View from card]]&lt;&gt;"",entities[[#This Row],[View from card]],entities[[#This Row],[View from entitiy]])</f>
        <v/>
      </c>
      <c r="Z23" t="str">
        <f>IF(entities[[#This Row],[In HA?]]&lt;&gt;"ok",  "Not in Home Assistant",
IF(entities[[#This Row],[hidden]]="true",  "Hidden",
IF(entities[[#This Row],[View]]&lt;&gt;"",
INDEX(views[name],MATCH(entities[[#This Row],[View]],views[object_id],0)),  "Default view")))</f>
        <v>Hidden</v>
      </c>
      <c r="AA23" t="str">
        <f>IF(entities[[#This Row],[View]]&lt;&gt;"","group."&amp;entities[[#This Row],[View]],"")</f>
        <v/>
      </c>
      <c r="AB23" s="6" t="str">
        <f>IF(COUNTIF(Table4[Entity],entities[[#This Row],[entity_id]]),"ok","Missing from States tab")</f>
        <v>ok</v>
      </c>
      <c r="AF23"/>
    </row>
    <row r="24" spans="2:32" x14ac:dyDescent="0.45">
      <c r="B24" t="s">
        <v>52</v>
      </c>
      <c r="C24" t="s">
        <v>795</v>
      </c>
      <c r="D24" s="4" t="s">
        <v>294</v>
      </c>
      <c r="I24" s="6" t="str">
        <f>entities[[#This Row],[domain]]&amp;"."&amp;entities[[#This Row],[object_id]]</f>
        <v>automation.rmlvtv_tv_off_with_chromecast_from_playing</v>
      </c>
      <c r="J24" s="6">
        <f>5-COUNTBLANK(entities[[#This Row],[hidden]:[icon]])</f>
        <v>1</v>
      </c>
      <c r="K24" s="6">
        <f>IF(entities[[#This Row],[Custom Attributes]]=0,"",
COUNTIFS(entities[Custom Attributes],"&gt;0",entities[entity_id],"&lt;="&amp;entities[[#This Row],[entity_id]]))</f>
        <v>13</v>
      </c>
      <c r="L24" s="6">
        <f t="array" aca="1" ref="L24" ca="1">IF(entities[[#This Row],[Custom Attributes]]&lt;1,"",
MATCH(FALSE, ISBLANK(OFFSET(entities[[#This Row],[hidden]],0,0,1,5)), 0))</f>
        <v>1</v>
      </c>
      <c r="M24" s="6" t="str">
        <f t="array" aca="1" ref="M24" ca="1">IF(entities[[#This Row],[Custom Attributes]]&lt;2,"",
IF(entities[[#This Row],[1]]=5-1,5,
MATCH(FALSE, ISBLANK(OFFSET(entities[[#This Row],[hidden]],0,entities[[#This Row],[1]],1,5-entities[[#This Row],[1]])), 0)+entities[[#This Row],[1]]))</f>
        <v/>
      </c>
      <c r="N24" s="6" t="str">
        <f t="array" aca="1" ref="N24" ca="1">IF(entities[[#This Row],[Custom Attributes]]&lt;3,"",
IF(entities[[#This Row],[2]]=5-1,5,
MATCH(FALSE, ISBLANK(OFFSET(entities[[#This Row],[hidden]],0,entities[[#This Row],[2]],1,5-entities[[#This Row],[2]])), 0)+entities[[#This Row],[2]]))</f>
        <v/>
      </c>
      <c r="O24" s="6" t="str">
        <f t="array" aca="1" ref="O24" ca="1">IF(entities[[#This Row],[Custom Attributes]]&lt;4,"",
IF(entities[[#This Row],[3]]=5-1,5,
MATCH(FALSE, ISBLANK(OFFSET(entities[[#This Row],[hidden]],0,entities[[#This Row],[3]],1,5-entities[[#This Row],[3]])), 0)+entities[[#This Row],[3]]))</f>
        <v/>
      </c>
      <c r="P24" s="14" t="str">
        <f ca="1">IF(entities[[#This Row],[1]]="","",
VLOOKUP(entities[[#This Row],[1]],Lookup!$B$5:$D$9,3,FALSE)  &amp;  INDEX(entities[[#This Row],[hidden]:[icon]],entities[[#This Row],[1]])
)</f>
        <v xml:space="preserve">  hidden: true</v>
      </c>
      <c r="Q24" s="6" t="str">
        <f ca="1">IF(entities[[#This Row],[2]]="","",
VLOOKUP(entities[[#This Row],[2]],Lookup!$B$5:$D$9,3,FALSE)  &amp;  INDEX(entities[[#This Row],[hidden]:[icon]],entities[[#This Row],[2]])
)</f>
        <v/>
      </c>
      <c r="R24" s="6" t="str">
        <f ca="1">IF(entities[[#This Row],[3]]="","",
VLOOKUP(entities[[#This Row],[3]],Lookup!$B$5:$D$9,3,FALSE)  &amp;  INDEX(entities[[#This Row],[hidden]:[icon]],entities[[#This Row],[3]])
)</f>
        <v/>
      </c>
      <c r="S24" s="6" t="str">
        <f ca="1">IF(entities[[#This Row],[4]]="","",
VLOOKUP(entities[[#This Row],[4]],Lookup!$B$5:$D$9,3,FALSE)  &amp;  INDEX(entities[[#This Row],[hidden]:[icon]],entities[[#This Row],[4]])
)</f>
        <v/>
      </c>
      <c r="T24" t="str">
        <f t="array" ref="T24">IFERROR(INDEX(cards[object_id],SMALL(IF(cards[[1]:[25]]=entities[[#This Row],[entity_id]],ROW(cards[])-7,99^99),1)),"")</f>
        <v>automation_rmlvtv</v>
      </c>
      <c r="U24" t="str">
        <f>IF(entities[[#This Row],[In HA?]]&lt;&gt;"ok",  "Not in Home Assistant",
IF(entities[[#This Row],[hidden]]="true",  "Hidden",
IF(entities[[#This Row],[Card]]&lt;&gt;"",
INDEX(cards[name],MATCH(entities[[#This Row],[Card]],cards[object_id],0)),  "Badge / automatic card")))</f>
        <v>Hidden</v>
      </c>
      <c r="V24" t="str">
        <f>IF(entities[[#This Row],[Card]]&lt;&gt;"","group."&amp;entities[[#This Row],[Card]],"")</f>
        <v>group.automation_rmlvtv</v>
      </c>
      <c r="W24" t="str">
        <f t="array" ref="W24">IFERROR(IF(entities[[#This Row],[Assigned Card]]="","",INDEX(views[object_id],SMALL(IF(views[[1]:[25]]=entities[[#This Row],[Assigned Card]],ROW(views[])-7,99^99),1))),"")</f>
        <v/>
      </c>
      <c r="X24" t="str">
        <f t="array" ref="X24">IFERROR(INDEX(views[object_id],SMALL(IF(views[[1]:[25]]=entities[[#This Row],[entity_id]],ROW(views[])-7,99^99),1)),"")</f>
        <v/>
      </c>
      <c r="Y24" t="str">
        <f>IF(entities[[#This Row],[View from card]]&lt;&gt;"",entities[[#This Row],[View from card]],entities[[#This Row],[View from entitiy]])</f>
        <v/>
      </c>
      <c r="Z24" t="str">
        <f>IF(entities[[#This Row],[In HA?]]&lt;&gt;"ok",  "Not in Home Assistant",
IF(entities[[#This Row],[hidden]]="true",  "Hidden",
IF(entities[[#This Row],[View]]&lt;&gt;"",
INDEX(views[name],MATCH(entities[[#This Row],[View]],views[object_id],0)),  "Default view")))</f>
        <v>Hidden</v>
      </c>
      <c r="AA24" t="str">
        <f>IF(entities[[#This Row],[View]]&lt;&gt;"","group."&amp;entities[[#This Row],[View]],"")</f>
        <v/>
      </c>
      <c r="AB24" s="6" t="str">
        <f>IF(COUNTIF(Table4[Entity],entities[[#This Row],[entity_id]]),"ok","Missing from States tab")</f>
        <v>ok</v>
      </c>
      <c r="AF24"/>
    </row>
    <row r="25" spans="2:32" x14ac:dyDescent="0.45">
      <c r="B25" t="s">
        <v>52</v>
      </c>
      <c r="C25" t="s">
        <v>394</v>
      </c>
      <c r="D25" s="4" t="s">
        <v>294</v>
      </c>
      <c r="I25" s="6" t="str">
        <f>entities[[#This Row],[domain]]&amp;"."&amp;entities[[#This Row],[object_id]]</f>
        <v>automation.rmlvtv_tv_on_with_chromecast</v>
      </c>
      <c r="J25" s="6">
        <f>5-COUNTBLANK(entities[[#This Row],[hidden]:[icon]])</f>
        <v>1</v>
      </c>
      <c r="K25" s="6">
        <f>IF(entities[[#This Row],[Custom Attributes]]=0,"",
COUNTIFS(entities[Custom Attributes],"&gt;0",entities[entity_id],"&lt;="&amp;entities[[#This Row],[entity_id]]))</f>
        <v>14</v>
      </c>
      <c r="L25" s="6">
        <f t="array" aca="1" ref="L25" ca="1">IF(entities[[#This Row],[Custom Attributes]]&lt;1,"",
MATCH(FALSE, ISBLANK(OFFSET(entities[[#This Row],[hidden]],0,0,1,5)), 0))</f>
        <v>1</v>
      </c>
      <c r="M25" s="6" t="str">
        <f t="array" aca="1" ref="M25" ca="1">IF(entities[[#This Row],[Custom Attributes]]&lt;2,"",
IF(entities[[#This Row],[1]]=5-1,5,
MATCH(FALSE, ISBLANK(OFFSET(entities[[#This Row],[hidden]],0,entities[[#This Row],[1]],1,5-entities[[#This Row],[1]])), 0)+entities[[#This Row],[1]]))</f>
        <v/>
      </c>
      <c r="N25" s="6" t="str">
        <f t="array" aca="1" ref="N25" ca="1">IF(entities[[#This Row],[Custom Attributes]]&lt;3,"",
IF(entities[[#This Row],[2]]=5-1,5,
MATCH(FALSE, ISBLANK(OFFSET(entities[[#This Row],[hidden]],0,entities[[#This Row],[2]],1,5-entities[[#This Row],[2]])), 0)+entities[[#This Row],[2]]))</f>
        <v/>
      </c>
      <c r="O25" s="6" t="str">
        <f t="array" aca="1" ref="O25" ca="1">IF(entities[[#This Row],[Custom Attributes]]&lt;4,"",
IF(entities[[#This Row],[3]]=5-1,5,
MATCH(FALSE, ISBLANK(OFFSET(entities[[#This Row],[hidden]],0,entities[[#This Row],[3]],1,5-entities[[#This Row],[3]])), 0)+entities[[#This Row],[3]]))</f>
        <v/>
      </c>
      <c r="P25" s="14" t="str">
        <f ca="1">IF(entities[[#This Row],[1]]="","",
VLOOKUP(entities[[#This Row],[1]],Lookup!$B$5:$D$9,3,FALSE)  &amp;  INDEX(entities[[#This Row],[hidden]:[icon]],entities[[#This Row],[1]])
)</f>
        <v xml:space="preserve">  hidden: true</v>
      </c>
      <c r="Q25" s="6" t="str">
        <f ca="1">IF(entities[[#This Row],[2]]="","",
VLOOKUP(entities[[#This Row],[2]],Lookup!$B$5:$D$9,3,FALSE)  &amp;  INDEX(entities[[#This Row],[hidden]:[icon]],entities[[#This Row],[2]])
)</f>
        <v/>
      </c>
      <c r="R25" s="6" t="str">
        <f ca="1">IF(entities[[#This Row],[3]]="","",
VLOOKUP(entities[[#This Row],[3]],Lookup!$B$5:$D$9,3,FALSE)  &amp;  INDEX(entities[[#This Row],[hidden]:[icon]],entities[[#This Row],[3]])
)</f>
        <v/>
      </c>
      <c r="S25" s="6" t="str">
        <f ca="1">IF(entities[[#This Row],[4]]="","",
VLOOKUP(entities[[#This Row],[4]],Lookup!$B$5:$D$9,3,FALSE)  &amp;  INDEX(entities[[#This Row],[hidden]:[icon]],entities[[#This Row],[4]])
)</f>
        <v/>
      </c>
      <c r="T25" t="str">
        <f t="array" ref="T25">IFERROR(INDEX(cards[object_id],SMALL(IF(cards[[1]:[25]]=entities[[#This Row],[entity_id]],ROW(cards[])-7,99^99),1)),"")</f>
        <v>automation_rmlvtv</v>
      </c>
      <c r="U25" t="str">
        <f>IF(entities[[#This Row],[In HA?]]&lt;&gt;"ok",  "Not in Home Assistant",
IF(entities[[#This Row],[hidden]]="true",  "Hidden",
IF(entities[[#This Row],[Card]]&lt;&gt;"",
INDEX(cards[name],MATCH(entities[[#This Row],[Card]],cards[object_id],0)),  "Badge / automatic card")))</f>
        <v>Hidden</v>
      </c>
      <c r="V25" t="str">
        <f>IF(entities[[#This Row],[Card]]&lt;&gt;"","group."&amp;entities[[#This Row],[Card]],"")</f>
        <v>group.automation_rmlvtv</v>
      </c>
      <c r="W25" t="str">
        <f t="array" ref="W25">IFERROR(IF(entities[[#This Row],[Assigned Card]]="","",INDEX(views[object_id],SMALL(IF(views[[1]:[25]]=entities[[#This Row],[Assigned Card]],ROW(views[])-7,99^99),1))),"")</f>
        <v/>
      </c>
      <c r="X25" t="str">
        <f t="array" ref="X25">IFERROR(INDEX(views[object_id],SMALL(IF(views[[1]:[25]]=entities[[#This Row],[entity_id]],ROW(views[])-7,99^99),1)),"")</f>
        <v/>
      </c>
      <c r="Y25" t="str">
        <f>IF(entities[[#This Row],[View from card]]&lt;&gt;"",entities[[#This Row],[View from card]],entities[[#This Row],[View from entitiy]])</f>
        <v/>
      </c>
      <c r="Z25" t="str">
        <f>IF(entities[[#This Row],[In HA?]]&lt;&gt;"ok",  "Not in Home Assistant",
IF(entities[[#This Row],[hidden]]="true",  "Hidden",
IF(entities[[#This Row],[View]]&lt;&gt;"",
INDEX(views[name],MATCH(entities[[#This Row],[View]],views[object_id],0)),  "Default view")))</f>
        <v>Hidden</v>
      </c>
      <c r="AA25" t="str">
        <f>IF(entities[[#This Row],[View]]&lt;&gt;"","group."&amp;entities[[#This Row],[View]],"")</f>
        <v/>
      </c>
      <c r="AB25" s="6" t="str">
        <f>IF(COUNTIF(Table4[Entity],entities[[#This Row],[entity_id]]),"ok","Missing from States tab")</f>
        <v>ok</v>
      </c>
      <c r="AF25"/>
    </row>
    <row r="26" spans="2:32" x14ac:dyDescent="0.45">
      <c r="B26" t="s">
        <v>52</v>
      </c>
      <c r="C26" t="s">
        <v>395</v>
      </c>
      <c r="D26" s="4" t="s">
        <v>294</v>
      </c>
      <c r="I26" s="6" t="str">
        <f>entities[[#This Row],[domain]]&amp;"."&amp;entities[[#This Row],[object_id]]</f>
        <v>automation.statfriend_friend_visiting_off_from_device_tracker</v>
      </c>
      <c r="J26" s="6">
        <f>5-COUNTBLANK(entities[[#This Row],[hidden]:[icon]])</f>
        <v>1</v>
      </c>
      <c r="K26" s="6">
        <f>IF(entities[[#This Row],[Custom Attributes]]=0,"",
COUNTIFS(entities[Custom Attributes],"&gt;0",entities[entity_id],"&lt;="&amp;entities[[#This Row],[entity_id]]))</f>
        <v>15</v>
      </c>
      <c r="L26" s="6">
        <f t="array" aca="1" ref="L26" ca="1">IF(entities[[#This Row],[Custom Attributes]]&lt;1,"",
MATCH(FALSE, ISBLANK(OFFSET(entities[[#This Row],[hidden]],0,0,1,5)), 0))</f>
        <v>1</v>
      </c>
      <c r="M26" s="6" t="str">
        <f t="array" aca="1" ref="M26" ca="1">IF(entities[[#This Row],[Custom Attributes]]&lt;2,"",
IF(entities[[#This Row],[1]]=5-1,5,
MATCH(FALSE, ISBLANK(OFFSET(entities[[#This Row],[hidden]],0,entities[[#This Row],[1]],1,5-entities[[#This Row],[1]])), 0)+entities[[#This Row],[1]]))</f>
        <v/>
      </c>
      <c r="N26" s="6" t="str">
        <f t="array" aca="1" ref="N26" ca="1">IF(entities[[#This Row],[Custom Attributes]]&lt;3,"",
IF(entities[[#This Row],[2]]=5-1,5,
MATCH(FALSE, ISBLANK(OFFSET(entities[[#This Row],[hidden]],0,entities[[#This Row],[2]],1,5-entities[[#This Row],[2]])), 0)+entities[[#This Row],[2]]))</f>
        <v/>
      </c>
      <c r="O26" s="6" t="str">
        <f t="array" aca="1" ref="O26" ca="1">IF(entities[[#This Row],[Custom Attributes]]&lt;4,"",
IF(entities[[#This Row],[3]]=5-1,5,
MATCH(FALSE, ISBLANK(OFFSET(entities[[#This Row],[hidden]],0,entities[[#This Row],[3]],1,5-entities[[#This Row],[3]])), 0)+entities[[#This Row],[3]]))</f>
        <v/>
      </c>
      <c r="P26" s="14" t="str">
        <f ca="1">IF(entities[[#This Row],[1]]="","",
VLOOKUP(entities[[#This Row],[1]],Lookup!$B$5:$D$9,3,FALSE)  &amp;  INDEX(entities[[#This Row],[hidden]:[icon]],entities[[#This Row],[1]])
)</f>
        <v xml:space="preserve">  hidden: true</v>
      </c>
      <c r="Q26" s="6" t="str">
        <f ca="1">IF(entities[[#This Row],[2]]="","",
VLOOKUP(entities[[#This Row],[2]],Lookup!$B$5:$D$9,3,FALSE)  &amp;  INDEX(entities[[#This Row],[hidden]:[icon]],entities[[#This Row],[2]])
)</f>
        <v/>
      </c>
      <c r="R26" s="6" t="str">
        <f ca="1">IF(entities[[#This Row],[3]]="","",
VLOOKUP(entities[[#This Row],[3]],Lookup!$B$5:$D$9,3,FALSE)  &amp;  INDEX(entities[[#This Row],[hidden]:[icon]],entities[[#This Row],[3]])
)</f>
        <v/>
      </c>
      <c r="S26" s="6" t="str">
        <f ca="1">IF(entities[[#This Row],[4]]="","",
VLOOKUP(entities[[#This Row],[4]],Lookup!$B$5:$D$9,3,FALSE)  &amp;  INDEX(entities[[#This Row],[hidden]:[icon]],entities[[#This Row],[4]])
)</f>
        <v/>
      </c>
      <c r="T26" t="str">
        <f t="array" ref="T26">IFERROR(INDEX(cards[object_id],SMALL(IF(cards[[1]:[25]]=entities[[#This Row],[entity_id]],ROW(cards[])-7,99^99),1)),"")</f>
        <v>automation_statfriend</v>
      </c>
      <c r="U26" t="str">
        <f>IF(entities[[#This Row],[In HA?]]&lt;&gt;"ok",  "Not in Home Assistant",
IF(entities[[#This Row],[hidden]]="true",  "Hidden",
IF(entities[[#This Row],[Card]]&lt;&gt;"",
INDEX(cards[name],MATCH(entities[[#This Row],[Card]],cards[object_id],0)),  "Badge / automatic card")))</f>
        <v>Hidden</v>
      </c>
      <c r="V26" t="str">
        <f>IF(entities[[#This Row],[Card]]&lt;&gt;"","group."&amp;entities[[#This Row],[Card]],"")</f>
        <v>group.automation_statfriend</v>
      </c>
      <c r="W26" t="str">
        <f t="array" ref="W26">IFERROR(IF(entities[[#This Row],[Assigned Card]]="","",INDEX(views[object_id],SMALL(IF(views[[1]:[25]]=entities[[#This Row],[Assigned Card]],ROW(views[])-7,99^99),1))),"")</f>
        <v/>
      </c>
      <c r="X26" t="str">
        <f t="array" ref="X26">IFERROR(INDEX(views[object_id],SMALL(IF(views[[1]:[25]]=entities[[#This Row],[entity_id]],ROW(views[])-7,99^99),1)),"")</f>
        <v/>
      </c>
      <c r="Y26" t="str">
        <f>IF(entities[[#This Row],[View from card]]&lt;&gt;"",entities[[#This Row],[View from card]],entities[[#This Row],[View from entitiy]])</f>
        <v/>
      </c>
      <c r="Z26" t="str">
        <f>IF(entities[[#This Row],[In HA?]]&lt;&gt;"ok",  "Not in Home Assistant",
IF(entities[[#This Row],[hidden]]="true",  "Hidden",
IF(entities[[#This Row],[View]]&lt;&gt;"",
INDEX(views[name],MATCH(entities[[#This Row],[View]],views[object_id],0)),  "Default view")))</f>
        <v>Hidden</v>
      </c>
      <c r="AA26" t="str">
        <f>IF(entities[[#This Row],[View]]&lt;&gt;"","group."&amp;entities[[#This Row],[View]],"")</f>
        <v/>
      </c>
      <c r="AB26" s="6" t="str">
        <f>IF(COUNTIF(Table4[Entity],entities[[#This Row],[entity_id]]),"ok","Missing from States tab")</f>
        <v>ok</v>
      </c>
      <c r="AF26"/>
    </row>
    <row r="27" spans="2:32" x14ac:dyDescent="0.45">
      <c r="B27" t="s">
        <v>52</v>
      </c>
      <c r="C27" t="s">
        <v>396</v>
      </c>
      <c r="D27" s="4" t="s">
        <v>294</v>
      </c>
      <c r="I27" s="6" t="str">
        <f>entities[[#This Row],[domain]]&amp;"."&amp;entities[[#This Row],[object_id]]</f>
        <v>automation.statfriend_friend_visiting_on_from_device_tracker</v>
      </c>
      <c r="J27" s="6">
        <f>5-COUNTBLANK(entities[[#This Row],[hidden]:[icon]])</f>
        <v>1</v>
      </c>
      <c r="K27" s="6">
        <f>IF(entities[[#This Row],[Custom Attributes]]=0,"",
COUNTIFS(entities[Custom Attributes],"&gt;0",entities[entity_id],"&lt;="&amp;entities[[#This Row],[entity_id]]))</f>
        <v>16</v>
      </c>
      <c r="L27" s="6">
        <f t="array" aca="1" ref="L27" ca="1">IF(entities[[#This Row],[Custom Attributes]]&lt;1,"",
MATCH(FALSE, ISBLANK(OFFSET(entities[[#This Row],[hidden]],0,0,1,5)), 0))</f>
        <v>1</v>
      </c>
      <c r="M27" s="6" t="str">
        <f t="array" aca="1" ref="M27" ca="1">IF(entities[[#This Row],[Custom Attributes]]&lt;2,"",
IF(entities[[#This Row],[1]]=5-1,5,
MATCH(FALSE, ISBLANK(OFFSET(entities[[#This Row],[hidden]],0,entities[[#This Row],[1]],1,5-entities[[#This Row],[1]])), 0)+entities[[#This Row],[1]]))</f>
        <v/>
      </c>
      <c r="N27" s="6" t="str">
        <f t="array" aca="1" ref="N27" ca="1">IF(entities[[#This Row],[Custom Attributes]]&lt;3,"",
IF(entities[[#This Row],[2]]=5-1,5,
MATCH(FALSE, ISBLANK(OFFSET(entities[[#This Row],[hidden]],0,entities[[#This Row],[2]],1,5-entities[[#This Row],[2]])), 0)+entities[[#This Row],[2]]))</f>
        <v/>
      </c>
      <c r="O27" s="6" t="str">
        <f t="array" aca="1" ref="O27" ca="1">IF(entities[[#This Row],[Custom Attributes]]&lt;4,"",
IF(entities[[#This Row],[3]]=5-1,5,
MATCH(FALSE, ISBLANK(OFFSET(entities[[#This Row],[hidden]],0,entities[[#This Row],[3]],1,5-entities[[#This Row],[3]])), 0)+entities[[#This Row],[3]]))</f>
        <v/>
      </c>
      <c r="P27" s="14" t="str">
        <f ca="1">IF(entities[[#This Row],[1]]="","",
VLOOKUP(entities[[#This Row],[1]],Lookup!$B$5:$D$9,3,FALSE)  &amp;  INDEX(entities[[#This Row],[hidden]:[icon]],entities[[#This Row],[1]])
)</f>
        <v xml:space="preserve">  hidden: true</v>
      </c>
      <c r="Q27" s="6" t="str">
        <f ca="1">IF(entities[[#This Row],[2]]="","",
VLOOKUP(entities[[#This Row],[2]],Lookup!$B$5:$D$9,3,FALSE)  &amp;  INDEX(entities[[#This Row],[hidden]:[icon]],entities[[#This Row],[2]])
)</f>
        <v/>
      </c>
      <c r="R27" s="6" t="str">
        <f ca="1">IF(entities[[#This Row],[3]]="","",
VLOOKUP(entities[[#This Row],[3]],Lookup!$B$5:$D$9,3,FALSE)  &amp;  INDEX(entities[[#This Row],[hidden]:[icon]],entities[[#This Row],[3]])
)</f>
        <v/>
      </c>
      <c r="S27" s="6" t="str">
        <f ca="1">IF(entities[[#This Row],[4]]="","",
VLOOKUP(entities[[#This Row],[4]],Lookup!$B$5:$D$9,3,FALSE)  &amp;  INDEX(entities[[#This Row],[hidden]:[icon]],entities[[#This Row],[4]])
)</f>
        <v/>
      </c>
      <c r="T27" t="str">
        <f t="array" ref="T27">IFERROR(INDEX(cards[object_id],SMALL(IF(cards[[1]:[25]]=entities[[#This Row],[entity_id]],ROW(cards[])-7,99^99),1)),"")</f>
        <v>automation_statfriend</v>
      </c>
      <c r="U27" t="str">
        <f>IF(entities[[#This Row],[In HA?]]&lt;&gt;"ok",  "Not in Home Assistant",
IF(entities[[#This Row],[hidden]]="true",  "Hidden",
IF(entities[[#This Row],[Card]]&lt;&gt;"",
INDEX(cards[name],MATCH(entities[[#This Row],[Card]],cards[object_id],0)),  "Badge / automatic card")))</f>
        <v>Hidden</v>
      </c>
      <c r="V27" t="str">
        <f>IF(entities[[#This Row],[Card]]&lt;&gt;"","group."&amp;entities[[#This Row],[Card]],"")</f>
        <v>group.automation_statfriend</v>
      </c>
      <c r="W27" t="str">
        <f t="array" ref="W27">IFERROR(IF(entities[[#This Row],[Assigned Card]]="","",INDEX(views[object_id],SMALL(IF(views[[1]:[25]]=entities[[#This Row],[Assigned Card]],ROW(views[])-7,99^99),1))),"")</f>
        <v/>
      </c>
      <c r="X27" t="str">
        <f t="array" ref="X27">IFERROR(INDEX(views[object_id],SMALL(IF(views[[1]:[25]]=entities[[#This Row],[entity_id]],ROW(views[])-7,99^99),1)),"")</f>
        <v/>
      </c>
      <c r="Y27" t="str">
        <f>IF(entities[[#This Row],[View from card]]&lt;&gt;"",entities[[#This Row],[View from card]],entities[[#This Row],[View from entitiy]])</f>
        <v/>
      </c>
      <c r="Z27" t="str">
        <f>IF(entities[[#This Row],[In HA?]]&lt;&gt;"ok",  "Not in Home Assistant",
IF(entities[[#This Row],[hidden]]="true",  "Hidden",
IF(entities[[#This Row],[View]]&lt;&gt;"",
INDEX(views[name],MATCH(entities[[#This Row],[View]],views[object_id],0)),  "Default view")))</f>
        <v>Hidden</v>
      </c>
      <c r="AA27" t="str">
        <f>IF(entities[[#This Row],[View]]&lt;&gt;"","group."&amp;entities[[#This Row],[View]],"")</f>
        <v/>
      </c>
      <c r="AB27" s="6" t="str">
        <f>IF(COUNTIF(Table4[Entity],entities[[#This Row],[entity_id]]),"ok","Missing from States tab")</f>
        <v>ok</v>
      </c>
      <c r="AF27"/>
    </row>
    <row r="28" spans="2:32" x14ac:dyDescent="0.45">
      <c r="B28" t="s">
        <v>52</v>
      </c>
      <c r="C28" t="s">
        <v>397</v>
      </c>
      <c r="D28" s="4" t="s">
        <v>294</v>
      </c>
      <c r="I28" s="6" t="str">
        <f>entities[[#This Row],[domain]]&amp;"."&amp;entities[[#This Row],[object_id]]</f>
        <v>automation.statron_away_status_from_device_tracker</v>
      </c>
      <c r="J28" s="6">
        <f>5-COUNTBLANK(entities[[#This Row],[hidden]:[icon]])</f>
        <v>1</v>
      </c>
      <c r="K28" s="6">
        <f>IF(entities[[#This Row],[Custom Attributes]]=0,"",
COUNTIFS(entities[Custom Attributes],"&gt;0",entities[entity_id],"&lt;="&amp;entities[[#This Row],[entity_id]]))</f>
        <v>17</v>
      </c>
      <c r="L28" s="6">
        <f t="array" aca="1" ref="L28" ca="1">IF(entities[[#This Row],[Custom Attributes]]&lt;1,"",
MATCH(FALSE, ISBLANK(OFFSET(entities[[#This Row],[hidden]],0,0,1,5)), 0))</f>
        <v>1</v>
      </c>
      <c r="M28" s="6" t="str">
        <f t="array" aca="1" ref="M28" ca="1">IF(entities[[#This Row],[Custom Attributes]]&lt;2,"",
IF(entities[[#This Row],[1]]=5-1,5,
MATCH(FALSE, ISBLANK(OFFSET(entities[[#This Row],[hidden]],0,entities[[#This Row],[1]],1,5-entities[[#This Row],[1]])), 0)+entities[[#This Row],[1]]))</f>
        <v/>
      </c>
      <c r="N28" s="6" t="str">
        <f t="array" aca="1" ref="N28" ca="1">IF(entities[[#This Row],[Custom Attributes]]&lt;3,"",
IF(entities[[#This Row],[2]]=5-1,5,
MATCH(FALSE, ISBLANK(OFFSET(entities[[#This Row],[hidden]],0,entities[[#This Row],[2]],1,5-entities[[#This Row],[2]])), 0)+entities[[#This Row],[2]]))</f>
        <v/>
      </c>
      <c r="O28" s="6" t="str">
        <f t="array" aca="1" ref="O28" ca="1">IF(entities[[#This Row],[Custom Attributes]]&lt;4,"",
IF(entities[[#This Row],[3]]=5-1,5,
MATCH(FALSE, ISBLANK(OFFSET(entities[[#This Row],[hidden]],0,entities[[#This Row],[3]],1,5-entities[[#This Row],[3]])), 0)+entities[[#This Row],[3]]))</f>
        <v/>
      </c>
      <c r="P28" s="14" t="str">
        <f ca="1">IF(entities[[#This Row],[1]]="","",
VLOOKUP(entities[[#This Row],[1]],Lookup!$B$5:$D$9,3,FALSE)  &amp;  INDEX(entities[[#This Row],[hidden]:[icon]],entities[[#This Row],[1]])
)</f>
        <v xml:space="preserve">  hidden: true</v>
      </c>
      <c r="Q28" s="6" t="str">
        <f ca="1">IF(entities[[#This Row],[2]]="","",
VLOOKUP(entities[[#This Row],[2]],Lookup!$B$5:$D$9,3,FALSE)  &amp;  INDEX(entities[[#This Row],[hidden]:[icon]],entities[[#This Row],[2]])
)</f>
        <v/>
      </c>
      <c r="R28" s="6" t="str">
        <f ca="1">IF(entities[[#This Row],[3]]="","",
VLOOKUP(entities[[#This Row],[3]],Lookup!$B$5:$D$9,3,FALSE)  &amp;  INDEX(entities[[#This Row],[hidden]:[icon]],entities[[#This Row],[3]])
)</f>
        <v/>
      </c>
      <c r="S28" s="6" t="str">
        <f ca="1">IF(entities[[#This Row],[4]]="","",
VLOOKUP(entities[[#This Row],[4]],Lookup!$B$5:$D$9,3,FALSE)  &amp;  INDEX(entities[[#This Row],[hidden]:[icon]],entities[[#This Row],[4]])
)</f>
        <v/>
      </c>
      <c r="T28" t="str">
        <f t="array" ref="T28">IFERROR(INDEX(cards[object_id],SMALL(IF(cards[[1]:[25]]=entities[[#This Row],[entity_id]],ROW(cards[])-7,99^99),1)),"")</f>
        <v>automation_statron</v>
      </c>
      <c r="U28" t="str">
        <f>IF(entities[[#This Row],[In HA?]]&lt;&gt;"ok",  "Not in Home Assistant",
IF(entities[[#This Row],[hidden]]="true",  "Hidden",
IF(entities[[#This Row],[Card]]&lt;&gt;"",
INDEX(cards[name],MATCH(entities[[#This Row],[Card]],cards[object_id],0)),  "Badge / automatic card")))</f>
        <v>Hidden</v>
      </c>
      <c r="V28" t="str">
        <f>IF(entities[[#This Row],[Card]]&lt;&gt;"","group."&amp;entities[[#This Row],[Card]],"")</f>
        <v>group.automation_statron</v>
      </c>
      <c r="W28" t="str">
        <f t="array" ref="W28">IFERROR(IF(entities[[#This Row],[Assigned Card]]="","",INDEX(views[object_id],SMALL(IF(views[[1]:[25]]=entities[[#This Row],[Assigned Card]],ROW(views[])-7,99^99),1))),"")</f>
        <v/>
      </c>
      <c r="X28" t="str">
        <f t="array" ref="X28">IFERROR(INDEX(views[object_id],SMALL(IF(views[[1]:[25]]=entities[[#This Row],[entity_id]],ROW(views[])-7,99^99),1)),"")</f>
        <v/>
      </c>
      <c r="Y28" t="str">
        <f>IF(entities[[#This Row],[View from card]]&lt;&gt;"",entities[[#This Row],[View from card]],entities[[#This Row],[View from entitiy]])</f>
        <v/>
      </c>
      <c r="Z28" t="str">
        <f>IF(entities[[#This Row],[In HA?]]&lt;&gt;"ok",  "Not in Home Assistant",
IF(entities[[#This Row],[hidden]]="true",  "Hidden",
IF(entities[[#This Row],[View]]&lt;&gt;"",
INDEX(views[name],MATCH(entities[[#This Row],[View]],views[object_id],0)),  "Default view")))</f>
        <v>Hidden</v>
      </c>
      <c r="AA28" t="str">
        <f>IF(entities[[#This Row],[View]]&lt;&gt;"","group."&amp;entities[[#This Row],[View]],"")</f>
        <v/>
      </c>
      <c r="AB28" s="6" t="str">
        <f>IF(COUNTIF(Table4[Entity],entities[[#This Row],[entity_id]]),"ok","Missing from States tab")</f>
        <v>ok</v>
      </c>
      <c r="AF28"/>
    </row>
    <row r="29" spans="2:32" x14ac:dyDescent="0.45">
      <c r="B29" t="s">
        <v>52</v>
      </c>
      <c r="C29" t="s">
        <v>398</v>
      </c>
      <c r="D29" s="4" t="s">
        <v>294</v>
      </c>
      <c r="I29" s="6" t="str">
        <f>entities[[#This Row],[domain]]&amp;"."&amp;entities[[#This Row],[object_id]]</f>
        <v>automation.statron_computer_status_from_monitor_status</v>
      </c>
      <c r="J29" s="6">
        <f>5-COUNTBLANK(entities[[#This Row],[hidden]:[icon]])</f>
        <v>1</v>
      </c>
      <c r="K29" s="6">
        <f>IF(entities[[#This Row],[Custom Attributes]]=0,"",
COUNTIFS(entities[Custom Attributes],"&gt;0",entities[entity_id],"&lt;="&amp;entities[[#This Row],[entity_id]]))</f>
        <v>18</v>
      </c>
      <c r="L29" s="6">
        <f t="array" aca="1" ref="L29" ca="1">IF(entities[[#This Row],[Custom Attributes]]&lt;1,"",
MATCH(FALSE, ISBLANK(OFFSET(entities[[#This Row],[hidden]],0,0,1,5)), 0))</f>
        <v>1</v>
      </c>
      <c r="M29" s="6" t="str">
        <f t="array" aca="1" ref="M29" ca="1">IF(entities[[#This Row],[Custom Attributes]]&lt;2,"",
IF(entities[[#This Row],[1]]=5-1,5,
MATCH(FALSE, ISBLANK(OFFSET(entities[[#This Row],[hidden]],0,entities[[#This Row],[1]],1,5-entities[[#This Row],[1]])), 0)+entities[[#This Row],[1]]))</f>
        <v/>
      </c>
      <c r="N29" s="6" t="str">
        <f t="array" aca="1" ref="N29" ca="1">IF(entities[[#This Row],[Custom Attributes]]&lt;3,"",
IF(entities[[#This Row],[2]]=5-1,5,
MATCH(FALSE, ISBLANK(OFFSET(entities[[#This Row],[hidden]],0,entities[[#This Row],[2]],1,5-entities[[#This Row],[2]])), 0)+entities[[#This Row],[2]]))</f>
        <v/>
      </c>
      <c r="O29" s="6" t="str">
        <f t="array" aca="1" ref="O29" ca="1">IF(entities[[#This Row],[Custom Attributes]]&lt;4,"",
IF(entities[[#This Row],[3]]=5-1,5,
MATCH(FALSE, ISBLANK(OFFSET(entities[[#This Row],[hidden]],0,entities[[#This Row],[3]],1,5-entities[[#This Row],[3]])), 0)+entities[[#This Row],[3]]))</f>
        <v/>
      </c>
      <c r="P29" s="14" t="str">
        <f ca="1">IF(entities[[#This Row],[1]]="","",
VLOOKUP(entities[[#This Row],[1]],Lookup!$B$5:$D$9,3,FALSE)  &amp;  INDEX(entities[[#This Row],[hidden]:[icon]],entities[[#This Row],[1]])
)</f>
        <v xml:space="preserve">  hidden: true</v>
      </c>
      <c r="Q29" s="6" t="str">
        <f ca="1">IF(entities[[#This Row],[2]]="","",
VLOOKUP(entities[[#This Row],[2]],Lookup!$B$5:$D$9,3,FALSE)  &amp;  INDEX(entities[[#This Row],[hidden]:[icon]],entities[[#This Row],[2]])
)</f>
        <v/>
      </c>
      <c r="R29" s="6" t="str">
        <f ca="1">IF(entities[[#This Row],[3]]="","",
VLOOKUP(entities[[#This Row],[3]],Lookup!$B$5:$D$9,3,FALSE)  &amp;  INDEX(entities[[#This Row],[hidden]:[icon]],entities[[#This Row],[3]])
)</f>
        <v/>
      </c>
      <c r="S29" s="6" t="str">
        <f ca="1">IF(entities[[#This Row],[4]]="","",
VLOOKUP(entities[[#This Row],[4]],Lookup!$B$5:$D$9,3,FALSE)  &amp;  INDEX(entities[[#This Row],[hidden]:[icon]],entities[[#This Row],[4]])
)</f>
        <v/>
      </c>
      <c r="T29" t="str">
        <f t="array" ref="T29">IFERROR(INDEX(cards[object_id],SMALL(IF(cards[[1]:[25]]=entities[[#This Row],[entity_id]],ROW(cards[])-7,99^99),1)),"")</f>
        <v>automation_statron</v>
      </c>
      <c r="U29" t="str">
        <f>IF(entities[[#This Row],[In HA?]]&lt;&gt;"ok",  "Not in Home Assistant",
IF(entities[[#This Row],[hidden]]="true",  "Hidden",
IF(entities[[#This Row],[Card]]&lt;&gt;"",
INDEX(cards[name],MATCH(entities[[#This Row],[Card]],cards[object_id],0)),  "Badge / automatic card")))</f>
        <v>Hidden</v>
      </c>
      <c r="V29" t="str">
        <f>IF(entities[[#This Row],[Card]]&lt;&gt;"","group."&amp;entities[[#This Row],[Card]],"")</f>
        <v>group.automation_statron</v>
      </c>
      <c r="W29" t="str">
        <f t="array" ref="W29">IFERROR(IF(entities[[#This Row],[Assigned Card]]="","",INDEX(views[object_id],SMALL(IF(views[[1]:[25]]=entities[[#This Row],[Assigned Card]],ROW(views[])-7,99^99),1))),"")</f>
        <v/>
      </c>
      <c r="X29" t="str">
        <f t="array" ref="X29">IFERROR(INDEX(views[object_id],SMALL(IF(views[[1]:[25]]=entities[[#This Row],[entity_id]],ROW(views[])-7,99^99),1)),"")</f>
        <v/>
      </c>
      <c r="Y29" t="str">
        <f>IF(entities[[#This Row],[View from card]]&lt;&gt;"",entities[[#This Row],[View from card]],entities[[#This Row],[View from entitiy]])</f>
        <v/>
      </c>
      <c r="Z29" t="str">
        <f>IF(entities[[#This Row],[In HA?]]&lt;&gt;"ok",  "Not in Home Assistant",
IF(entities[[#This Row],[hidden]]="true",  "Hidden",
IF(entities[[#This Row],[View]]&lt;&gt;"",
INDEX(views[name],MATCH(entities[[#This Row],[View]],views[object_id],0)),  "Default view")))</f>
        <v>Hidden</v>
      </c>
      <c r="AA29" t="str">
        <f>IF(entities[[#This Row],[View]]&lt;&gt;"","group."&amp;entities[[#This Row],[View]],"")</f>
        <v/>
      </c>
      <c r="AB29" s="6" t="str">
        <f>IF(COUNTIF(Table4[Entity],entities[[#This Row],[entity_id]]),"ok","Missing from States tab")</f>
        <v>ok</v>
      </c>
      <c r="AF29"/>
    </row>
    <row r="30" spans="2:32" x14ac:dyDescent="0.45">
      <c r="B30" t="s">
        <v>52</v>
      </c>
      <c r="C30" t="s">
        <v>399</v>
      </c>
      <c r="D30" s="4" t="s">
        <v>294</v>
      </c>
      <c r="I30" s="6" t="str">
        <f>entities[[#This Row],[domain]]&amp;"."&amp;entities[[#This Row],[object_id]]</f>
        <v>automation.statron_home_status_from_device_tracker</v>
      </c>
      <c r="J30" s="6">
        <f>5-COUNTBLANK(entities[[#This Row],[hidden]:[icon]])</f>
        <v>1</v>
      </c>
      <c r="K30" s="6">
        <f>IF(entities[[#This Row],[Custom Attributes]]=0,"",
COUNTIFS(entities[Custom Attributes],"&gt;0",entities[entity_id],"&lt;="&amp;entities[[#This Row],[entity_id]]))</f>
        <v>19</v>
      </c>
      <c r="L30" s="6">
        <f t="array" aca="1" ref="L30" ca="1">IF(entities[[#This Row],[Custom Attributes]]&lt;1,"",
MATCH(FALSE, ISBLANK(OFFSET(entities[[#This Row],[hidden]],0,0,1,5)), 0))</f>
        <v>1</v>
      </c>
      <c r="M30" s="6" t="str">
        <f t="array" aca="1" ref="M30" ca="1">IF(entities[[#This Row],[Custom Attributes]]&lt;2,"",
IF(entities[[#This Row],[1]]=5-1,5,
MATCH(FALSE, ISBLANK(OFFSET(entities[[#This Row],[hidden]],0,entities[[#This Row],[1]],1,5-entities[[#This Row],[1]])), 0)+entities[[#This Row],[1]]))</f>
        <v/>
      </c>
      <c r="N30" s="6" t="str">
        <f t="array" aca="1" ref="N30" ca="1">IF(entities[[#This Row],[Custom Attributes]]&lt;3,"",
IF(entities[[#This Row],[2]]=5-1,5,
MATCH(FALSE, ISBLANK(OFFSET(entities[[#This Row],[hidden]],0,entities[[#This Row],[2]],1,5-entities[[#This Row],[2]])), 0)+entities[[#This Row],[2]]))</f>
        <v/>
      </c>
      <c r="O30" s="6" t="str">
        <f t="array" aca="1" ref="O30" ca="1">IF(entities[[#This Row],[Custom Attributes]]&lt;4,"",
IF(entities[[#This Row],[3]]=5-1,5,
MATCH(FALSE, ISBLANK(OFFSET(entities[[#This Row],[hidden]],0,entities[[#This Row],[3]],1,5-entities[[#This Row],[3]])), 0)+entities[[#This Row],[3]]))</f>
        <v/>
      </c>
      <c r="P30" s="14" t="str">
        <f ca="1">IF(entities[[#This Row],[1]]="","",
VLOOKUP(entities[[#This Row],[1]],Lookup!$B$5:$D$9,3,FALSE)  &amp;  INDEX(entities[[#This Row],[hidden]:[icon]],entities[[#This Row],[1]])
)</f>
        <v xml:space="preserve">  hidden: true</v>
      </c>
      <c r="Q30" s="6" t="str">
        <f ca="1">IF(entities[[#This Row],[2]]="","",
VLOOKUP(entities[[#This Row],[2]],Lookup!$B$5:$D$9,3,FALSE)  &amp;  INDEX(entities[[#This Row],[hidden]:[icon]],entities[[#This Row],[2]])
)</f>
        <v/>
      </c>
      <c r="R30" s="6" t="str">
        <f ca="1">IF(entities[[#This Row],[3]]="","",
VLOOKUP(entities[[#This Row],[3]],Lookup!$B$5:$D$9,3,FALSE)  &amp;  INDEX(entities[[#This Row],[hidden]:[icon]],entities[[#This Row],[3]])
)</f>
        <v/>
      </c>
      <c r="S30" s="6" t="str">
        <f ca="1">IF(entities[[#This Row],[4]]="","",
VLOOKUP(entities[[#This Row],[4]],Lookup!$B$5:$D$9,3,FALSE)  &amp;  INDEX(entities[[#This Row],[hidden]:[icon]],entities[[#This Row],[4]])
)</f>
        <v/>
      </c>
      <c r="T30" t="str">
        <f t="array" ref="T30">IFERROR(INDEX(cards[object_id],SMALL(IF(cards[[1]:[25]]=entities[[#This Row],[entity_id]],ROW(cards[])-7,99^99),1)),"")</f>
        <v>automation_statron</v>
      </c>
      <c r="U30" t="str">
        <f>IF(entities[[#This Row],[In HA?]]&lt;&gt;"ok",  "Not in Home Assistant",
IF(entities[[#This Row],[hidden]]="true",  "Hidden",
IF(entities[[#This Row],[Card]]&lt;&gt;"",
INDEX(cards[name],MATCH(entities[[#This Row],[Card]],cards[object_id],0)),  "Badge / automatic card")))</f>
        <v>Hidden</v>
      </c>
      <c r="V30" t="str">
        <f>IF(entities[[#This Row],[Card]]&lt;&gt;"","group."&amp;entities[[#This Row],[Card]],"")</f>
        <v>group.automation_statron</v>
      </c>
      <c r="W30" t="str">
        <f t="array" ref="W30">IFERROR(IF(entities[[#This Row],[Assigned Card]]="","",INDEX(views[object_id],SMALL(IF(views[[1]:[25]]=entities[[#This Row],[Assigned Card]],ROW(views[])-7,99^99),1))),"")</f>
        <v/>
      </c>
      <c r="X30" t="str">
        <f t="array" ref="X30">IFERROR(INDEX(views[object_id],SMALL(IF(views[[1]:[25]]=entities[[#This Row],[entity_id]],ROW(views[])-7,99^99),1)),"")</f>
        <v/>
      </c>
      <c r="Y30" t="str">
        <f>IF(entities[[#This Row],[View from card]]&lt;&gt;"",entities[[#This Row],[View from card]],entities[[#This Row],[View from entitiy]])</f>
        <v/>
      </c>
      <c r="Z30" t="str">
        <f>IF(entities[[#This Row],[In HA?]]&lt;&gt;"ok",  "Not in Home Assistant",
IF(entities[[#This Row],[hidden]]="true",  "Hidden",
IF(entities[[#This Row],[View]]&lt;&gt;"",
INDEX(views[name],MATCH(entities[[#This Row],[View]],views[object_id],0)),  "Default view")))</f>
        <v>Hidden</v>
      </c>
      <c r="AA30" t="str">
        <f>IF(entities[[#This Row],[View]]&lt;&gt;"","group."&amp;entities[[#This Row],[View]],"")</f>
        <v/>
      </c>
      <c r="AB30" s="6" t="str">
        <f>IF(COUNTIF(Table4[Entity],entities[[#This Row],[entity_id]]),"ok","Missing from States tab")</f>
        <v>ok</v>
      </c>
      <c r="AF30"/>
    </row>
    <row r="31" spans="2:32" x14ac:dyDescent="0.45">
      <c r="B31" t="s">
        <v>52</v>
      </c>
      <c r="C31" t="s">
        <v>400</v>
      </c>
      <c r="D31" s="4" t="s">
        <v>294</v>
      </c>
      <c r="I31" s="6" t="str">
        <f>entities[[#This Row],[domain]]&amp;"."&amp;entities[[#This Row],[object_id]]</f>
        <v>automation.statron_home_status_from_monitor_status</v>
      </c>
      <c r="J31" s="6">
        <f>5-COUNTBLANK(entities[[#This Row],[hidden]:[icon]])</f>
        <v>1</v>
      </c>
      <c r="K31" s="6">
        <f>IF(entities[[#This Row],[Custom Attributes]]=0,"",
COUNTIFS(entities[Custom Attributes],"&gt;0",entities[entity_id],"&lt;="&amp;entities[[#This Row],[entity_id]]))</f>
        <v>20</v>
      </c>
      <c r="L31" s="6">
        <f t="array" aca="1" ref="L31" ca="1">IF(entities[[#This Row],[Custom Attributes]]&lt;1,"",
MATCH(FALSE, ISBLANK(OFFSET(entities[[#This Row],[hidden]],0,0,1,5)), 0))</f>
        <v>1</v>
      </c>
      <c r="M31" s="6" t="str">
        <f t="array" aca="1" ref="M31" ca="1">IF(entities[[#This Row],[Custom Attributes]]&lt;2,"",
IF(entities[[#This Row],[1]]=5-1,5,
MATCH(FALSE, ISBLANK(OFFSET(entities[[#This Row],[hidden]],0,entities[[#This Row],[1]],1,5-entities[[#This Row],[1]])), 0)+entities[[#This Row],[1]]))</f>
        <v/>
      </c>
      <c r="N31" s="6" t="str">
        <f t="array" aca="1" ref="N31" ca="1">IF(entities[[#This Row],[Custom Attributes]]&lt;3,"",
IF(entities[[#This Row],[2]]=5-1,5,
MATCH(FALSE, ISBLANK(OFFSET(entities[[#This Row],[hidden]],0,entities[[#This Row],[2]],1,5-entities[[#This Row],[2]])), 0)+entities[[#This Row],[2]]))</f>
        <v/>
      </c>
      <c r="O31" s="6" t="str">
        <f t="array" aca="1" ref="O31" ca="1">IF(entities[[#This Row],[Custom Attributes]]&lt;4,"",
IF(entities[[#This Row],[3]]=5-1,5,
MATCH(FALSE, ISBLANK(OFFSET(entities[[#This Row],[hidden]],0,entities[[#This Row],[3]],1,5-entities[[#This Row],[3]])), 0)+entities[[#This Row],[3]]))</f>
        <v/>
      </c>
      <c r="P31" s="14" t="str">
        <f ca="1">IF(entities[[#This Row],[1]]="","",
VLOOKUP(entities[[#This Row],[1]],Lookup!$B$5:$D$9,3,FALSE)  &amp;  INDEX(entities[[#This Row],[hidden]:[icon]],entities[[#This Row],[1]])
)</f>
        <v xml:space="preserve">  hidden: true</v>
      </c>
      <c r="Q31" s="6" t="str">
        <f ca="1">IF(entities[[#This Row],[2]]="","",
VLOOKUP(entities[[#This Row],[2]],Lookup!$B$5:$D$9,3,FALSE)  &amp;  INDEX(entities[[#This Row],[hidden]:[icon]],entities[[#This Row],[2]])
)</f>
        <v/>
      </c>
      <c r="R31" s="6" t="str">
        <f ca="1">IF(entities[[#This Row],[3]]="","",
VLOOKUP(entities[[#This Row],[3]],Lookup!$B$5:$D$9,3,FALSE)  &amp;  INDEX(entities[[#This Row],[hidden]:[icon]],entities[[#This Row],[3]])
)</f>
        <v/>
      </c>
      <c r="S31" s="6" t="str">
        <f ca="1">IF(entities[[#This Row],[4]]="","",
VLOOKUP(entities[[#This Row],[4]],Lookup!$B$5:$D$9,3,FALSE)  &amp;  INDEX(entities[[#This Row],[hidden]:[icon]],entities[[#This Row],[4]])
)</f>
        <v/>
      </c>
      <c r="T31" t="str">
        <f t="array" ref="T31">IFERROR(INDEX(cards[object_id],SMALL(IF(cards[[1]:[25]]=entities[[#This Row],[entity_id]],ROW(cards[])-7,99^99),1)),"")</f>
        <v>automation_statron</v>
      </c>
      <c r="U31" t="str">
        <f>IF(entities[[#This Row],[In HA?]]&lt;&gt;"ok",  "Not in Home Assistant",
IF(entities[[#This Row],[hidden]]="true",  "Hidden",
IF(entities[[#This Row],[Card]]&lt;&gt;"",
INDEX(cards[name],MATCH(entities[[#This Row],[Card]],cards[object_id],0)),  "Badge / automatic card")))</f>
        <v>Hidden</v>
      </c>
      <c r="V31" t="str">
        <f>IF(entities[[#This Row],[Card]]&lt;&gt;"","group."&amp;entities[[#This Row],[Card]],"")</f>
        <v>group.automation_statron</v>
      </c>
      <c r="W31" t="str">
        <f t="array" ref="W31">IFERROR(IF(entities[[#This Row],[Assigned Card]]="","",INDEX(views[object_id],SMALL(IF(views[[1]:[25]]=entities[[#This Row],[Assigned Card]],ROW(views[])-7,99^99),1))),"")</f>
        <v/>
      </c>
      <c r="X31" t="str">
        <f t="array" ref="X31">IFERROR(INDEX(views[object_id],SMALL(IF(views[[1]:[25]]=entities[[#This Row],[entity_id]],ROW(views[])-7,99^99),1)),"")</f>
        <v/>
      </c>
      <c r="Y31" t="str">
        <f>IF(entities[[#This Row],[View from card]]&lt;&gt;"",entities[[#This Row],[View from card]],entities[[#This Row],[View from entitiy]])</f>
        <v/>
      </c>
      <c r="Z31" t="str">
        <f>IF(entities[[#This Row],[In HA?]]&lt;&gt;"ok",  "Not in Home Assistant",
IF(entities[[#This Row],[hidden]]="true",  "Hidden",
IF(entities[[#This Row],[View]]&lt;&gt;"",
INDEX(views[name],MATCH(entities[[#This Row],[View]],views[object_id],0)),  "Default view")))</f>
        <v>Hidden</v>
      </c>
      <c r="AA31" t="str">
        <f>IF(entities[[#This Row],[View]]&lt;&gt;"","group."&amp;entities[[#This Row],[View]],"")</f>
        <v/>
      </c>
      <c r="AB31" s="6" t="str">
        <f>IF(COUNTIF(Table4[Entity],entities[[#This Row],[entity_id]]),"ok","Missing from States tab")</f>
        <v>ok</v>
      </c>
      <c r="AF31"/>
    </row>
    <row r="32" spans="2:32" x14ac:dyDescent="0.45">
      <c r="B32" t="s">
        <v>52</v>
      </c>
      <c r="C32" t="s">
        <v>808</v>
      </c>
      <c r="D32" s="4" t="s">
        <v>294</v>
      </c>
      <c r="I32" s="6" t="str">
        <f>entities[[#This Row],[domain]]&amp;"."&amp;entities[[#This Row],[object_id]]</f>
        <v>automation.statron_tv_status_from_chromecast</v>
      </c>
      <c r="J32" s="6">
        <f>5-COUNTBLANK(entities[[#This Row],[hidden]:[icon]])</f>
        <v>1</v>
      </c>
      <c r="K32" s="6">
        <f>IF(entities[[#This Row],[Custom Attributes]]=0,"",
COUNTIFS(entities[Custom Attributes],"&gt;0",entities[entity_id],"&lt;="&amp;entities[[#This Row],[entity_id]]))</f>
        <v>21</v>
      </c>
      <c r="L32" s="6">
        <f t="array" aca="1" ref="L32" ca="1">IF(entities[[#This Row],[Custom Attributes]]&lt;1,"",
MATCH(FALSE, ISBLANK(OFFSET(entities[[#This Row],[hidden]],0,0,1,5)), 0))</f>
        <v>1</v>
      </c>
      <c r="M32" s="6" t="str">
        <f t="array" aca="1" ref="M32" ca="1">IF(entities[[#This Row],[Custom Attributes]]&lt;2,"",
IF(entities[[#This Row],[1]]=5-1,5,
MATCH(FALSE, ISBLANK(OFFSET(entities[[#This Row],[hidden]],0,entities[[#This Row],[1]],1,5-entities[[#This Row],[1]])), 0)+entities[[#This Row],[1]]))</f>
        <v/>
      </c>
      <c r="N32" s="6" t="str">
        <f t="array" aca="1" ref="N32" ca="1">IF(entities[[#This Row],[Custom Attributes]]&lt;3,"",
IF(entities[[#This Row],[2]]=5-1,5,
MATCH(FALSE, ISBLANK(OFFSET(entities[[#This Row],[hidden]],0,entities[[#This Row],[2]],1,5-entities[[#This Row],[2]])), 0)+entities[[#This Row],[2]]))</f>
        <v/>
      </c>
      <c r="O32" s="6" t="str">
        <f t="array" aca="1" ref="O32" ca="1">IF(entities[[#This Row],[Custom Attributes]]&lt;4,"",
IF(entities[[#This Row],[3]]=5-1,5,
MATCH(FALSE, ISBLANK(OFFSET(entities[[#This Row],[hidden]],0,entities[[#This Row],[3]],1,5-entities[[#This Row],[3]])), 0)+entities[[#This Row],[3]]))</f>
        <v/>
      </c>
      <c r="P32" s="14" t="str">
        <f ca="1">IF(entities[[#This Row],[1]]="","",
VLOOKUP(entities[[#This Row],[1]],Lookup!$B$5:$D$9,3,FALSE)  &amp;  INDEX(entities[[#This Row],[hidden]:[icon]],entities[[#This Row],[1]])
)</f>
        <v xml:space="preserve">  hidden: true</v>
      </c>
      <c r="Q32" s="6" t="str">
        <f ca="1">IF(entities[[#This Row],[2]]="","",
VLOOKUP(entities[[#This Row],[2]],Lookup!$B$5:$D$9,3,FALSE)  &amp;  INDEX(entities[[#This Row],[hidden]:[icon]],entities[[#This Row],[2]])
)</f>
        <v/>
      </c>
      <c r="R32" s="6" t="str">
        <f ca="1">IF(entities[[#This Row],[3]]="","",
VLOOKUP(entities[[#This Row],[3]],Lookup!$B$5:$D$9,3,FALSE)  &amp;  INDEX(entities[[#This Row],[hidden]:[icon]],entities[[#This Row],[3]])
)</f>
        <v/>
      </c>
      <c r="S32" s="6" t="str">
        <f ca="1">IF(entities[[#This Row],[4]]="","",
VLOOKUP(entities[[#This Row],[4]],Lookup!$B$5:$D$9,3,FALSE)  &amp;  INDEX(entities[[#This Row],[hidden]:[icon]],entities[[#This Row],[4]])
)</f>
        <v/>
      </c>
      <c r="T32" s="6" t="str">
        <f t="array" ref="T32">IFERROR(INDEX(cards[object_id],SMALL(IF(cards[[1]:[25]]=entities[[#This Row],[entity_id]],ROW(cards[])-7,99^99),1)),"")</f>
        <v>automation_statron</v>
      </c>
      <c r="U32" s="6" t="str">
        <f>IF(entities[[#This Row],[In HA?]]&lt;&gt;"ok",  "Not in Home Assistant",
IF(entities[[#This Row],[hidden]]="true",  "Hidden",
IF(entities[[#This Row],[Card]]&lt;&gt;"",
INDEX(cards[name],MATCH(entities[[#This Row],[Card]],cards[object_id],0)),  "Badge / automatic card")))</f>
        <v>Hidden</v>
      </c>
      <c r="V32" s="6" t="str">
        <f>IF(entities[[#This Row],[Card]]&lt;&gt;"","group."&amp;entities[[#This Row],[Card]],"")</f>
        <v>group.automation_statron</v>
      </c>
      <c r="W32" s="6" t="str">
        <f t="array" ref="W32">IFERROR(IF(entities[[#This Row],[Assigned Card]]="","",INDEX(views[object_id],SMALL(IF(views[[1]:[25]]=entities[[#This Row],[Assigned Card]],ROW(views[])-7,99^99),1))),"")</f>
        <v/>
      </c>
      <c r="X32" s="6" t="str">
        <f t="array" ref="X32">IFERROR(INDEX(views[object_id],SMALL(IF(views[[1]:[25]]=entities[[#This Row],[entity_id]],ROW(views[])-7,99^99),1)),"")</f>
        <v/>
      </c>
      <c r="Y32" s="6" t="str">
        <f>IF(entities[[#This Row],[View from card]]&lt;&gt;"",entities[[#This Row],[View from card]],entities[[#This Row],[View from entitiy]])</f>
        <v/>
      </c>
      <c r="Z32" s="6" t="str">
        <f>IF(entities[[#This Row],[In HA?]]&lt;&gt;"ok",  "Not in Home Assistant",
IF(entities[[#This Row],[hidden]]="true",  "Hidden",
IF(entities[[#This Row],[View]]&lt;&gt;"",
INDEX(views[name],MATCH(entities[[#This Row],[View]],views[object_id],0)),  "Default view")))</f>
        <v>Hidden</v>
      </c>
      <c r="AA32" s="6" t="str">
        <f>IF(entities[[#This Row],[View]]&lt;&gt;"","group."&amp;entities[[#This Row],[View]],"")</f>
        <v/>
      </c>
      <c r="AB32" s="6" t="str">
        <f>IF(COUNTIF(Table4[Entity],entities[[#This Row],[entity_id]]),"ok","Missing from States tab")</f>
        <v>ok</v>
      </c>
      <c r="AF32"/>
    </row>
    <row r="33" spans="2:32" x14ac:dyDescent="0.45">
      <c r="B33" t="s">
        <v>52</v>
      </c>
      <c r="C33" t="s">
        <v>829</v>
      </c>
      <c r="D33" s="4" t="s">
        <v>294</v>
      </c>
      <c r="I33" s="6" t="str">
        <f>entities[[#This Row],[domain]]&amp;"."&amp;entities[[#This Row],[object_id]]</f>
        <v>automation.statvac_vacation_lights_at_sunset_when_vacation_mode_on</v>
      </c>
      <c r="J33" s="6">
        <f>5-COUNTBLANK(entities[[#This Row],[hidden]:[icon]])</f>
        <v>1</v>
      </c>
      <c r="K33" s="6">
        <f>IF(entities[[#This Row],[Custom Attributes]]=0,"",
COUNTIFS(entities[Custom Attributes],"&gt;0",entities[entity_id],"&lt;="&amp;entities[[#This Row],[entity_id]]))</f>
        <v>22</v>
      </c>
      <c r="L33" s="6">
        <f t="array" aca="1" ref="L33" ca="1">IF(entities[[#This Row],[Custom Attributes]]&lt;1,"",
MATCH(FALSE, ISBLANK(OFFSET(entities[[#This Row],[hidden]],0,0,1,5)), 0))</f>
        <v>1</v>
      </c>
      <c r="M33" s="6" t="str">
        <f t="array" aca="1" ref="M33" ca="1">IF(entities[[#This Row],[Custom Attributes]]&lt;2,"",
IF(entities[[#This Row],[1]]=5-1,5,
MATCH(FALSE, ISBLANK(OFFSET(entities[[#This Row],[hidden]],0,entities[[#This Row],[1]],1,5-entities[[#This Row],[1]])), 0)+entities[[#This Row],[1]]))</f>
        <v/>
      </c>
      <c r="N33" s="6" t="str">
        <f t="array" aca="1" ref="N33" ca="1">IF(entities[[#This Row],[Custom Attributes]]&lt;3,"",
IF(entities[[#This Row],[2]]=5-1,5,
MATCH(FALSE, ISBLANK(OFFSET(entities[[#This Row],[hidden]],0,entities[[#This Row],[2]],1,5-entities[[#This Row],[2]])), 0)+entities[[#This Row],[2]]))</f>
        <v/>
      </c>
      <c r="O33" s="6" t="str">
        <f t="array" aca="1" ref="O33" ca="1">IF(entities[[#This Row],[Custom Attributes]]&lt;4,"",
IF(entities[[#This Row],[3]]=5-1,5,
MATCH(FALSE, ISBLANK(OFFSET(entities[[#This Row],[hidden]],0,entities[[#This Row],[3]],1,5-entities[[#This Row],[3]])), 0)+entities[[#This Row],[3]]))</f>
        <v/>
      </c>
      <c r="P33" s="14" t="str">
        <f ca="1">IF(entities[[#This Row],[1]]="","",
VLOOKUP(entities[[#This Row],[1]],Lookup!$B$5:$D$9,3,FALSE)  &amp;  INDEX(entities[[#This Row],[hidden]:[icon]],entities[[#This Row],[1]])
)</f>
        <v xml:space="preserve">  hidden: true</v>
      </c>
      <c r="Q33" s="6" t="str">
        <f ca="1">IF(entities[[#This Row],[2]]="","",
VLOOKUP(entities[[#This Row],[2]],Lookup!$B$5:$D$9,3,FALSE)  &amp;  INDEX(entities[[#This Row],[hidden]:[icon]],entities[[#This Row],[2]])
)</f>
        <v/>
      </c>
      <c r="R33" s="6" t="str">
        <f ca="1">IF(entities[[#This Row],[3]]="","",
VLOOKUP(entities[[#This Row],[3]],Lookup!$B$5:$D$9,3,FALSE)  &amp;  INDEX(entities[[#This Row],[hidden]:[icon]],entities[[#This Row],[3]])
)</f>
        <v/>
      </c>
      <c r="S33" s="6" t="str">
        <f ca="1">IF(entities[[#This Row],[4]]="","",
VLOOKUP(entities[[#This Row],[4]],Lookup!$B$5:$D$9,3,FALSE)  &amp;  INDEX(entities[[#This Row],[hidden]:[icon]],entities[[#This Row],[4]])
)</f>
        <v/>
      </c>
      <c r="T33" s="6" t="str">
        <f t="array" ref="T33">IFERROR(INDEX(cards[object_id],SMALL(IF(cards[[1]:[25]]=entities[[#This Row],[entity_id]],ROW(cards[])-7,99^99),1)),"")</f>
        <v/>
      </c>
      <c r="U33" s="6" t="str">
        <f>IF(entities[[#This Row],[In HA?]]&lt;&gt;"ok",  "Not in Home Assistant",
IF(entities[[#This Row],[hidden]]="true",  "Hidden",
IF(entities[[#This Row],[Card]]&lt;&gt;"",
INDEX(cards[name],MATCH(entities[[#This Row],[Card]],cards[object_id],0)),  "Badge / automatic card")))</f>
        <v>Hidden</v>
      </c>
      <c r="V33" s="6" t="str">
        <f>IF(entities[[#This Row],[Card]]&lt;&gt;"","group."&amp;entities[[#This Row],[Card]],"")</f>
        <v/>
      </c>
      <c r="W33" s="6" t="str">
        <f t="array" ref="W33">IFERROR(IF(entities[[#This Row],[Assigned Card]]="","",INDEX(views[object_id],SMALL(IF(views[[1]:[25]]=entities[[#This Row],[Assigned Card]],ROW(views[])-7,99^99),1))),"")</f>
        <v/>
      </c>
      <c r="X33" s="6" t="str">
        <f t="array" ref="X33">IFERROR(INDEX(views[object_id],SMALL(IF(views[[1]:[25]]=entities[[#This Row],[entity_id]],ROW(views[])-7,99^99),1)),"")</f>
        <v/>
      </c>
      <c r="Y33" s="6" t="str">
        <f>IF(entities[[#This Row],[View from card]]&lt;&gt;"",entities[[#This Row],[View from card]],entities[[#This Row],[View from entitiy]])</f>
        <v/>
      </c>
      <c r="Z33" s="6" t="str">
        <f>IF(entities[[#This Row],[In HA?]]&lt;&gt;"ok",  "Not in Home Assistant",
IF(entities[[#This Row],[hidden]]="true",  "Hidden",
IF(entities[[#This Row],[View]]&lt;&gt;"",
INDEX(views[name],MATCH(entities[[#This Row],[View]],views[object_id],0)),  "Default view")))</f>
        <v>Hidden</v>
      </c>
      <c r="AA33" s="6" t="str">
        <f>IF(entities[[#This Row],[View]]&lt;&gt;"","group."&amp;entities[[#This Row],[View]],"")</f>
        <v/>
      </c>
      <c r="AB33" s="6" t="str">
        <f>IF(COUNTIF(Table4[Entity],entities[[#This Row],[entity_id]]),"ok","Missing from States tab")</f>
        <v>ok</v>
      </c>
      <c r="AF33"/>
    </row>
    <row r="34" spans="2:32" x14ac:dyDescent="0.45">
      <c r="B34" t="s">
        <v>52</v>
      </c>
      <c r="C34" t="s">
        <v>401</v>
      </c>
      <c r="D34" s="4" t="s">
        <v>294</v>
      </c>
      <c r="I34" s="6" t="str">
        <f>entities[[#This Row],[domain]]&amp;"."&amp;entities[[#This Row],[object_id]]</f>
        <v>automation.statvac_vacation_mode_off_when_home</v>
      </c>
      <c r="J34" s="6">
        <f>5-COUNTBLANK(entities[[#This Row],[hidden]:[icon]])</f>
        <v>1</v>
      </c>
      <c r="K34" s="6">
        <f>IF(entities[[#This Row],[Custom Attributes]]=0,"",
COUNTIFS(entities[Custom Attributes],"&gt;0",entities[entity_id],"&lt;="&amp;entities[[#This Row],[entity_id]]))</f>
        <v>23</v>
      </c>
      <c r="L34" s="6">
        <f t="array" aca="1" ref="L34" ca="1">IF(entities[[#This Row],[Custom Attributes]]&lt;1,"",
MATCH(FALSE, ISBLANK(OFFSET(entities[[#This Row],[hidden]],0,0,1,5)), 0))</f>
        <v>1</v>
      </c>
      <c r="M34" s="6" t="str">
        <f t="array" aca="1" ref="M34" ca="1">IF(entities[[#This Row],[Custom Attributes]]&lt;2,"",
IF(entities[[#This Row],[1]]=5-1,5,
MATCH(FALSE, ISBLANK(OFFSET(entities[[#This Row],[hidden]],0,entities[[#This Row],[1]],1,5-entities[[#This Row],[1]])), 0)+entities[[#This Row],[1]]))</f>
        <v/>
      </c>
      <c r="N34" s="6" t="str">
        <f t="array" aca="1" ref="N34" ca="1">IF(entities[[#This Row],[Custom Attributes]]&lt;3,"",
IF(entities[[#This Row],[2]]=5-1,5,
MATCH(FALSE, ISBLANK(OFFSET(entities[[#This Row],[hidden]],0,entities[[#This Row],[2]],1,5-entities[[#This Row],[2]])), 0)+entities[[#This Row],[2]]))</f>
        <v/>
      </c>
      <c r="O34" s="6" t="str">
        <f t="array" aca="1" ref="O34" ca="1">IF(entities[[#This Row],[Custom Attributes]]&lt;4,"",
IF(entities[[#This Row],[3]]=5-1,5,
MATCH(FALSE, ISBLANK(OFFSET(entities[[#This Row],[hidden]],0,entities[[#This Row],[3]],1,5-entities[[#This Row],[3]])), 0)+entities[[#This Row],[3]]))</f>
        <v/>
      </c>
      <c r="P34" s="14" t="str">
        <f ca="1">IF(entities[[#This Row],[1]]="","",
VLOOKUP(entities[[#This Row],[1]],Lookup!$B$5:$D$9,3,FALSE)  &amp;  INDEX(entities[[#This Row],[hidden]:[icon]],entities[[#This Row],[1]])
)</f>
        <v xml:space="preserve">  hidden: true</v>
      </c>
      <c r="Q34" s="6" t="str">
        <f ca="1">IF(entities[[#This Row],[2]]="","",
VLOOKUP(entities[[#This Row],[2]],Lookup!$B$5:$D$9,3,FALSE)  &amp;  INDEX(entities[[#This Row],[hidden]:[icon]],entities[[#This Row],[2]])
)</f>
        <v/>
      </c>
      <c r="R34" s="6" t="str">
        <f ca="1">IF(entities[[#This Row],[3]]="","",
VLOOKUP(entities[[#This Row],[3]],Lookup!$B$5:$D$9,3,FALSE)  &amp;  INDEX(entities[[#This Row],[hidden]:[icon]],entities[[#This Row],[3]])
)</f>
        <v/>
      </c>
      <c r="S34" s="6" t="str">
        <f ca="1">IF(entities[[#This Row],[4]]="","",
VLOOKUP(entities[[#This Row],[4]],Lookup!$B$5:$D$9,3,FALSE)  &amp;  INDEX(entities[[#This Row],[hidden]:[icon]],entities[[#This Row],[4]])
)</f>
        <v/>
      </c>
      <c r="T34" t="str">
        <f t="array" ref="T34">IFERROR(INDEX(cards[object_id],SMALL(IF(cards[[1]:[25]]=entities[[#This Row],[entity_id]],ROW(cards[])-7,99^99),1)),"")</f>
        <v>automation_statvac</v>
      </c>
      <c r="U34" t="str">
        <f>IF(entities[[#This Row],[In HA?]]&lt;&gt;"ok",  "Not in Home Assistant",
IF(entities[[#This Row],[hidden]]="true",  "Hidden",
IF(entities[[#This Row],[Card]]&lt;&gt;"",
INDEX(cards[name],MATCH(entities[[#This Row],[Card]],cards[object_id],0)),  "Badge / automatic card")))</f>
        <v>Hidden</v>
      </c>
      <c r="V34" t="str">
        <f>IF(entities[[#This Row],[Card]]&lt;&gt;"","group."&amp;entities[[#This Row],[Card]],"")</f>
        <v>group.automation_statvac</v>
      </c>
      <c r="W34" t="str">
        <f t="array" ref="W34">IFERROR(IF(entities[[#This Row],[Assigned Card]]="","",INDEX(views[object_id],SMALL(IF(views[[1]:[25]]=entities[[#This Row],[Assigned Card]],ROW(views[])-7,99^99),1))),"")</f>
        <v/>
      </c>
      <c r="X34" t="str">
        <f t="array" ref="X34">IFERROR(INDEX(views[object_id],SMALL(IF(views[[1]:[25]]=entities[[#This Row],[entity_id]],ROW(views[])-7,99^99),1)),"")</f>
        <v/>
      </c>
      <c r="Y34" t="str">
        <f>IF(entities[[#This Row],[View from card]]&lt;&gt;"",entities[[#This Row],[View from card]],entities[[#This Row],[View from entitiy]])</f>
        <v/>
      </c>
      <c r="Z34" t="str">
        <f>IF(entities[[#This Row],[In HA?]]&lt;&gt;"ok",  "Not in Home Assistant",
IF(entities[[#This Row],[hidden]]="true",  "Hidden",
IF(entities[[#This Row],[View]]&lt;&gt;"",
INDEX(views[name],MATCH(entities[[#This Row],[View]],views[object_id],0)),  "Default view")))</f>
        <v>Hidden</v>
      </c>
      <c r="AA34" t="str">
        <f>IF(entities[[#This Row],[View]]&lt;&gt;"","group."&amp;entities[[#This Row],[View]],"")</f>
        <v/>
      </c>
      <c r="AB34" s="6" t="str">
        <f>IF(COUNTIF(Table4[Entity],entities[[#This Row],[entity_id]]),"ok","Missing from States tab")</f>
        <v>ok</v>
      </c>
      <c r="AF34"/>
    </row>
    <row r="35" spans="2:32" x14ac:dyDescent="0.45">
      <c r="B35" t="s">
        <v>52</v>
      </c>
      <c r="C35" t="s">
        <v>402</v>
      </c>
      <c r="D35" s="4" t="s">
        <v>294</v>
      </c>
      <c r="F35" s="11"/>
      <c r="I35" s="6" t="str">
        <f>entities[[#This Row],[domain]]&amp;"."&amp;entities[[#This Row],[object_id]]</f>
        <v>automation.statvac_vacation_mode_on_when_gone_24_hours</v>
      </c>
      <c r="J35" s="6">
        <f>5-COUNTBLANK(entities[[#This Row],[hidden]:[icon]])</f>
        <v>1</v>
      </c>
      <c r="K35" s="6">
        <f>IF(entities[[#This Row],[Custom Attributes]]=0,"",
COUNTIFS(entities[Custom Attributes],"&gt;0",entities[entity_id],"&lt;="&amp;entities[[#This Row],[entity_id]]))</f>
        <v>24</v>
      </c>
      <c r="L35" s="6">
        <f t="array" aca="1" ref="L35" ca="1">IF(entities[[#This Row],[Custom Attributes]]&lt;1,"",
MATCH(FALSE, ISBLANK(OFFSET(entities[[#This Row],[hidden]],0,0,1,5)), 0))</f>
        <v>1</v>
      </c>
      <c r="M35" s="6" t="str">
        <f t="array" aca="1" ref="M35" ca="1">IF(entities[[#This Row],[Custom Attributes]]&lt;2,"",
IF(entities[[#This Row],[1]]=5-1,5,
MATCH(FALSE, ISBLANK(OFFSET(entities[[#This Row],[hidden]],0,entities[[#This Row],[1]],1,5-entities[[#This Row],[1]])), 0)+entities[[#This Row],[1]]))</f>
        <v/>
      </c>
      <c r="N35" s="6" t="str">
        <f t="array" aca="1" ref="N35" ca="1">IF(entities[[#This Row],[Custom Attributes]]&lt;3,"",
IF(entities[[#This Row],[2]]=5-1,5,
MATCH(FALSE, ISBLANK(OFFSET(entities[[#This Row],[hidden]],0,entities[[#This Row],[2]],1,5-entities[[#This Row],[2]])), 0)+entities[[#This Row],[2]]))</f>
        <v/>
      </c>
      <c r="O35" s="6" t="str">
        <f t="array" aca="1" ref="O35" ca="1">IF(entities[[#This Row],[Custom Attributes]]&lt;4,"",
IF(entities[[#This Row],[3]]=5-1,5,
MATCH(FALSE, ISBLANK(OFFSET(entities[[#This Row],[hidden]],0,entities[[#This Row],[3]],1,5-entities[[#This Row],[3]])), 0)+entities[[#This Row],[3]]))</f>
        <v/>
      </c>
      <c r="P35" s="14" t="str">
        <f ca="1">IF(entities[[#This Row],[1]]="","",
VLOOKUP(entities[[#This Row],[1]],Lookup!$B$5:$D$9,3,FALSE)  &amp;  INDEX(entities[[#This Row],[hidden]:[icon]],entities[[#This Row],[1]])
)</f>
        <v xml:space="preserve">  hidden: true</v>
      </c>
      <c r="Q35" s="6" t="str">
        <f ca="1">IF(entities[[#This Row],[2]]="","",
VLOOKUP(entities[[#This Row],[2]],Lookup!$B$5:$D$9,3,FALSE)  &amp;  INDEX(entities[[#This Row],[hidden]:[icon]],entities[[#This Row],[2]])
)</f>
        <v/>
      </c>
      <c r="R35" s="6" t="str">
        <f ca="1">IF(entities[[#This Row],[3]]="","",
VLOOKUP(entities[[#This Row],[3]],Lookup!$B$5:$D$9,3,FALSE)  &amp;  INDEX(entities[[#This Row],[hidden]:[icon]],entities[[#This Row],[3]])
)</f>
        <v/>
      </c>
      <c r="S35" s="6" t="str">
        <f ca="1">IF(entities[[#This Row],[4]]="","",
VLOOKUP(entities[[#This Row],[4]],Lookup!$B$5:$D$9,3,FALSE)  &amp;  INDEX(entities[[#This Row],[hidden]:[icon]],entities[[#This Row],[4]])
)</f>
        <v/>
      </c>
      <c r="T35" t="str">
        <f t="array" ref="T35">IFERROR(INDEX(cards[object_id],SMALL(IF(cards[[1]:[25]]=entities[[#This Row],[entity_id]],ROW(cards[])-7,99^99),1)),"")</f>
        <v>automation_statvac</v>
      </c>
      <c r="U35" t="str">
        <f>IF(entities[[#This Row],[In HA?]]&lt;&gt;"ok",  "Not in Home Assistant",
IF(entities[[#This Row],[hidden]]="true",  "Hidden",
IF(entities[[#This Row],[Card]]&lt;&gt;"",
INDEX(cards[name],MATCH(entities[[#This Row],[Card]],cards[object_id],0)),  "Badge / automatic card")))</f>
        <v>Hidden</v>
      </c>
      <c r="V35" t="str">
        <f>IF(entities[[#This Row],[Card]]&lt;&gt;"","group."&amp;entities[[#This Row],[Card]],"")</f>
        <v>group.automation_statvac</v>
      </c>
      <c r="W35" t="str">
        <f t="array" ref="W35">IFERROR(IF(entities[[#This Row],[Assigned Card]]="","",INDEX(views[object_id],SMALL(IF(views[[1]:[25]]=entities[[#This Row],[Assigned Card]],ROW(views[])-7,99^99),1))),"")</f>
        <v/>
      </c>
      <c r="X35" t="str">
        <f t="array" ref="X35">IFERROR(INDEX(views[object_id],SMALL(IF(views[[1]:[25]]=entities[[#This Row],[entity_id]],ROW(views[])-7,99^99),1)),"")</f>
        <v/>
      </c>
      <c r="Y35" t="str">
        <f>IF(entities[[#This Row],[View from card]]&lt;&gt;"",entities[[#This Row],[View from card]],entities[[#This Row],[View from entitiy]])</f>
        <v/>
      </c>
      <c r="Z35" t="str">
        <f>IF(entities[[#This Row],[In HA?]]&lt;&gt;"ok",  "Not in Home Assistant",
IF(entities[[#This Row],[hidden]]="true",  "Hidden",
IF(entities[[#This Row],[View]]&lt;&gt;"",
INDEX(views[name],MATCH(entities[[#This Row],[View]],views[object_id],0)),  "Default view")))</f>
        <v>Hidden</v>
      </c>
      <c r="AA35" t="str">
        <f>IF(entities[[#This Row],[View]]&lt;&gt;"","group."&amp;entities[[#This Row],[View]],"")</f>
        <v/>
      </c>
      <c r="AB35" s="6" t="str">
        <f>IF(COUNTIF(Table4[Entity],entities[[#This Row],[entity_id]]),"ok","Missing from States tab")</f>
        <v>ok</v>
      </c>
      <c r="AF35"/>
    </row>
    <row r="36" spans="2:32" x14ac:dyDescent="0.45">
      <c r="B36" t="s">
        <v>209</v>
      </c>
      <c r="C36" t="s">
        <v>819</v>
      </c>
      <c r="D36" s="4" t="s">
        <v>294</v>
      </c>
      <c r="I36" t="str">
        <f>entities[[#This Row],[domain]]&amp;"."&amp;entities[[#This Row],[object_id]]</f>
        <v>binary_sensor.humvee_monitor_status</v>
      </c>
      <c r="J36">
        <f>5-COUNTBLANK(entities[[#This Row],[hidden]:[icon]])</f>
        <v>1</v>
      </c>
      <c r="K36">
        <f>IF(entities[[#This Row],[Custom Attributes]]=0,"",
COUNTIFS(entities[Custom Attributes],"&gt;0",entities[entity_id],"&lt;="&amp;entities[[#This Row],[entity_id]]))</f>
        <v>25</v>
      </c>
      <c r="L36" s="6">
        <f t="array" aca="1" ref="L36" ca="1">IF(entities[[#This Row],[Custom Attributes]]&lt;1,"",
MATCH(FALSE, ISBLANK(OFFSET(entities[[#This Row],[hidden]],0,0,1,5)), 0))</f>
        <v>1</v>
      </c>
      <c r="M36" s="6" t="str">
        <f t="array" aca="1" ref="M36" ca="1">IF(entities[[#This Row],[Custom Attributes]]&lt;2,"",
IF(entities[[#This Row],[1]]=5-1,5,
MATCH(FALSE, ISBLANK(OFFSET(entities[[#This Row],[hidden]],0,entities[[#This Row],[1]],1,5-entities[[#This Row],[1]])), 0)+entities[[#This Row],[1]]))</f>
        <v/>
      </c>
      <c r="N36" s="6" t="str">
        <f t="array" aca="1" ref="N36" ca="1">IF(entities[[#This Row],[Custom Attributes]]&lt;3,"",
IF(entities[[#This Row],[2]]=5-1,5,
MATCH(FALSE, ISBLANK(OFFSET(entities[[#This Row],[hidden]],0,entities[[#This Row],[2]],1,5-entities[[#This Row],[2]])), 0)+entities[[#This Row],[2]]))</f>
        <v/>
      </c>
      <c r="O36" s="6" t="str">
        <f t="array" aca="1" ref="O36" ca="1">IF(entities[[#This Row],[Custom Attributes]]&lt;4,"",
IF(entities[[#This Row],[3]]=5-1,5,
MATCH(FALSE, ISBLANK(OFFSET(entities[[#This Row],[hidden]],0,entities[[#This Row],[3]],1,5-entities[[#This Row],[3]])), 0)+entities[[#This Row],[3]]))</f>
        <v/>
      </c>
      <c r="P36" s="14" t="str">
        <f ca="1">IF(entities[[#This Row],[1]]="","",
VLOOKUP(entities[[#This Row],[1]],Lookup!$B$5:$D$9,3,FALSE)  &amp;  INDEX(entities[[#This Row],[hidden]:[icon]],entities[[#This Row],[1]])
)</f>
        <v xml:space="preserve">  hidden: true</v>
      </c>
      <c r="Q36" s="6" t="str">
        <f ca="1">IF(entities[[#This Row],[2]]="","",
VLOOKUP(entities[[#This Row],[2]],Lookup!$B$5:$D$9,3,FALSE)  &amp;  INDEX(entities[[#This Row],[hidden]:[icon]],entities[[#This Row],[2]])
)</f>
        <v/>
      </c>
      <c r="R36" s="6" t="str">
        <f ca="1">IF(entities[[#This Row],[3]]="","",
VLOOKUP(entities[[#This Row],[3]],Lookup!$B$5:$D$9,3,FALSE)  &amp;  INDEX(entities[[#This Row],[hidden]:[icon]],entities[[#This Row],[3]])
)</f>
        <v/>
      </c>
      <c r="S36" s="6" t="str">
        <f ca="1">IF(entities[[#This Row],[4]]="","",
VLOOKUP(entities[[#This Row],[4]],Lookup!$B$5:$D$9,3,FALSE)  &amp;  INDEX(entities[[#This Row],[hidden]:[icon]],entities[[#This Row],[4]])
)</f>
        <v/>
      </c>
      <c r="T36" t="str">
        <f t="array" ref="T36">IFERROR(INDEX(cards[object_id],SMALL(IF(cards[[1]:[25]]=entities[[#This Row],[entity_id]],ROW(cards[])-7,99^99),1)),"")</f>
        <v/>
      </c>
      <c r="U36" t="str">
        <f>IF(entities[[#This Row],[In HA?]]&lt;&gt;"ok",  "Not in Home Assistant",
IF(entities[[#This Row],[hidden]]="true",  "Hidden",
IF(entities[[#This Row],[Card]]&lt;&gt;"",
INDEX(cards[name],MATCH(entities[[#This Row],[Card]],cards[object_id],0)),  "Badge / automatic card")))</f>
        <v>Hidden</v>
      </c>
      <c r="V36" t="str">
        <f>IF(entities[[#This Row],[Card]]&lt;&gt;"","group."&amp;entities[[#This Row],[Card]],"")</f>
        <v/>
      </c>
      <c r="W36" t="str">
        <f t="array" ref="W36">IFERROR(IF(entities[[#This Row],[Assigned Card]]="","",INDEX(views[object_id],SMALL(IF(views[[1]:[25]]=entities[[#This Row],[Assigned Card]],ROW(views[])-7,99^99),1))),"")</f>
        <v/>
      </c>
      <c r="X36" t="str">
        <f t="array" ref="X36">IFERROR(INDEX(views[object_id],SMALL(IF(views[[1]:[25]]=entities[[#This Row],[entity_id]],ROW(views[])-7,99^99),1)),"")</f>
        <v/>
      </c>
      <c r="Y36" t="str">
        <f>IF(entities[[#This Row],[View from card]]&lt;&gt;"",entities[[#This Row],[View from card]],entities[[#This Row],[View from entitiy]])</f>
        <v/>
      </c>
      <c r="Z36" t="str">
        <f>IF(entities[[#This Row],[In HA?]]&lt;&gt;"ok",  "Not in Home Assistant",
IF(entities[[#This Row],[hidden]]="true",  "Hidden",
IF(entities[[#This Row],[View]]&lt;&gt;"",
INDEX(views[name],MATCH(entities[[#This Row],[View]],views[object_id],0)),  "Default view")))</f>
        <v>Hidden</v>
      </c>
      <c r="AA36" t="str">
        <f>IF(entities[[#This Row],[View]]&lt;&gt;"","group."&amp;entities[[#This Row],[View]],"")</f>
        <v/>
      </c>
      <c r="AB36" s="6" t="str">
        <f>IF(COUNTIF(Table4[Entity],entities[[#This Row],[entity_id]]),"ok","Missing from States tab")</f>
        <v>ok</v>
      </c>
      <c r="AF36"/>
    </row>
    <row r="37" spans="2:32" x14ac:dyDescent="0.45">
      <c r="B37" t="s">
        <v>209</v>
      </c>
      <c r="C37" t="s">
        <v>788</v>
      </c>
      <c r="E37" t="s">
        <v>295</v>
      </c>
      <c r="H37" t="s">
        <v>296</v>
      </c>
      <c r="I37" t="str">
        <f>entities[[#This Row],[domain]]&amp;"."&amp;entities[[#This Row],[object_id]]</f>
        <v>binary_sensor.multi_sensor_4</v>
      </c>
      <c r="J37">
        <f>5-COUNTBLANK(entities[[#This Row],[hidden]:[icon]])</f>
        <v>2</v>
      </c>
      <c r="K37">
        <f>IF(entities[[#This Row],[Custom Attributes]]=0,"",
COUNTIFS(entities[Custom Attributes],"&gt;0",entities[entity_id],"&lt;="&amp;entities[[#This Row],[entity_id]]))</f>
        <v>26</v>
      </c>
      <c r="L37" s="6">
        <f t="array" aca="1" ref="L37" ca="1">IF(entities[[#This Row],[Custom Attributes]]&lt;1,"",
MATCH(FALSE, ISBLANK(OFFSET(entities[[#This Row],[hidden]],0,0,1,5)), 0))</f>
        <v>2</v>
      </c>
      <c r="M37" s="6">
        <f t="array" aca="1" ref="M37" ca="1">IF(entities[[#This Row],[Custom Attributes]]&lt;2,"",
IF(entities[[#This Row],[1]]=5-1,5,
MATCH(FALSE, ISBLANK(OFFSET(entities[[#This Row],[hidden]],0,entities[[#This Row],[1]],1,5-entities[[#This Row],[1]])), 0)+entities[[#This Row],[1]]))</f>
        <v>5</v>
      </c>
      <c r="N37" s="6" t="str">
        <f t="array" aca="1" ref="N37" ca="1">IF(entities[[#This Row],[Custom Attributes]]&lt;3,"",
IF(entities[[#This Row],[2]]=5-1,5,
MATCH(FALSE, ISBLANK(OFFSET(entities[[#This Row],[hidden]],0,entities[[#This Row],[2]],1,5-entities[[#This Row],[2]])), 0)+entities[[#This Row],[2]]))</f>
        <v/>
      </c>
      <c r="O37" s="6" t="str">
        <f t="array" aca="1" ref="O37" ca="1">IF(entities[[#This Row],[Custom Attributes]]&lt;4,"",
IF(entities[[#This Row],[3]]=5-1,5,
MATCH(FALSE, ISBLANK(OFFSET(entities[[#This Row],[hidden]],0,entities[[#This Row],[3]],1,5-entities[[#This Row],[3]])), 0)+entities[[#This Row],[3]]))</f>
        <v/>
      </c>
      <c r="P37" s="14" t="str">
        <f ca="1">IF(entities[[#This Row],[1]]="","",
VLOOKUP(entities[[#This Row],[1]],Lookup!$B$5:$D$9,3,FALSE)  &amp;  INDEX(entities[[#This Row],[hidden]:[icon]],entities[[#This Row],[1]])
)</f>
        <v xml:space="preserve">  friendly_name: Motion</v>
      </c>
      <c r="Q37" s="6" t="str">
        <f ca="1">IF(entities[[#This Row],[2]]="","",
VLOOKUP(entities[[#This Row],[2]],Lookup!$B$5:$D$9,3,FALSE)  &amp;  INDEX(entities[[#This Row],[hidden]:[icon]],entities[[#This Row],[2]])
)</f>
        <v xml:space="preserve">  icon: mdi:account-switch</v>
      </c>
      <c r="R37" s="6" t="str">
        <f ca="1">IF(entities[[#This Row],[3]]="","",
VLOOKUP(entities[[#This Row],[3]],Lookup!$B$5:$D$9,3,FALSE)  &amp;  INDEX(entities[[#This Row],[hidden]:[icon]],entities[[#This Row],[3]])
)</f>
        <v/>
      </c>
      <c r="S37" s="6" t="str">
        <f ca="1">IF(entities[[#This Row],[4]]="","",
VLOOKUP(entities[[#This Row],[4]],Lookup!$B$5:$D$9,3,FALSE)  &amp;  INDEX(entities[[#This Row],[hidden]:[icon]],entities[[#This Row],[4]])
)</f>
        <v/>
      </c>
      <c r="T37" t="str">
        <f t="array" ref="T37">IFERROR(INDEX(cards[object_id],SMALL(IF(cards[[1]:[25]]=entities[[#This Row],[entity_id]],ROW(cards[])-7,99^99),1)),"")</f>
        <v>environment_living_room</v>
      </c>
      <c r="U37" t="str">
        <f>IF(entities[[#This Row],[In HA?]]&lt;&gt;"ok",  "Not in Home Assistant",
IF(entities[[#This Row],[hidden]]="true",  "Hidden",
IF(entities[[#This Row],[Card]]&lt;&gt;"",
INDEX(cards[name],MATCH(entities[[#This Row],[Card]],cards[object_id],0)),  "Badge / automatic card")))</f>
        <v>Environment || Living Room</v>
      </c>
      <c r="V37" t="str">
        <f>IF(entities[[#This Row],[Card]]&lt;&gt;"","group."&amp;entities[[#This Row],[Card]],"")</f>
        <v>group.environment_living_room</v>
      </c>
      <c r="W37" t="str">
        <f t="array" ref="W37">IFERROR(IF(entities[[#This Row],[Assigned Card]]="","",INDEX(views[object_id],SMALL(IF(views[[1]:[25]]=entities[[#This Row],[Assigned Card]],ROW(views[])-7,99^99),1))),"")</f>
        <v>environment_view</v>
      </c>
      <c r="X37" t="str">
        <f t="array" ref="X37">IFERROR(INDEX(views[object_id],SMALL(IF(views[[1]:[25]]=entities[[#This Row],[entity_id]],ROW(views[])-7,99^99),1)),"")</f>
        <v/>
      </c>
      <c r="Y37" t="str">
        <f>IF(entities[[#This Row],[View from card]]&lt;&gt;"",entities[[#This Row],[View from card]],entities[[#This Row],[View from entitiy]])</f>
        <v>environment_view</v>
      </c>
      <c r="Z37" t="str">
        <f>IF(entities[[#This Row],[In HA?]]&lt;&gt;"ok",  "Not in Home Assistant",
IF(entities[[#This Row],[hidden]]="true",  "Hidden",
IF(entities[[#This Row],[View]]&lt;&gt;"",
INDEX(views[name],MATCH(entities[[#This Row],[View]],views[object_id],0)),  "Default view")))</f>
        <v>Environment</v>
      </c>
      <c r="AA37" t="str">
        <f>IF(entities[[#This Row],[View]]&lt;&gt;"","group."&amp;entities[[#This Row],[View]],"")</f>
        <v>group.environment_view</v>
      </c>
      <c r="AB37" s="6" t="str">
        <f>IF(COUNTIF(Table4[Entity],entities[[#This Row],[entity_id]]),"ok","Missing from States tab")</f>
        <v>ok</v>
      </c>
      <c r="AF37"/>
    </row>
    <row r="38" spans="2:32" x14ac:dyDescent="0.45">
      <c r="B38" t="s">
        <v>209</v>
      </c>
      <c r="C38" t="s">
        <v>769</v>
      </c>
      <c r="D38" s="4" t="s">
        <v>294</v>
      </c>
      <c r="I38" s="6" t="str">
        <f>entities[[#This Row],[domain]]&amp;"."&amp;entities[[#This Row],[object_id]]</f>
        <v>binary_sensor.tv_status</v>
      </c>
      <c r="J38" s="6">
        <f>5-COUNTBLANK(entities[[#This Row],[hidden]:[icon]])</f>
        <v>1</v>
      </c>
      <c r="K38" s="6">
        <f>IF(entities[[#This Row],[Custom Attributes]]=0,"",
COUNTIFS(entities[Custom Attributes],"&gt;0",entities[entity_id],"&lt;="&amp;entities[[#This Row],[entity_id]]))</f>
        <v>27</v>
      </c>
      <c r="L38" s="6">
        <f t="array" aca="1" ref="L38" ca="1">IF(entities[[#This Row],[Custom Attributes]]&lt;1,"",
MATCH(FALSE, ISBLANK(OFFSET(entities[[#This Row],[hidden]],0,0,1,5)), 0))</f>
        <v>1</v>
      </c>
      <c r="M38" s="6" t="str">
        <f t="array" aca="1" ref="M38" ca="1">IF(entities[[#This Row],[Custom Attributes]]&lt;2,"",
IF(entities[[#This Row],[1]]=5-1,5,
MATCH(FALSE, ISBLANK(OFFSET(entities[[#This Row],[hidden]],0,entities[[#This Row],[1]],1,5-entities[[#This Row],[1]])), 0)+entities[[#This Row],[1]]))</f>
        <v/>
      </c>
      <c r="N38" s="6" t="str">
        <f t="array" aca="1" ref="N38" ca="1">IF(entities[[#This Row],[Custom Attributes]]&lt;3,"",
IF(entities[[#This Row],[2]]=5-1,5,
MATCH(FALSE, ISBLANK(OFFSET(entities[[#This Row],[hidden]],0,entities[[#This Row],[2]],1,5-entities[[#This Row],[2]])), 0)+entities[[#This Row],[2]]))</f>
        <v/>
      </c>
      <c r="O38" s="6" t="str">
        <f t="array" aca="1" ref="O38" ca="1">IF(entities[[#This Row],[Custom Attributes]]&lt;4,"",
IF(entities[[#This Row],[3]]=5-1,5,
MATCH(FALSE, ISBLANK(OFFSET(entities[[#This Row],[hidden]],0,entities[[#This Row],[3]],1,5-entities[[#This Row],[3]])), 0)+entities[[#This Row],[3]]))</f>
        <v/>
      </c>
      <c r="P38" s="14" t="str">
        <f ca="1">IF(entities[[#This Row],[1]]="","",
VLOOKUP(entities[[#This Row],[1]],Lookup!$B$5:$D$9,3,FALSE)  &amp;  INDEX(entities[[#This Row],[hidden]:[icon]],entities[[#This Row],[1]])
)</f>
        <v xml:space="preserve">  hidden: true</v>
      </c>
      <c r="Q38" s="6" t="str">
        <f ca="1">IF(entities[[#This Row],[2]]="","",
VLOOKUP(entities[[#This Row],[2]],Lookup!$B$5:$D$9,3,FALSE)  &amp;  INDEX(entities[[#This Row],[hidden]:[icon]],entities[[#This Row],[2]])
)</f>
        <v/>
      </c>
      <c r="R38" s="6" t="str">
        <f ca="1">IF(entities[[#This Row],[3]]="","",
VLOOKUP(entities[[#This Row],[3]],Lookup!$B$5:$D$9,3,FALSE)  &amp;  INDEX(entities[[#This Row],[hidden]:[icon]],entities[[#This Row],[3]])
)</f>
        <v/>
      </c>
      <c r="S38" s="6" t="str">
        <f ca="1">IF(entities[[#This Row],[4]]="","",
VLOOKUP(entities[[#This Row],[4]],Lookup!$B$5:$D$9,3,FALSE)  &amp;  INDEX(entities[[#This Row],[hidden]:[icon]],entities[[#This Row],[4]])
)</f>
        <v/>
      </c>
      <c r="T38" s="6" t="str">
        <f t="array" ref="T38">IFERROR(INDEX(cards[object_id],SMALL(IF(cards[[1]:[25]]=entities[[#This Row],[entity_id]],ROW(cards[])-7,99^99),1)),"")</f>
        <v/>
      </c>
      <c r="U38" s="6" t="str">
        <f>IF(entities[[#This Row],[In HA?]]&lt;&gt;"ok",  "Not in Home Assistant",
IF(entities[[#This Row],[hidden]]="true",  "Hidden",
IF(entities[[#This Row],[Card]]&lt;&gt;"",
INDEX(cards[name],MATCH(entities[[#This Row],[Card]],cards[object_id],0)),  "Badge / automatic card")))</f>
        <v>Hidden</v>
      </c>
      <c r="V38" s="6" t="str">
        <f>IF(entities[[#This Row],[Card]]&lt;&gt;"","group."&amp;entities[[#This Row],[Card]],"")</f>
        <v/>
      </c>
      <c r="W38" s="6" t="str">
        <f t="array" ref="W38">IFERROR(IF(entities[[#This Row],[Assigned Card]]="","",INDEX(views[object_id],SMALL(IF(views[[1]:[25]]=entities[[#This Row],[Assigned Card]],ROW(views[])-7,99^99),1))),"")</f>
        <v/>
      </c>
      <c r="X38" s="6" t="str">
        <f t="array" ref="X38">IFERROR(INDEX(views[object_id],SMALL(IF(views[[1]:[25]]=entities[[#This Row],[entity_id]],ROW(views[])-7,99^99),1)),"")</f>
        <v/>
      </c>
      <c r="Y38" s="6" t="str">
        <f>IF(entities[[#This Row],[View from card]]&lt;&gt;"",entities[[#This Row],[View from card]],entities[[#This Row],[View from entitiy]])</f>
        <v/>
      </c>
      <c r="Z38" s="6" t="str">
        <f>IF(entities[[#This Row],[In HA?]]&lt;&gt;"ok",  "Not in Home Assistant",
IF(entities[[#This Row],[hidden]]="true",  "Hidden",
IF(entities[[#This Row],[View]]&lt;&gt;"",
INDEX(views[name],MATCH(entities[[#This Row],[View]],views[object_id],0)),  "Default view")))</f>
        <v>Hidden</v>
      </c>
      <c r="AA38" s="6" t="str">
        <f>IF(entities[[#This Row],[View]]&lt;&gt;"","group."&amp;entities[[#This Row],[View]],"")</f>
        <v/>
      </c>
      <c r="AB38" s="6" t="str">
        <f>IF(COUNTIF(Table4[Entity],entities[[#This Row],[entity_id]]),"ok","Missing from States tab")</f>
        <v>ok</v>
      </c>
      <c r="AF38"/>
    </row>
    <row r="39" spans="2:32" x14ac:dyDescent="0.45">
      <c r="B39" t="s">
        <v>210</v>
      </c>
      <c r="C39" t="s">
        <v>754</v>
      </c>
      <c r="H39" t="s">
        <v>309</v>
      </c>
      <c r="I39" t="str">
        <f>entities[[#This Row],[domain]]&amp;"."&amp;entities[[#This Row],[object_id]]</f>
        <v>device_tracker.bazooka</v>
      </c>
      <c r="J39">
        <f>5-COUNTBLANK(entities[[#This Row],[hidden]:[icon]])</f>
        <v>1</v>
      </c>
      <c r="K39">
        <f>IF(entities[[#This Row],[Custom Attributes]]=0,"",
COUNTIFS(entities[Custom Attributes],"&gt;0",entities[entity_id],"&lt;="&amp;entities[[#This Row],[entity_id]]))</f>
        <v>28</v>
      </c>
      <c r="L39" s="6">
        <f t="array" aca="1" ref="L39" ca="1">IF(entities[[#This Row],[Custom Attributes]]&lt;1,"",
MATCH(FALSE, ISBLANK(OFFSET(entities[[#This Row],[hidden]],0,0,1,5)), 0))</f>
        <v>5</v>
      </c>
      <c r="M39" s="6" t="str">
        <f t="array" aca="1" ref="M39" ca="1">IF(entities[[#This Row],[Custom Attributes]]&lt;2,"",
IF(entities[[#This Row],[1]]=5-1,5,
MATCH(FALSE, ISBLANK(OFFSET(entities[[#This Row],[hidden]],0,entities[[#This Row],[1]],1,5-entities[[#This Row],[1]])), 0)+entities[[#This Row],[1]]))</f>
        <v/>
      </c>
      <c r="N39" s="6" t="str">
        <f t="array" aca="1" ref="N39" ca="1">IF(entities[[#This Row],[Custom Attributes]]&lt;3,"",
IF(entities[[#This Row],[2]]=5-1,5,
MATCH(FALSE, ISBLANK(OFFSET(entities[[#This Row],[hidden]],0,entities[[#This Row],[2]],1,5-entities[[#This Row],[2]])), 0)+entities[[#This Row],[2]]))</f>
        <v/>
      </c>
      <c r="O39" s="6" t="str">
        <f t="array" aca="1" ref="O39" ca="1">IF(entities[[#This Row],[Custom Attributes]]&lt;4,"",
IF(entities[[#This Row],[3]]=5-1,5,
MATCH(FALSE, ISBLANK(OFFSET(entities[[#This Row],[hidden]],0,entities[[#This Row],[3]],1,5-entities[[#This Row],[3]])), 0)+entities[[#This Row],[3]]))</f>
        <v/>
      </c>
      <c r="P39" s="14" t="str">
        <f ca="1">IF(entities[[#This Row],[1]]="","",
VLOOKUP(entities[[#This Row],[1]],Lookup!$B$5:$D$9,3,FALSE)  &amp;  INDEX(entities[[#This Row],[hidden]:[icon]],entities[[#This Row],[1]])
)</f>
        <v xml:space="preserve">  icon: mdi:tablet-android</v>
      </c>
      <c r="Q39" s="6" t="str">
        <f ca="1">IF(entities[[#This Row],[2]]="","",
VLOOKUP(entities[[#This Row],[2]],Lookup!$B$5:$D$9,3,FALSE)  &amp;  INDEX(entities[[#This Row],[hidden]:[icon]],entities[[#This Row],[2]])
)</f>
        <v/>
      </c>
      <c r="R39" s="6" t="str">
        <f ca="1">IF(entities[[#This Row],[3]]="","",
VLOOKUP(entities[[#This Row],[3]],Lookup!$B$5:$D$9,3,FALSE)  &amp;  INDEX(entities[[#This Row],[hidden]:[icon]],entities[[#This Row],[3]])
)</f>
        <v/>
      </c>
      <c r="S39" s="6" t="str">
        <f ca="1">IF(entities[[#This Row],[4]]="","",
VLOOKUP(entities[[#This Row],[4]],Lookup!$B$5:$D$9,3,FALSE)  &amp;  INDEX(entities[[#This Row],[hidden]:[icon]],entities[[#This Row],[4]])
)</f>
        <v/>
      </c>
      <c r="T39" t="str">
        <f t="array" ref="T39">IFERROR(INDEX(cards[object_id],SMALL(IF(cards[[1]:[25]]=entities[[#This Row],[entity_id]],ROW(cards[])-7,99^99),1)),"")</f>
        <v>personal_devices</v>
      </c>
      <c r="U39" t="str">
        <f>IF(entities[[#This Row],[In HA?]]&lt;&gt;"ok",  "Not in Home Assistant",
IF(entities[[#This Row],[hidden]]="true",  "Hidden",
IF(entities[[#This Row],[Card]]&lt;&gt;"",
INDEX(cards[name],MATCH(entities[[#This Row],[Card]],cards[object_id],0)),  "Badge / automatic card")))</f>
        <v>LAN || Computers</v>
      </c>
      <c r="V39" t="str">
        <f>IF(entities[[#This Row],[Card]]&lt;&gt;"","group."&amp;entities[[#This Row],[Card]],"")</f>
        <v>group.personal_devices</v>
      </c>
      <c r="W39" t="str">
        <f t="array" ref="W39">IFERROR(IF(entities[[#This Row],[Assigned Card]]="","",INDEX(views[object_id],SMALL(IF(views[[1]:[25]]=entities[[#This Row],[Assigned Card]],ROW(views[])-7,99^99),1))),"")</f>
        <v>network_view</v>
      </c>
      <c r="X39" t="str">
        <f t="array" ref="X39">IFERROR(INDEX(views[object_id],SMALL(IF(views[[1]:[25]]=entities[[#This Row],[entity_id]],ROW(views[])-7,99^99),1)),"")</f>
        <v/>
      </c>
      <c r="Y39" t="str">
        <f>IF(entities[[#This Row],[View from card]]&lt;&gt;"",entities[[#This Row],[View from card]],entities[[#This Row],[View from entitiy]])</f>
        <v>network_view</v>
      </c>
      <c r="Z39" t="str">
        <f>IF(entities[[#This Row],[In HA?]]&lt;&gt;"ok",  "Not in Home Assistant",
IF(entities[[#This Row],[hidden]]="true",  "Hidden",
IF(entities[[#This Row],[View]]&lt;&gt;"",
INDEX(views[name],MATCH(entities[[#This Row],[View]],views[object_id],0)),  "Default view")))</f>
        <v>Network</v>
      </c>
      <c r="AA39" t="str">
        <f>IF(entities[[#This Row],[View]]&lt;&gt;"","group."&amp;entities[[#This Row],[View]],"")</f>
        <v>group.network_view</v>
      </c>
      <c r="AB39" s="6" t="str">
        <f>IF(COUNTIF(Table4[Entity],entities[[#This Row],[entity_id]]),"ok","Missing from States tab")</f>
        <v>ok</v>
      </c>
      <c r="AF39"/>
    </row>
    <row r="40" spans="2:32" x14ac:dyDescent="0.45">
      <c r="B40" t="s">
        <v>210</v>
      </c>
      <c r="C40" t="s">
        <v>211</v>
      </c>
      <c r="H40" t="s">
        <v>298</v>
      </c>
      <c r="I40" t="str">
        <f>entities[[#This Row],[domain]]&amp;"."&amp;entities[[#This Row],[object_id]]</f>
        <v>device_tracker.carolyn_phone</v>
      </c>
      <c r="J40">
        <f>5-COUNTBLANK(entities[[#This Row],[hidden]:[icon]])</f>
        <v>1</v>
      </c>
      <c r="K40">
        <f>IF(entities[[#This Row],[Custom Attributes]]=0,"",
COUNTIFS(entities[Custom Attributes],"&gt;0",entities[entity_id],"&lt;="&amp;entities[[#This Row],[entity_id]]))</f>
        <v>29</v>
      </c>
      <c r="L40" s="6">
        <f t="array" aca="1" ref="L40" ca="1">IF(entities[[#This Row],[Custom Attributes]]&lt;1,"",
MATCH(FALSE, ISBLANK(OFFSET(entities[[#This Row],[hidden]],0,0,1,5)), 0))</f>
        <v>5</v>
      </c>
      <c r="M40" s="6" t="str">
        <f t="array" aca="1" ref="M40" ca="1">IF(entities[[#This Row],[Custom Attributes]]&lt;2,"",
IF(entities[[#This Row],[1]]=5-1,5,
MATCH(FALSE, ISBLANK(OFFSET(entities[[#This Row],[hidden]],0,entities[[#This Row],[1]],1,5-entities[[#This Row],[1]])), 0)+entities[[#This Row],[1]]))</f>
        <v/>
      </c>
      <c r="N40" s="6" t="str">
        <f t="array" aca="1" ref="N40" ca="1">IF(entities[[#This Row],[Custom Attributes]]&lt;3,"",
IF(entities[[#This Row],[2]]=5-1,5,
MATCH(FALSE, ISBLANK(OFFSET(entities[[#This Row],[hidden]],0,entities[[#This Row],[2]],1,5-entities[[#This Row],[2]])), 0)+entities[[#This Row],[2]]))</f>
        <v/>
      </c>
      <c r="O40" s="6" t="str">
        <f t="array" aca="1" ref="O40" ca="1">IF(entities[[#This Row],[Custom Attributes]]&lt;4,"",
IF(entities[[#This Row],[3]]=5-1,5,
MATCH(FALSE, ISBLANK(OFFSET(entities[[#This Row],[hidden]],0,entities[[#This Row],[3]],1,5-entities[[#This Row],[3]])), 0)+entities[[#This Row],[3]]))</f>
        <v/>
      </c>
      <c r="P40" s="14" t="str">
        <f ca="1">IF(entities[[#This Row],[1]]="","",
VLOOKUP(entities[[#This Row],[1]],Lookup!$B$5:$D$9,3,FALSE)  &amp;  INDEX(entities[[#This Row],[hidden]:[icon]],entities[[#This Row],[1]])
)</f>
        <v xml:space="preserve">  icon: mdi:cellphone-iphone</v>
      </c>
      <c r="Q40" s="6" t="str">
        <f ca="1">IF(entities[[#This Row],[2]]="","",
VLOOKUP(entities[[#This Row],[2]],Lookup!$B$5:$D$9,3,FALSE)  &amp;  INDEX(entities[[#This Row],[hidden]:[icon]],entities[[#This Row],[2]])
)</f>
        <v/>
      </c>
      <c r="R40" s="6" t="str">
        <f ca="1">IF(entities[[#This Row],[3]]="","",
VLOOKUP(entities[[#This Row],[3]],Lookup!$B$5:$D$9,3,FALSE)  &amp;  INDEX(entities[[#This Row],[hidden]:[icon]],entities[[#This Row],[3]])
)</f>
        <v/>
      </c>
      <c r="S40" s="6" t="str">
        <f ca="1">IF(entities[[#This Row],[4]]="","",
VLOOKUP(entities[[#This Row],[4]],Lookup!$B$5:$D$9,3,FALSE)  &amp;  INDEX(entities[[#This Row],[hidden]:[icon]],entities[[#This Row],[4]])
)</f>
        <v/>
      </c>
      <c r="T40" t="str">
        <f t="array" ref="T40">IFERROR(INDEX(cards[object_id],SMALL(IF(cards[[1]:[25]]=entities[[#This Row],[entity_id]],ROW(cards[])-7,99^99),1)),"")</f>
        <v>phones</v>
      </c>
      <c r="U40" t="str">
        <f>IF(entities[[#This Row],[In HA?]]&lt;&gt;"ok",  "Not in Home Assistant",
IF(entities[[#This Row],[hidden]]="true",  "Hidden",
IF(entities[[#This Row],[Card]]&lt;&gt;"",
INDEX(cards[name],MATCH(entities[[#This Row],[Card]],cards[object_id],0)),  "Badge / automatic card")))</f>
        <v>LAN || Phones</v>
      </c>
      <c r="V40" t="str">
        <f>IF(entities[[#This Row],[Card]]&lt;&gt;"","group."&amp;entities[[#This Row],[Card]],"")</f>
        <v>group.phones</v>
      </c>
      <c r="W40" t="str">
        <f t="array" ref="W40">IFERROR(IF(entities[[#This Row],[Assigned Card]]="","",INDEX(views[object_id],SMALL(IF(views[[1]:[25]]=entities[[#This Row],[Assigned Card]],ROW(views[])-7,99^99),1))),"")</f>
        <v>network_view</v>
      </c>
      <c r="X40" t="str">
        <f t="array" ref="X40">IFERROR(INDEX(views[object_id],SMALL(IF(views[[1]:[25]]=entities[[#This Row],[entity_id]],ROW(views[])-7,99^99),1)),"")</f>
        <v/>
      </c>
      <c r="Y40" t="str">
        <f>IF(entities[[#This Row],[View from card]]&lt;&gt;"",entities[[#This Row],[View from card]],entities[[#This Row],[View from entitiy]])</f>
        <v>network_view</v>
      </c>
      <c r="Z40" t="str">
        <f>IF(entities[[#This Row],[In HA?]]&lt;&gt;"ok",  "Not in Home Assistant",
IF(entities[[#This Row],[hidden]]="true",  "Hidden",
IF(entities[[#This Row],[View]]&lt;&gt;"",
INDEX(views[name],MATCH(entities[[#This Row],[View]],views[object_id],0)),  "Default view")))</f>
        <v>Network</v>
      </c>
      <c r="AA40" t="str">
        <f>IF(entities[[#This Row],[View]]&lt;&gt;"","group."&amp;entities[[#This Row],[View]],"")</f>
        <v>group.network_view</v>
      </c>
      <c r="AB40" s="6" t="str">
        <f>IF(COUNTIF(Table4[Entity],entities[[#This Row],[entity_id]]),"ok","Missing from States tab")</f>
        <v>ok</v>
      </c>
      <c r="AF40"/>
    </row>
    <row r="41" spans="2:32" x14ac:dyDescent="0.45">
      <c r="B41" t="s">
        <v>210</v>
      </c>
      <c r="C41" t="s">
        <v>212</v>
      </c>
      <c r="H41" t="s">
        <v>55</v>
      </c>
      <c r="I41" t="str">
        <f>entities[[#This Row],[domain]]&amp;"."&amp;entities[[#This Row],[object_id]]</f>
        <v>device_tracker.carolyn_smbp</v>
      </c>
      <c r="J41">
        <f>5-COUNTBLANK(entities[[#This Row],[hidden]:[icon]])</f>
        <v>0</v>
      </c>
      <c r="K41" t="str">
        <f>IF(entities[[#This Row],[Custom Attributes]]=0,"",
COUNTIFS(entities[Custom Attributes],"&gt;0",entities[entity_id],"&lt;="&amp;entities[[#This Row],[entity_id]]))</f>
        <v/>
      </c>
      <c r="L41" s="6" t="str">
        <f t="array" aca="1" ref="L41" ca="1">IF(entities[[#This Row],[Custom Attributes]]&lt;1,"",
MATCH(FALSE, ISBLANK(OFFSET(entities[[#This Row],[hidden]],0,0,1,5)), 0))</f>
        <v/>
      </c>
      <c r="M41" s="6" t="str">
        <f t="array" aca="1" ref="M41" ca="1">IF(entities[[#This Row],[Custom Attributes]]&lt;2,"",
IF(entities[[#This Row],[1]]=5-1,5,
MATCH(FALSE, ISBLANK(OFFSET(entities[[#This Row],[hidden]],0,entities[[#This Row],[1]],1,5-entities[[#This Row],[1]])), 0)+entities[[#This Row],[1]]))</f>
        <v/>
      </c>
      <c r="N41" s="6" t="str">
        <f t="array" aca="1" ref="N41" ca="1">IF(entities[[#This Row],[Custom Attributes]]&lt;3,"",
IF(entities[[#This Row],[2]]=5-1,5,
MATCH(FALSE, ISBLANK(OFFSET(entities[[#This Row],[hidden]],0,entities[[#This Row],[2]],1,5-entities[[#This Row],[2]])), 0)+entities[[#This Row],[2]]))</f>
        <v/>
      </c>
      <c r="O41" s="6" t="str">
        <f t="array" aca="1" ref="O41" ca="1">IF(entities[[#This Row],[Custom Attributes]]&lt;4,"",
IF(entities[[#This Row],[3]]=5-1,5,
MATCH(FALSE, ISBLANK(OFFSET(entities[[#This Row],[hidden]],0,entities[[#This Row],[3]],1,5-entities[[#This Row],[3]])), 0)+entities[[#This Row],[3]]))</f>
        <v/>
      </c>
      <c r="P41" s="14" t="str">
        <f ca="1">IF(entities[[#This Row],[1]]="","",
VLOOKUP(entities[[#This Row],[1]],Lookup!$B$5:$D$9,3,FALSE)  &amp;  INDEX(entities[[#This Row],[hidden]:[icon]],entities[[#This Row],[1]])
)</f>
        <v/>
      </c>
      <c r="Q41" s="6" t="str">
        <f ca="1">IF(entities[[#This Row],[2]]="","",
VLOOKUP(entities[[#This Row],[2]],Lookup!$B$5:$D$9,3,FALSE)  &amp;  INDEX(entities[[#This Row],[hidden]:[icon]],entities[[#This Row],[2]])
)</f>
        <v/>
      </c>
      <c r="R41" s="6" t="str">
        <f ca="1">IF(entities[[#This Row],[3]]="","",
VLOOKUP(entities[[#This Row],[3]],Lookup!$B$5:$D$9,3,FALSE)  &amp;  INDEX(entities[[#This Row],[hidden]:[icon]],entities[[#This Row],[3]])
)</f>
        <v/>
      </c>
      <c r="S41" s="6" t="str">
        <f ca="1">IF(entities[[#This Row],[4]]="","",
VLOOKUP(entities[[#This Row],[4]],Lookup!$B$5:$D$9,3,FALSE)  &amp;  INDEX(entities[[#This Row],[hidden]:[icon]],entities[[#This Row],[4]])
)</f>
        <v/>
      </c>
      <c r="T41" t="str">
        <f t="array" ref="T41">IFERROR(INDEX(cards[object_id],SMALL(IF(cards[[1]:[25]]=entities[[#This Row],[entity_id]],ROW(cards[])-7,99^99),1)),"")</f>
        <v/>
      </c>
      <c r="U41" t="str">
        <f>IF(entities[[#This Row],[In HA?]]&lt;&gt;"ok",  "Not in Home Assistant",
IF(entities[[#This Row],[hidden]]="true",  "Hidden",
IF(entities[[#This Row],[Card]]&lt;&gt;"",
INDEX(cards[name],MATCH(entities[[#This Row],[Card]],cards[object_id],0)),  "Badge / automatic card")))</f>
        <v>Badge / automatic card</v>
      </c>
      <c r="V41" t="str">
        <f>IF(entities[[#This Row],[Card]]&lt;&gt;"","group."&amp;entities[[#This Row],[Card]],"")</f>
        <v/>
      </c>
      <c r="W41" t="str">
        <f t="array" ref="W41">IFERROR(IF(entities[[#This Row],[Assigned Card]]="","",INDEX(views[object_id],SMALL(IF(views[[1]:[25]]=entities[[#This Row],[Assigned Card]],ROW(views[])-7,99^99),1))),"")</f>
        <v/>
      </c>
      <c r="X41" t="str">
        <f t="array" ref="X41">IFERROR(INDEX(views[object_id],SMALL(IF(views[[1]:[25]]=entities[[#This Row],[entity_id]],ROW(views[])-7,99^99),1)),"")</f>
        <v/>
      </c>
      <c r="Y41" t="str">
        <f>IF(entities[[#This Row],[View from card]]&lt;&gt;"",entities[[#This Row],[View from card]],entities[[#This Row],[View from entitiy]])</f>
        <v/>
      </c>
      <c r="Z41" t="str">
        <f>IF(entities[[#This Row],[In HA?]]&lt;&gt;"ok",  "Not in Home Assistant",
IF(entities[[#This Row],[hidden]]="true",  "Hidden",
IF(entities[[#This Row],[View]]&lt;&gt;"",
INDEX(views[name],MATCH(entities[[#This Row],[View]],views[object_id],0)),  "Default view")))</f>
        <v>Default view</v>
      </c>
      <c r="AA41" t="str">
        <f>IF(entities[[#This Row],[View]]&lt;&gt;"","group."&amp;entities[[#This Row],[View]],"")</f>
        <v/>
      </c>
      <c r="AB41" s="6" t="str">
        <f>IF(COUNTIF(Table4[Entity],entities[[#This Row],[entity_id]]),"ok","Missing from States tab")</f>
        <v>ok</v>
      </c>
      <c r="AF41"/>
    </row>
    <row r="42" spans="2:32" x14ac:dyDescent="0.45">
      <c r="B42" t="s">
        <v>210</v>
      </c>
      <c r="C42" t="s">
        <v>213</v>
      </c>
      <c r="H42" t="s">
        <v>299</v>
      </c>
      <c r="I42" t="str">
        <f>entities[[#This Row],[domain]]&amp;"."&amp;entities[[#This Row],[object_id]]</f>
        <v>device_tracker.carolyn_tablet</v>
      </c>
      <c r="J42">
        <f>5-COUNTBLANK(entities[[#This Row],[hidden]:[icon]])</f>
        <v>1</v>
      </c>
      <c r="K42">
        <f>IF(entities[[#This Row],[Custom Attributes]]=0,"",
COUNTIFS(entities[Custom Attributes],"&gt;0",entities[entity_id],"&lt;="&amp;entities[[#This Row],[entity_id]]))</f>
        <v>30</v>
      </c>
      <c r="L42" s="6">
        <f t="array" aca="1" ref="L42" ca="1">IF(entities[[#This Row],[Custom Attributes]]&lt;1,"",
MATCH(FALSE, ISBLANK(OFFSET(entities[[#This Row],[hidden]],0,0,1,5)), 0))</f>
        <v>5</v>
      </c>
      <c r="M42" s="6" t="str">
        <f t="array" aca="1" ref="M42" ca="1">IF(entities[[#This Row],[Custom Attributes]]&lt;2,"",
IF(entities[[#This Row],[1]]=5-1,5,
MATCH(FALSE, ISBLANK(OFFSET(entities[[#This Row],[hidden]],0,entities[[#This Row],[1]],1,5-entities[[#This Row],[1]])), 0)+entities[[#This Row],[1]]))</f>
        <v/>
      </c>
      <c r="N42" s="6" t="str">
        <f t="array" aca="1" ref="N42" ca="1">IF(entities[[#This Row],[Custom Attributes]]&lt;3,"",
IF(entities[[#This Row],[2]]=5-1,5,
MATCH(FALSE, ISBLANK(OFFSET(entities[[#This Row],[hidden]],0,entities[[#This Row],[2]],1,5-entities[[#This Row],[2]])), 0)+entities[[#This Row],[2]]))</f>
        <v/>
      </c>
      <c r="O42" s="6" t="str">
        <f t="array" aca="1" ref="O42" ca="1">IF(entities[[#This Row],[Custom Attributes]]&lt;4,"",
IF(entities[[#This Row],[3]]=5-1,5,
MATCH(FALSE, ISBLANK(OFFSET(entities[[#This Row],[hidden]],0,entities[[#This Row],[3]],1,5-entities[[#This Row],[3]])), 0)+entities[[#This Row],[3]]))</f>
        <v/>
      </c>
      <c r="P42" s="14" t="str">
        <f ca="1">IF(entities[[#This Row],[1]]="","",
VLOOKUP(entities[[#This Row],[1]],Lookup!$B$5:$D$9,3,FALSE)  &amp;  INDEX(entities[[#This Row],[hidden]:[icon]],entities[[#This Row],[1]])
)</f>
        <v xml:space="preserve">  icon: mdi:tablet-ipad</v>
      </c>
      <c r="Q42" s="6" t="str">
        <f ca="1">IF(entities[[#This Row],[2]]="","",
VLOOKUP(entities[[#This Row],[2]],Lookup!$B$5:$D$9,3,FALSE)  &amp;  INDEX(entities[[#This Row],[hidden]:[icon]],entities[[#This Row],[2]])
)</f>
        <v/>
      </c>
      <c r="R42" s="6" t="str">
        <f ca="1">IF(entities[[#This Row],[3]]="","",
VLOOKUP(entities[[#This Row],[3]],Lookup!$B$5:$D$9,3,FALSE)  &amp;  INDEX(entities[[#This Row],[hidden]:[icon]],entities[[#This Row],[3]])
)</f>
        <v/>
      </c>
      <c r="S42" s="6" t="str">
        <f ca="1">IF(entities[[#This Row],[4]]="","",
VLOOKUP(entities[[#This Row],[4]],Lookup!$B$5:$D$9,3,FALSE)  &amp;  INDEX(entities[[#This Row],[hidden]:[icon]],entities[[#This Row],[4]])
)</f>
        <v/>
      </c>
      <c r="T42" t="str">
        <f t="array" ref="T42">IFERROR(INDEX(cards[object_id],SMALL(IF(cards[[1]:[25]]=entities[[#This Row],[entity_id]],ROW(cards[])-7,99^99),1)),"")</f>
        <v/>
      </c>
      <c r="U42" t="str">
        <f>IF(entities[[#This Row],[In HA?]]&lt;&gt;"ok",  "Not in Home Assistant",
IF(entities[[#This Row],[hidden]]="true",  "Hidden",
IF(entities[[#This Row],[Card]]&lt;&gt;"",
INDEX(cards[name],MATCH(entities[[#This Row],[Card]],cards[object_id],0)),  "Badge / automatic card")))</f>
        <v>Badge / automatic card</v>
      </c>
      <c r="V42" t="str">
        <f>IF(entities[[#This Row],[Card]]&lt;&gt;"","group."&amp;entities[[#This Row],[Card]],"")</f>
        <v/>
      </c>
      <c r="W42" t="str">
        <f t="array" ref="W42">IFERROR(IF(entities[[#This Row],[Assigned Card]]="","",INDEX(views[object_id],SMALL(IF(views[[1]:[25]]=entities[[#This Row],[Assigned Card]],ROW(views[])-7,99^99),1))),"")</f>
        <v/>
      </c>
      <c r="X42" t="str">
        <f t="array" ref="X42">IFERROR(INDEX(views[object_id],SMALL(IF(views[[1]:[25]]=entities[[#This Row],[entity_id]],ROW(views[])-7,99^99),1)),"")</f>
        <v/>
      </c>
      <c r="Y42" t="str">
        <f>IF(entities[[#This Row],[View from card]]&lt;&gt;"",entities[[#This Row],[View from card]],entities[[#This Row],[View from entitiy]])</f>
        <v/>
      </c>
      <c r="Z42" t="str">
        <f>IF(entities[[#This Row],[In HA?]]&lt;&gt;"ok",  "Not in Home Assistant",
IF(entities[[#This Row],[hidden]]="true",  "Hidden",
IF(entities[[#This Row],[View]]&lt;&gt;"",
INDEX(views[name],MATCH(entities[[#This Row],[View]],views[object_id],0)),  "Default view")))</f>
        <v>Default view</v>
      </c>
      <c r="AA42" t="str">
        <f>IF(entities[[#This Row],[View]]&lt;&gt;"","group."&amp;entities[[#This Row],[View]],"")</f>
        <v/>
      </c>
      <c r="AB42" s="6" t="str">
        <f>IF(COUNTIF(Table4[Entity],entities[[#This Row],[entity_id]]),"ok","Missing from States tab")</f>
        <v>ok</v>
      </c>
      <c r="AF42"/>
    </row>
    <row r="43" spans="2:32" x14ac:dyDescent="0.45">
      <c r="B43" t="s">
        <v>210</v>
      </c>
      <c r="C43" t="s">
        <v>214</v>
      </c>
      <c r="H43" t="s">
        <v>55</v>
      </c>
      <c r="I43" t="str">
        <f>entities[[#This Row],[domain]]&amp;"."&amp;entities[[#This Row],[object_id]]</f>
        <v>device_tracker.carolyn_watch</v>
      </c>
      <c r="J43">
        <f>5-COUNTBLANK(entities[[#This Row],[hidden]:[icon]])</f>
        <v>0</v>
      </c>
      <c r="K43" t="str">
        <f>IF(entities[[#This Row],[Custom Attributes]]=0,"",
COUNTIFS(entities[Custom Attributes],"&gt;0",entities[entity_id],"&lt;="&amp;entities[[#This Row],[entity_id]]))</f>
        <v/>
      </c>
      <c r="L43" s="6" t="str">
        <f t="array" aca="1" ref="L43" ca="1">IF(entities[[#This Row],[Custom Attributes]]&lt;1,"",
MATCH(FALSE, ISBLANK(OFFSET(entities[[#This Row],[hidden]],0,0,1,5)), 0))</f>
        <v/>
      </c>
      <c r="M43" s="6" t="str">
        <f t="array" aca="1" ref="M43" ca="1">IF(entities[[#This Row],[Custom Attributes]]&lt;2,"",
IF(entities[[#This Row],[1]]=5-1,5,
MATCH(FALSE, ISBLANK(OFFSET(entities[[#This Row],[hidden]],0,entities[[#This Row],[1]],1,5-entities[[#This Row],[1]])), 0)+entities[[#This Row],[1]]))</f>
        <v/>
      </c>
      <c r="N43" s="6" t="str">
        <f t="array" aca="1" ref="N43" ca="1">IF(entities[[#This Row],[Custom Attributes]]&lt;3,"",
IF(entities[[#This Row],[2]]=5-1,5,
MATCH(FALSE, ISBLANK(OFFSET(entities[[#This Row],[hidden]],0,entities[[#This Row],[2]],1,5-entities[[#This Row],[2]])), 0)+entities[[#This Row],[2]]))</f>
        <v/>
      </c>
      <c r="O43" s="6" t="str">
        <f t="array" aca="1" ref="O43" ca="1">IF(entities[[#This Row],[Custom Attributes]]&lt;4,"",
IF(entities[[#This Row],[3]]=5-1,5,
MATCH(FALSE, ISBLANK(OFFSET(entities[[#This Row],[hidden]],0,entities[[#This Row],[3]],1,5-entities[[#This Row],[3]])), 0)+entities[[#This Row],[3]]))</f>
        <v/>
      </c>
      <c r="P43" s="14" t="str">
        <f ca="1">IF(entities[[#This Row],[1]]="","",
VLOOKUP(entities[[#This Row],[1]],Lookup!$B$5:$D$9,3,FALSE)  &amp;  INDEX(entities[[#This Row],[hidden]:[icon]],entities[[#This Row],[1]])
)</f>
        <v/>
      </c>
      <c r="Q43" s="6" t="str">
        <f ca="1">IF(entities[[#This Row],[2]]="","",
VLOOKUP(entities[[#This Row],[2]],Lookup!$B$5:$D$9,3,FALSE)  &amp;  INDEX(entities[[#This Row],[hidden]:[icon]],entities[[#This Row],[2]])
)</f>
        <v/>
      </c>
      <c r="R43" s="6" t="str">
        <f ca="1">IF(entities[[#This Row],[3]]="","",
VLOOKUP(entities[[#This Row],[3]],Lookup!$B$5:$D$9,3,FALSE)  &amp;  INDEX(entities[[#This Row],[hidden]:[icon]],entities[[#This Row],[3]])
)</f>
        <v/>
      </c>
      <c r="S43" s="6" t="str">
        <f ca="1">IF(entities[[#This Row],[4]]="","",
VLOOKUP(entities[[#This Row],[4]],Lookup!$B$5:$D$9,3,FALSE)  &amp;  INDEX(entities[[#This Row],[hidden]:[icon]],entities[[#This Row],[4]])
)</f>
        <v/>
      </c>
      <c r="T43" t="str">
        <f t="array" ref="T43">IFERROR(INDEX(cards[object_id],SMALL(IF(cards[[1]:[25]]=entities[[#This Row],[entity_id]],ROW(cards[])-7,99^99),1)),"")</f>
        <v/>
      </c>
      <c r="U43" t="str">
        <f>IF(entities[[#This Row],[In HA?]]&lt;&gt;"ok",  "Not in Home Assistant",
IF(entities[[#This Row],[hidden]]="true",  "Hidden",
IF(entities[[#This Row],[Card]]&lt;&gt;"",
INDEX(cards[name],MATCH(entities[[#This Row],[Card]],cards[object_id],0)),  "Badge / automatic card")))</f>
        <v>Badge / automatic card</v>
      </c>
      <c r="V43" t="str">
        <f>IF(entities[[#This Row],[Card]]&lt;&gt;"","group."&amp;entities[[#This Row],[Card]],"")</f>
        <v/>
      </c>
      <c r="W43" t="str">
        <f t="array" ref="W43">IFERROR(IF(entities[[#This Row],[Assigned Card]]="","",INDEX(views[object_id],SMALL(IF(views[[1]:[25]]=entities[[#This Row],[Assigned Card]],ROW(views[])-7,99^99),1))),"")</f>
        <v/>
      </c>
      <c r="X43" t="str">
        <f t="array" ref="X43">IFERROR(INDEX(views[object_id],SMALL(IF(views[[1]:[25]]=entities[[#This Row],[entity_id]],ROW(views[])-7,99^99),1)),"")</f>
        <v/>
      </c>
      <c r="Y43" t="str">
        <f>IF(entities[[#This Row],[View from card]]&lt;&gt;"",entities[[#This Row],[View from card]],entities[[#This Row],[View from entitiy]])</f>
        <v/>
      </c>
      <c r="Z43" t="str">
        <f>IF(entities[[#This Row],[In HA?]]&lt;&gt;"ok",  "Not in Home Assistant",
IF(entities[[#This Row],[hidden]]="true",  "Hidden",
IF(entities[[#This Row],[View]]&lt;&gt;"",
INDEX(views[name],MATCH(entities[[#This Row],[View]],views[object_id],0)),  "Default view")))</f>
        <v>Default view</v>
      </c>
      <c r="AA43" t="str">
        <f>IF(entities[[#This Row],[View]]&lt;&gt;"","group."&amp;entities[[#This Row],[View]],"")</f>
        <v/>
      </c>
      <c r="AB43" s="6" t="str">
        <f>IF(COUNTIF(Table4[Entity],entities[[#This Row],[entity_id]]),"ok","Missing from States tab")</f>
        <v>ok</v>
      </c>
      <c r="AF43"/>
    </row>
    <row r="44" spans="2:32" x14ac:dyDescent="0.45">
      <c r="B44" t="s">
        <v>210</v>
      </c>
      <c r="C44" t="s">
        <v>215</v>
      </c>
      <c r="H44" t="s">
        <v>300</v>
      </c>
      <c r="I44" t="str">
        <f>entities[[#This Row],[domain]]&amp;"."&amp;entities[[#This Row],[object_id]]</f>
        <v>device_tracker.carolynsair</v>
      </c>
      <c r="J44">
        <f>5-COUNTBLANK(entities[[#This Row],[hidden]:[icon]])</f>
        <v>1</v>
      </c>
      <c r="K44">
        <f>IF(entities[[#This Row],[Custom Attributes]]=0,"",
COUNTIFS(entities[Custom Attributes],"&gt;0",entities[entity_id],"&lt;="&amp;entities[[#This Row],[entity_id]]))</f>
        <v>31</v>
      </c>
      <c r="L44" s="6">
        <f t="array" aca="1" ref="L44" ca="1">IF(entities[[#This Row],[Custom Attributes]]&lt;1,"",
MATCH(FALSE, ISBLANK(OFFSET(entities[[#This Row],[hidden]],0,0,1,5)), 0))</f>
        <v>5</v>
      </c>
      <c r="M44" s="6" t="str">
        <f t="array" aca="1" ref="M44" ca="1">IF(entities[[#This Row],[Custom Attributes]]&lt;2,"",
IF(entities[[#This Row],[1]]=5-1,5,
MATCH(FALSE, ISBLANK(OFFSET(entities[[#This Row],[hidden]],0,entities[[#This Row],[1]],1,5-entities[[#This Row],[1]])), 0)+entities[[#This Row],[1]]))</f>
        <v/>
      </c>
      <c r="N44" s="6" t="str">
        <f t="array" aca="1" ref="N44" ca="1">IF(entities[[#This Row],[Custom Attributes]]&lt;3,"",
IF(entities[[#This Row],[2]]=5-1,5,
MATCH(FALSE, ISBLANK(OFFSET(entities[[#This Row],[hidden]],0,entities[[#This Row],[2]],1,5-entities[[#This Row],[2]])), 0)+entities[[#This Row],[2]]))</f>
        <v/>
      </c>
      <c r="O44" s="6" t="str">
        <f t="array" aca="1" ref="O44" ca="1">IF(entities[[#This Row],[Custom Attributes]]&lt;4,"",
IF(entities[[#This Row],[3]]=5-1,5,
MATCH(FALSE, ISBLANK(OFFSET(entities[[#This Row],[hidden]],0,entities[[#This Row],[3]],1,5-entities[[#This Row],[3]])), 0)+entities[[#This Row],[3]]))</f>
        <v/>
      </c>
      <c r="P44" s="14" t="str">
        <f ca="1">IF(entities[[#This Row],[1]]="","",
VLOOKUP(entities[[#This Row],[1]],Lookup!$B$5:$D$9,3,FALSE)  &amp;  INDEX(entities[[#This Row],[hidden]:[icon]],entities[[#This Row],[1]])
)</f>
        <v xml:space="preserve">  icon: mdi:laptop-mac</v>
      </c>
      <c r="Q44" s="6" t="str">
        <f ca="1">IF(entities[[#This Row],[2]]="","",
VLOOKUP(entities[[#This Row],[2]],Lookup!$B$5:$D$9,3,FALSE)  &amp;  INDEX(entities[[#This Row],[hidden]:[icon]],entities[[#This Row],[2]])
)</f>
        <v/>
      </c>
      <c r="R44" s="6" t="str">
        <f ca="1">IF(entities[[#This Row],[3]]="","",
VLOOKUP(entities[[#This Row],[3]],Lookup!$B$5:$D$9,3,FALSE)  &amp;  INDEX(entities[[#This Row],[hidden]:[icon]],entities[[#This Row],[3]])
)</f>
        <v/>
      </c>
      <c r="S44" s="6" t="str">
        <f ca="1">IF(entities[[#This Row],[4]]="","",
VLOOKUP(entities[[#This Row],[4]],Lookup!$B$5:$D$9,3,FALSE)  &amp;  INDEX(entities[[#This Row],[hidden]:[icon]],entities[[#This Row],[4]])
)</f>
        <v/>
      </c>
      <c r="T44" t="str">
        <f t="array" ref="T44">IFERROR(INDEX(cards[object_id],SMALL(IF(cards[[1]:[25]]=entities[[#This Row],[entity_id]],ROW(cards[])-7,99^99),1)),"")</f>
        <v/>
      </c>
      <c r="U44" t="str">
        <f>IF(entities[[#This Row],[In HA?]]&lt;&gt;"ok",  "Not in Home Assistant",
IF(entities[[#This Row],[hidden]]="true",  "Hidden",
IF(entities[[#This Row],[Card]]&lt;&gt;"",
INDEX(cards[name],MATCH(entities[[#This Row],[Card]],cards[object_id],0)),  "Badge / automatic card")))</f>
        <v>Badge / automatic card</v>
      </c>
      <c r="V44" t="str">
        <f>IF(entities[[#This Row],[Card]]&lt;&gt;"","group."&amp;entities[[#This Row],[Card]],"")</f>
        <v/>
      </c>
      <c r="W44" t="str">
        <f t="array" ref="W44">IFERROR(IF(entities[[#This Row],[Assigned Card]]="","",INDEX(views[object_id],SMALL(IF(views[[1]:[25]]=entities[[#This Row],[Assigned Card]],ROW(views[])-7,99^99),1))),"")</f>
        <v/>
      </c>
      <c r="X44" t="str">
        <f t="array" ref="X44">IFERROR(INDEX(views[object_id],SMALL(IF(views[[1]:[25]]=entities[[#This Row],[entity_id]],ROW(views[])-7,99^99),1)),"")</f>
        <v/>
      </c>
      <c r="Y44" t="str">
        <f>IF(entities[[#This Row],[View from card]]&lt;&gt;"",entities[[#This Row],[View from card]],entities[[#This Row],[View from entitiy]])</f>
        <v/>
      </c>
      <c r="Z44" t="str">
        <f>IF(entities[[#This Row],[In HA?]]&lt;&gt;"ok",  "Not in Home Assistant",
IF(entities[[#This Row],[hidden]]="true",  "Hidden",
IF(entities[[#This Row],[View]]&lt;&gt;"",
INDEX(views[name],MATCH(entities[[#This Row],[View]],views[object_id],0)),  "Default view")))</f>
        <v>Default view</v>
      </c>
      <c r="AA44" t="str">
        <f>IF(entities[[#This Row],[View]]&lt;&gt;"","group."&amp;entities[[#This Row],[View]],"")</f>
        <v/>
      </c>
      <c r="AB44" s="6" t="str">
        <f>IF(COUNTIF(Table4[Entity],entities[[#This Row],[entity_id]]),"ok","Missing from States tab")</f>
        <v>ok</v>
      </c>
      <c r="AF44"/>
    </row>
    <row r="45" spans="2:32" x14ac:dyDescent="0.45">
      <c r="B45" t="s">
        <v>210</v>
      </c>
      <c r="C45" t="s">
        <v>216</v>
      </c>
      <c r="H45" t="s">
        <v>301</v>
      </c>
      <c r="I45" t="str">
        <f>entities[[#This Row],[domain]]&amp;"."&amp;entities[[#This Row],[object_id]]</f>
        <v>device_tracker.chromecast</v>
      </c>
      <c r="J45">
        <f>5-COUNTBLANK(entities[[#This Row],[hidden]:[icon]])</f>
        <v>1</v>
      </c>
      <c r="K45">
        <f>IF(entities[[#This Row],[Custom Attributes]]=0,"",
COUNTIFS(entities[Custom Attributes],"&gt;0",entities[entity_id],"&lt;="&amp;entities[[#This Row],[entity_id]]))</f>
        <v>32</v>
      </c>
      <c r="L45" s="6">
        <f t="array" aca="1" ref="L45" ca="1">IF(entities[[#This Row],[Custom Attributes]]&lt;1,"",
MATCH(FALSE, ISBLANK(OFFSET(entities[[#This Row],[hidden]],0,0,1,5)), 0))</f>
        <v>5</v>
      </c>
      <c r="M45" s="6" t="str">
        <f t="array" aca="1" ref="M45" ca="1">IF(entities[[#This Row],[Custom Attributes]]&lt;2,"",
IF(entities[[#This Row],[1]]=5-1,5,
MATCH(FALSE, ISBLANK(OFFSET(entities[[#This Row],[hidden]],0,entities[[#This Row],[1]],1,5-entities[[#This Row],[1]])), 0)+entities[[#This Row],[1]]))</f>
        <v/>
      </c>
      <c r="N45" s="6" t="str">
        <f t="array" aca="1" ref="N45" ca="1">IF(entities[[#This Row],[Custom Attributes]]&lt;3,"",
IF(entities[[#This Row],[2]]=5-1,5,
MATCH(FALSE, ISBLANK(OFFSET(entities[[#This Row],[hidden]],0,entities[[#This Row],[2]],1,5-entities[[#This Row],[2]])), 0)+entities[[#This Row],[2]]))</f>
        <v/>
      </c>
      <c r="O45" s="6" t="str">
        <f t="array" aca="1" ref="O45" ca="1">IF(entities[[#This Row],[Custom Attributes]]&lt;4,"",
IF(entities[[#This Row],[3]]=5-1,5,
MATCH(FALSE, ISBLANK(OFFSET(entities[[#This Row],[hidden]],0,entities[[#This Row],[3]],1,5-entities[[#This Row],[3]])), 0)+entities[[#This Row],[3]]))</f>
        <v/>
      </c>
      <c r="P45" s="14" t="str">
        <f ca="1">IF(entities[[#This Row],[1]]="","",
VLOOKUP(entities[[#This Row],[1]],Lookup!$B$5:$D$9,3,FALSE)  &amp;  INDEX(entities[[#This Row],[hidden]:[icon]],entities[[#This Row],[1]])
)</f>
        <v xml:space="preserve">  icon: mdi:google-chrome</v>
      </c>
      <c r="Q45" s="6" t="str">
        <f ca="1">IF(entities[[#This Row],[2]]="","",
VLOOKUP(entities[[#This Row],[2]],Lookup!$B$5:$D$9,3,FALSE)  &amp;  INDEX(entities[[#This Row],[hidden]:[icon]],entities[[#This Row],[2]])
)</f>
        <v/>
      </c>
      <c r="R45" s="6" t="str">
        <f ca="1">IF(entities[[#This Row],[3]]="","",
VLOOKUP(entities[[#This Row],[3]],Lookup!$B$5:$D$9,3,FALSE)  &amp;  INDEX(entities[[#This Row],[hidden]:[icon]],entities[[#This Row],[3]])
)</f>
        <v/>
      </c>
      <c r="S45" s="6" t="str">
        <f ca="1">IF(entities[[#This Row],[4]]="","",
VLOOKUP(entities[[#This Row],[4]],Lookup!$B$5:$D$9,3,FALSE)  &amp;  INDEX(entities[[#This Row],[hidden]:[icon]],entities[[#This Row],[4]])
)</f>
        <v/>
      </c>
      <c r="T45" t="str">
        <f t="array" ref="T45">IFERROR(INDEX(cards[object_id],SMALL(IF(cards[[1]:[25]]=entities[[#This Row],[entity_id]],ROW(cards[])-7,99^99),1)),"")</f>
        <v>iot_devices</v>
      </c>
      <c r="U45" t="str">
        <f>IF(entities[[#This Row],[In HA?]]&lt;&gt;"ok",  "Not in Home Assistant",
IF(entities[[#This Row],[hidden]]="true",  "Hidden",
IF(entities[[#This Row],[Card]]&lt;&gt;"",
INDEX(cards[name],MATCH(entities[[#This Row],[Card]],cards[object_id],0)),  "Badge / automatic card")))</f>
        <v>LAN || IoT</v>
      </c>
      <c r="V45" t="str">
        <f>IF(entities[[#This Row],[Card]]&lt;&gt;"","group."&amp;entities[[#This Row],[Card]],"")</f>
        <v>group.iot_devices</v>
      </c>
      <c r="W45" t="str">
        <f t="array" ref="W45">IFERROR(IF(entities[[#This Row],[Assigned Card]]="","",INDEX(views[object_id],SMALL(IF(views[[1]:[25]]=entities[[#This Row],[Assigned Card]],ROW(views[])-7,99^99),1))),"")</f>
        <v>network_view</v>
      </c>
      <c r="X45" t="str">
        <f t="array" ref="X45">IFERROR(INDEX(views[object_id],SMALL(IF(views[[1]:[25]]=entities[[#This Row],[entity_id]],ROW(views[])-7,99^99),1)),"")</f>
        <v/>
      </c>
      <c r="Y45" t="str">
        <f>IF(entities[[#This Row],[View from card]]&lt;&gt;"",entities[[#This Row],[View from card]],entities[[#This Row],[View from entitiy]])</f>
        <v>network_view</v>
      </c>
      <c r="Z45" t="str">
        <f>IF(entities[[#This Row],[In HA?]]&lt;&gt;"ok",  "Not in Home Assistant",
IF(entities[[#This Row],[hidden]]="true",  "Hidden",
IF(entities[[#This Row],[View]]&lt;&gt;"",
INDEX(views[name],MATCH(entities[[#This Row],[View]],views[object_id],0)),  "Default view")))</f>
        <v>Network</v>
      </c>
      <c r="AA45" t="str">
        <f>IF(entities[[#This Row],[View]]&lt;&gt;"","group."&amp;entities[[#This Row],[View]],"")</f>
        <v>group.network_view</v>
      </c>
      <c r="AB45" s="6" t="str">
        <f>IF(COUNTIF(Table4[Entity],entities[[#This Row],[entity_id]]),"ok","Missing from States tab")</f>
        <v>ok</v>
      </c>
      <c r="AF45"/>
    </row>
    <row r="46" spans="2:32" x14ac:dyDescent="0.45">
      <c r="B46" t="s">
        <v>210</v>
      </c>
      <c r="C46" t="s">
        <v>217</v>
      </c>
      <c r="H46" t="s">
        <v>301</v>
      </c>
      <c r="I46" t="str">
        <f>entities[[#This Row],[domain]]&amp;"."&amp;entities[[#This Row],[object_id]]</f>
        <v>device_tracker.chromecast_2</v>
      </c>
      <c r="J46">
        <f>5-COUNTBLANK(entities[[#This Row],[hidden]:[icon]])</f>
        <v>1</v>
      </c>
      <c r="K46">
        <f>IF(entities[[#This Row],[Custom Attributes]]=0,"",
COUNTIFS(entities[Custom Attributes],"&gt;0",entities[entity_id],"&lt;="&amp;entities[[#This Row],[entity_id]]))</f>
        <v>33</v>
      </c>
      <c r="L46" s="6">
        <f t="array" aca="1" ref="L46" ca="1">IF(entities[[#This Row],[Custom Attributes]]&lt;1,"",
MATCH(FALSE, ISBLANK(OFFSET(entities[[#This Row],[hidden]],0,0,1,5)), 0))</f>
        <v>5</v>
      </c>
      <c r="M46" s="6" t="str">
        <f t="array" aca="1" ref="M46" ca="1">IF(entities[[#This Row],[Custom Attributes]]&lt;2,"",
IF(entities[[#This Row],[1]]=5-1,5,
MATCH(FALSE, ISBLANK(OFFSET(entities[[#This Row],[hidden]],0,entities[[#This Row],[1]],1,5-entities[[#This Row],[1]])), 0)+entities[[#This Row],[1]]))</f>
        <v/>
      </c>
      <c r="N46" s="6" t="str">
        <f t="array" aca="1" ref="N46" ca="1">IF(entities[[#This Row],[Custom Attributes]]&lt;3,"",
IF(entities[[#This Row],[2]]=5-1,5,
MATCH(FALSE, ISBLANK(OFFSET(entities[[#This Row],[hidden]],0,entities[[#This Row],[2]],1,5-entities[[#This Row],[2]])), 0)+entities[[#This Row],[2]]))</f>
        <v/>
      </c>
      <c r="O46" s="6" t="str">
        <f t="array" aca="1" ref="O46" ca="1">IF(entities[[#This Row],[Custom Attributes]]&lt;4,"",
IF(entities[[#This Row],[3]]=5-1,5,
MATCH(FALSE, ISBLANK(OFFSET(entities[[#This Row],[hidden]],0,entities[[#This Row],[3]],1,5-entities[[#This Row],[3]])), 0)+entities[[#This Row],[3]]))</f>
        <v/>
      </c>
      <c r="P46" s="14" t="str">
        <f ca="1">IF(entities[[#This Row],[1]]="","",
VLOOKUP(entities[[#This Row],[1]],Lookup!$B$5:$D$9,3,FALSE)  &amp;  INDEX(entities[[#This Row],[hidden]:[icon]],entities[[#This Row],[1]])
)</f>
        <v xml:space="preserve">  icon: mdi:google-chrome</v>
      </c>
      <c r="Q46" s="6" t="str">
        <f ca="1">IF(entities[[#This Row],[2]]="","",
VLOOKUP(entities[[#This Row],[2]],Lookup!$B$5:$D$9,3,FALSE)  &amp;  INDEX(entities[[#This Row],[hidden]:[icon]],entities[[#This Row],[2]])
)</f>
        <v/>
      </c>
      <c r="R46" s="6" t="str">
        <f ca="1">IF(entities[[#This Row],[3]]="","",
VLOOKUP(entities[[#This Row],[3]],Lookup!$B$5:$D$9,3,FALSE)  &amp;  INDEX(entities[[#This Row],[hidden]:[icon]],entities[[#This Row],[3]])
)</f>
        <v/>
      </c>
      <c r="S46" s="6" t="str">
        <f ca="1">IF(entities[[#This Row],[4]]="","",
VLOOKUP(entities[[#This Row],[4]],Lookup!$B$5:$D$9,3,FALSE)  &amp;  INDEX(entities[[#This Row],[hidden]:[icon]],entities[[#This Row],[4]])
)</f>
        <v/>
      </c>
      <c r="T46" t="str">
        <f t="array" ref="T46">IFERROR(INDEX(cards[object_id],SMALL(IF(cards[[1]:[25]]=entities[[#This Row],[entity_id]],ROW(cards[])-7,99^99),1)),"")</f>
        <v>iot_devices</v>
      </c>
      <c r="U46" t="str">
        <f>IF(entities[[#This Row],[In HA?]]&lt;&gt;"ok",  "Not in Home Assistant",
IF(entities[[#This Row],[hidden]]="true",  "Hidden",
IF(entities[[#This Row],[Card]]&lt;&gt;"",
INDEX(cards[name],MATCH(entities[[#This Row],[Card]],cards[object_id],0)),  "Badge / automatic card")))</f>
        <v>LAN || IoT</v>
      </c>
      <c r="V46" t="str">
        <f>IF(entities[[#This Row],[Card]]&lt;&gt;"","group."&amp;entities[[#This Row],[Card]],"")</f>
        <v>group.iot_devices</v>
      </c>
      <c r="W46" t="str">
        <f t="array" ref="W46">IFERROR(IF(entities[[#This Row],[Assigned Card]]="","",INDEX(views[object_id],SMALL(IF(views[[1]:[25]]=entities[[#This Row],[Assigned Card]],ROW(views[])-7,99^99),1))),"")</f>
        <v>network_view</v>
      </c>
      <c r="X46" t="str">
        <f t="array" ref="X46">IFERROR(INDEX(views[object_id],SMALL(IF(views[[1]:[25]]=entities[[#This Row],[entity_id]],ROW(views[])-7,99^99),1)),"")</f>
        <v/>
      </c>
      <c r="Y46" t="str">
        <f>IF(entities[[#This Row],[View from card]]&lt;&gt;"",entities[[#This Row],[View from card]],entities[[#This Row],[View from entitiy]])</f>
        <v>network_view</v>
      </c>
      <c r="Z46" t="str">
        <f>IF(entities[[#This Row],[In HA?]]&lt;&gt;"ok",  "Not in Home Assistant",
IF(entities[[#This Row],[hidden]]="true",  "Hidden",
IF(entities[[#This Row],[View]]&lt;&gt;"",
INDEX(views[name],MATCH(entities[[#This Row],[View]],views[object_id],0)),  "Default view")))</f>
        <v>Network</v>
      </c>
      <c r="AA46" t="str">
        <f>IF(entities[[#This Row],[View]]&lt;&gt;"","group."&amp;entities[[#This Row],[View]],"")</f>
        <v>group.network_view</v>
      </c>
      <c r="AB46" s="6" t="str">
        <f>IF(COUNTIF(Table4[Entity],entities[[#This Row],[entity_id]]),"ok","Missing from States tab")</f>
        <v>ok</v>
      </c>
      <c r="AF46"/>
    </row>
    <row r="47" spans="2:32" x14ac:dyDescent="0.45">
      <c r="B47" t="s">
        <v>210</v>
      </c>
      <c r="C47" t="s">
        <v>218</v>
      </c>
      <c r="H47" t="s">
        <v>302</v>
      </c>
      <c r="I47" t="str">
        <f>entities[[#This Row],[domain]]&amp;"."&amp;entities[[#This Row],[object_id]]</f>
        <v>device_tracker.daniel_br</v>
      </c>
      <c r="J47">
        <f>5-COUNTBLANK(entities[[#This Row],[hidden]:[icon]])</f>
        <v>1</v>
      </c>
      <c r="K47">
        <f>IF(entities[[#This Row],[Custom Attributes]]=0,"",
COUNTIFS(entities[Custom Attributes],"&gt;0",entities[entity_id],"&lt;="&amp;entities[[#This Row],[entity_id]]))</f>
        <v>34</v>
      </c>
      <c r="L47" s="6">
        <f t="array" aca="1" ref="L47" ca="1">IF(entities[[#This Row],[Custom Attributes]]&lt;1,"",
MATCH(FALSE, ISBLANK(OFFSET(entities[[#This Row],[hidden]],0,0,1,5)), 0))</f>
        <v>5</v>
      </c>
      <c r="M47" s="6" t="str">
        <f t="array" aca="1" ref="M47" ca="1">IF(entities[[#This Row],[Custom Attributes]]&lt;2,"",
IF(entities[[#This Row],[1]]=5-1,5,
MATCH(FALSE, ISBLANK(OFFSET(entities[[#This Row],[hidden]],0,entities[[#This Row],[1]],1,5-entities[[#This Row],[1]])), 0)+entities[[#This Row],[1]]))</f>
        <v/>
      </c>
      <c r="N47" s="6" t="str">
        <f t="array" aca="1" ref="N47" ca="1">IF(entities[[#This Row],[Custom Attributes]]&lt;3,"",
IF(entities[[#This Row],[2]]=5-1,5,
MATCH(FALSE, ISBLANK(OFFSET(entities[[#This Row],[hidden]],0,entities[[#This Row],[2]],1,5-entities[[#This Row],[2]])), 0)+entities[[#This Row],[2]]))</f>
        <v/>
      </c>
      <c r="O47" s="6" t="str">
        <f t="array" aca="1" ref="O47" ca="1">IF(entities[[#This Row],[Custom Attributes]]&lt;4,"",
IF(entities[[#This Row],[3]]=5-1,5,
MATCH(FALSE, ISBLANK(OFFSET(entities[[#This Row],[hidden]],0,entities[[#This Row],[3]],1,5-entities[[#This Row],[3]])), 0)+entities[[#This Row],[3]]))</f>
        <v/>
      </c>
      <c r="P47" s="14" t="str">
        <f ca="1">IF(entities[[#This Row],[1]]="","",
VLOOKUP(entities[[#This Row],[1]],Lookup!$B$5:$D$9,3,FALSE)  &amp;  INDEX(entities[[#This Row],[hidden]:[icon]],entities[[#This Row],[1]])
)</f>
        <v xml:space="preserve">  icon: mdi:disk</v>
      </c>
      <c r="Q47" s="6" t="str">
        <f ca="1">IF(entities[[#This Row],[2]]="","",
VLOOKUP(entities[[#This Row],[2]],Lookup!$B$5:$D$9,3,FALSE)  &amp;  INDEX(entities[[#This Row],[hidden]:[icon]],entities[[#This Row],[2]])
)</f>
        <v/>
      </c>
      <c r="R47" s="6" t="str">
        <f ca="1">IF(entities[[#This Row],[3]]="","",
VLOOKUP(entities[[#This Row],[3]],Lookup!$B$5:$D$9,3,FALSE)  &amp;  INDEX(entities[[#This Row],[hidden]:[icon]],entities[[#This Row],[3]])
)</f>
        <v/>
      </c>
      <c r="S47" s="6" t="str">
        <f ca="1">IF(entities[[#This Row],[4]]="","",
VLOOKUP(entities[[#This Row],[4]],Lookup!$B$5:$D$9,3,FALSE)  &amp;  INDEX(entities[[#This Row],[hidden]:[icon]],entities[[#This Row],[4]])
)</f>
        <v/>
      </c>
      <c r="T47" t="str">
        <f t="array" ref="T47">IFERROR(INDEX(cards[object_id],SMALL(IF(cards[[1]:[25]]=entities[[#This Row],[entity_id]],ROW(cards[])-7,99^99),1)),"")</f>
        <v/>
      </c>
      <c r="U47" t="str">
        <f>IF(entities[[#This Row],[In HA?]]&lt;&gt;"ok",  "Not in Home Assistant",
IF(entities[[#This Row],[hidden]]="true",  "Hidden",
IF(entities[[#This Row],[Card]]&lt;&gt;"",
INDEX(cards[name],MATCH(entities[[#This Row],[Card]],cards[object_id],0)),  "Badge / automatic card")))</f>
        <v>Badge / automatic card</v>
      </c>
      <c r="V47" t="str">
        <f>IF(entities[[#This Row],[Card]]&lt;&gt;"","group."&amp;entities[[#This Row],[Card]],"")</f>
        <v/>
      </c>
      <c r="W47" t="str">
        <f t="array" ref="W47">IFERROR(IF(entities[[#This Row],[Assigned Card]]="","",INDEX(views[object_id],SMALL(IF(views[[1]:[25]]=entities[[#This Row],[Assigned Card]],ROW(views[])-7,99^99),1))),"")</f>
        <v/>
      </c>
      <c r="X47" t="str">
        <f t="array" ref="X47">IFERROR(INDEX(views[object_id],SMALL(IF(views[[1]:[25]]=entities[[#This Row],[entity_id]],ROW(views[])-7,99^99),1)),"")</f>
        <v/>
      </c>
      <c r="Y47" t="str">
        <f>IF(entities[[#This Row],[View from card]]&lt;&gt;"",entities[[#This Row],[View from card]],entities[[#This Row],[View from entitiy]])</f>
        <v/>
      </c>
      <c r="Z47" t="str">
        <f>IF(entities[[#This Row],[In HA?]]&lt;&gt;"ok",  "Not in Home Assistant",
IF(entities[[#This Row],[hidden]]="true",  "Hidden",
IF(entities[[#This Row],[View]]&lt;&gt;"",
INDEX(views[name],MATCH(entities[[#This Row],[View]],views[object_id],0)),  "Default view")))</f>
        <v>Default view</v>
      </c>
      <c r="AA47" t="str">
        <f>IF(entities[[#This Row],[View]]&lt;&gt;"","group."&amp;entities[[#This Row],[View]],"")</f>
        <v/>
      </c>
      <c r="AB47" s="6" t="str">
        <f>IF(COUNTIF(Table4[Entity],entities[[#This Row],[entity_id]]),"ok","Missing from States tab")</f>
        <v>ok</v>
      </c>
      <c r="AF47"/>
    </row>
    <row r="48" spans="2:32" x14ac:dyDescent="0.45">
      <c r="B48" t="s">
        <v>210</v>
      </c>
      <c r="C48" t="s">
        <v>219</v>
      </c>
      <c r="H48" t="s">
        <v>303</v>
      </c>
      <c r="I48" t="str">
        <f>entities[[#This Row],[domain]]&amp;"."&amp;entities[[#This Row],[object_id]]</f>
        <v>device_tracker.daniel_laptop</v>
      </c>
      <c r="J48">
        <f>5-COUNTBLANK(entities[[#This Row],[hidden]:[icon]])</f>
        <v>1</v>
      </c>
      <c r="K48">
        <f>IF(entities[[#This Row],[Custom Attributes]]=0,"",
COUNTIFS(entities[Custom Attributes],"&gt;0",entities[entity_id],"&lt;="&amp;entities[[#This Row],[entity_id]]))</f>
        <v>35</v>
      </c>
      <c r="L48" s="6">
        <f t="array" aca="1" ref="L48" ca="1">IF(entities[[#This Row],[Custom Attributes]]&lt;1,"",
MATCH(FALSE, ISBLANK(OFFSET(entities[[#This Row],[hidden]],0,0,1,5)), 0))</f>
        <v>5</v>
      </c>
      <c r="M48" s="6" t="str">
        <f t="array" aca="1" ref="M48" ca="1">IF(entities[[#This Row],[Custom Attributes]]&lt;2,"",
IF(entities[[#This Row],[1]]=5-1,5,
MATCH(FALSE, ISBLANK(OFFSET(entities[[#This Row],[hidden]],0,entities[[#This Row],[1]],1,5-entities[[#This Row],[1]])), 0)+entities[[#This Row],[1]]))</f>
        <v/>
      </c>
      <c r="N48" s="6" t="str">
        <f t="array" aca="1" ref="N48" ca="1">IF(entities[[#This Row],[Custom Attributes]]&lt;3,"",
IF(entities[[#This Row],[2]]=5-1,5,
MATCH(FALSE, ISBLANK(OFFSET(entities[[#This Row],[hidden]],0,entities[[#This Row],[2]],1,5-entities[[#This Row],[2]])), 0)+entities[[#This Row],[2]]))</f>
        <v/>
      </c>
      <c r="O48" s="6" t="str">
        <f t="array" aca="1" ref="O48" ca="1">IF(entities[[#This Row],[Custom Attributes]]&lt;4,"",
IF(entities[[#This Row],[3]]=5-1,5,
MATCH(FALSE, ISBLANK(OFFSET(entities[[#This Row],[hidden]],0,entities[[#This Row],[3]],1,5-entities[[#This Row],[3]])), 0)+entities[[#This Row],[3]]))</f>
        <v/>
      </c>
      <c r="P48" s="14" t="str">
        <f ca="1">IF(entities[[#This Row],[1]]="","",
VLOOKUP(entities[[#This Row],[1]],Lookup!$B$5:$D$9,3,FALSE)  &amp;  INDEX(entities[[#This Row],[hidden]:[icon]],entities[[#This Row],[1]])
)</f>
        <v xml:space="preserve">  icon: mdi:laptop</v>
      </c>
      <c r="Q48" s="6" t="str">
        <f ca="1">IF(entities[[#This Row],[2]]="","",
VLOOKUP(entities[[#This Row],[2]],Lookup!$B$5:$D$9,3,FALSE)  &amp;  INDEX(entities[[#This Row],[hidden]:[icon]],entities[[#This Row],[2]])
)</f>
        <v/>
      </c>
      <c r="R48" s="6" t="str">
        <f ca="1">IF(entities[[#This Row],[3]]="","",
VLOOKUP(entities[[#This Row],[3]],Lookup!$B$5:$D$9,3,FALSE)  &amp;  INDEX(entities[[#This Row],[hidden]:[icon]],entities[[#This Row],[3]])
)</f>
        <v/>
      </c>
      <c r="S48" s="6" t="str">
        <f ca="1">IF(entities[[#This Row],[4]]="","",
VLOOKUP(entities[[#This Row],[4]],Lookup!$B$5:$D$9,3,FALSE)  &amp;  INDEX(entities[[#This Row],[hidden]:[icon]],entities[[#This Row],[4]])
)</f>
        <v/>
      </c>
      <c r="T48" t="str">
        <f t="array" ref="T48">IFERROR(INDEX(cards[object_id],SMALL(IF(cards[[1]:[25]]=entities[[#This Row],[entity_id]],ROW(cards[])-7,99^99),1)),"")</f>
        <v/>
      </c>
      <c r="U48" t="str">
        <f>IF(entities[[#This Row],[In HA?]]&lt;&gt;"ok",  "Not in Home Assistant",
IF(entities[[#This Row],[hidden]]="true",  "Hidden",
IF(entities[[#This Row],[Card]]&lt;&gt;"",
INDEX(cards[name],MATCH(entities[[#This Row],[Card]],cards[object_id],0)),  "Badge / automatic card")))</f>
        <v>Badge / automatic card</v>
      </c>
      <c r="V48" t="str">
        <f>IF(entities[[#This Row],[Card]]&lt;&gt;"","group."&amp;entities[[#This Row],[Card]],"")</f>
        <v/>
      </c>
      <c r="W48" t="str">
        <f t="array" ref="W48">IFERROR(IF(entities[[#This Row],[Assigned Card]]="","",INDEX(views[object_id],SMALL(IF(views[[1]:[25]]=entities[[#This Row],[Assigned Card]],ROW(views[])-7,99^99),1))),"")</f>
        <v/>
      </c>
      <c r="X48" t="str">
        <f t="array" ref="X48">IFERROR(INDEX(views[object_id],SMALL(IF(views[[1]:[25]]=entities[[#This Row],[entity_id]],ROW(views[])-7,99^99),1)),"")</f>
        <v/>
      </c>
      <c r="Y48" t="str">
        <f>IF(entities[[#This Row],[View from card]]&lt;&gt;"",entities[[#This Row],[View from card]],entities[[#This Row],[View from entitiy]])</f>
        <v/>
      </c>
      <c r="Z48" t="str">
        <f>IF(entities[[#This Row],[In HA?]]&lt;&gt;"ok",  "Not in Home Assistant",
IF(entities[[#This Row],[hidden]]="true",  "Hidden",
IF(entities[[#This Row],[View]]&lt;&gt;"",
INDEX(views[name],MATCH(entities[[#This Row],[View]],views[object_id],0)),  "Default view")))</f>
        <v>Default view</v>
      </c>
      <c r="AA48" t="str">
        <f>IF(entities[[#This Row],[View]]&lt;&gt;"","group."&amp;entities[[#This Row],[View]],"")</f>
        <v/>
      </c>
      <c r="AB48" s="6" t="str">
        <f>IF(COUNTIF(Table4[Entity],entities[[#This Row],[entity_id]]),"ok","Missing from States tab")</f>
        <v>ok</v>
      </c>
      <c r="AF48"/>
    </row>
    <row r="49" spans="2:32" x14ac:dyDescent="0.45">
      <c r="B49" t="s">
        <v>210</v>
      </c>
      <c r="C49" t="s">
        <v>220</v>
      </c>
      <c r="H49" t="s">
        <v>298</v>
      </c>
      <c r="I49" t="str">
        <f>entities[[#This Row],[domain]]&amp;"."&amp;entities[[#This Row],[object_id]]</f>
        <v>device_tracker.daniel_phone</v>
      </c>
      <c r="J49">
        <f>5-COUNTBLANK(entities[[#This Row],[hidden]:[icon]])</f>
        <v>1</v>
      </c>
      <c r="K49">
        <f>IF(entities[[#This Row],[Custom Attributes]]=0,"",
COUNTIFS(entities[Custom Attributes],"&gt;0",entities[entity_id],"&lt;="&amp;entities[[#This Row],[entity_id]]))</f>
        <v>36</v>
      </c>
      <c r="L49" s="6">
        <f t="array" aca="1" ref="L49" ca="1">IF(entities[[#This Row],[Custom Attributes]]&lt;1,"",
MATCH(FALSE, ISBLANK(OFFSET(entities[[#This Row],[hidden]],0,0,1,5)), 0))</f>
        <v>5</v>
      </c>
      <c r="M49" s="6" t="str">
        <f t="array" aca="1" ref="M49" ca="1">IF(entities[[#This Row],[Custom Attributes]]&lt;2,"",
IF(entities[[#This Row],[1]]=5-1,5,
MATCH(FALSE, ISBLANK(OFFSET(entities[[#This Row],[hidden]],0,entities[[#This Row],[1]],1,5-entities[[#This Row],[1]])), 0)+entities[[#This Row],[1]]))</f>
        <v/>
      </c>
      <c r="N49" s="6" t="str">
        <f t="array" aca="1" ref="N49" ca="1">IF(entities[[#This Row],[Custom Attributes]]&lt;3,"",
IF(entities[[#This Row],[2]]=5-1,5,
MATCH(FALSE, ISBLANK(OFFSET(entities[[#This Row],[hidden]],0,entities[[#This Row],[2]],1,5-entities[[#This Row],[2]])), 0)+entities[[#This Row],[2]]))</f>
        <v/>
      </c>
      <c r="O49" s="6" t="str">
        <f t="array" aca="1" ref="O49" ca="1">IF(entities[[#This Row],[Custom Attributes]]&lt;4,"",
IF(entities[[#This Row],[3]]=5-1,5,
MATCH(FALSE, ISBLANK(OFFSET(entities[[#This Row],[hidden]],0,entities[[#This Row],[3]],1,5-entities[[#This Row],[3]])), 0)+entities[[#This Row],[3]]))</f>
        <v/>
      </c>
      <c r="P49" s="14" t="str">
        <f ca="1">IF(entities[[#This Row],[1]]="","",
VLOOKUP(entities[[#This Row],[1]],Lookup!$B$5:$D$9,3,FALSE)  &amp;  INDEX(entities[[#This Row],[hidden]:[icon]],entities[[#This Row],[1]])
)</f>
        <v xml:space="preserve">  icon: mdi:cellphone-iphone</v>
      </c>
      <c r="Q49" s="6" t="str">
        <f ca="1">IF(entities[[#This Row],[2]]="","",
VLOOKUP(entities[[#This Row],[2]],Lookup!$B$5:$D$9,3,FALSE)  &amp;  INDEX(entities[[#This Row],[hidden]:[icon]],entities[[#This Row],[2]])
)</f>
        <v/>
      </c>
      <c r="R49" s="6" t="str">
        <f ca="1">IF(entities[[#This Row],[3]]="","",
VLOOKUP(entities[[#This Row],[3]],Lookup!$B$5:$D$9,3,FALSE)  &amp;  INDEX(entities[[#This Row],[hidden]:[icon]],entities[[#This Row],[3]])
)</f>
        <v/>
      </c>
      <c r="S49" s="6" t="str">
        <f ca="1">IF(entities[[#This Row],[4]]="","",
VLOOKUP(entities[[#This Row],[4]],Lookup!$B$5:$D$9,3,FALSE)  &amp;  INDEX(entities[[#This Row],[hidden]:[icon]],entities[[#This Row],[4]])
)</f>
        <v/>
      </c>
      <c r="T49" t="str">
        <f t="array" ref="T49">IFERROR(INDEX(cards[object_id],SMALL(IF(cards[[1]:[25]]=entities[[#This Row],[entity_id]],ROW(cards[])-7,99^99),1)),"")</f>
        <v>phones</v>
      </c>
      <c r="U49" t="str">
        <f>IF(entities[[#This Row],[In HA?]]&lt;&gt;"ok",  "Not in Home Assistant",
IF(entities[[#This Row],[hidden]]="true",  "Hidden",
IF(entities[[#This Row],[Card]]&lt;&gt;"",
INDEX(cards[name],MATCH(entities[[#This Row],[Card]],cards[object_id],0)),  "Badge / automatic card")))</f>
        <v>LAN || Phones</v>
      </c>
      <c r="V49" t="str">
        <f>IF(entities[[#This Row],[Card]]&lt;&gt;"","group."&amp;entities[[#This Row],[Card]],"")</f>
        <v>group.phones</v>
      </c>
      <c r="W49" t="str">
        <f t="array" ref="W49">IFERROR(IF(entities[[#This Row],[Assigned Card]]="","",INDEX(views[object_id],SMALL(IF(views[[1]:[25]]=entities[[#This Row],[Assigned Card]],ROW(views[])-7,99^99),1))),"")</f>
        <v>network_view</v>
      </c>
      <c r="X49" t="str">
        <f t="array" ref="X49">IFERROR(INDEX(views[object_id],SMALL(IF(views[[1]:[25]]=entities[[#This Row],[entity_id]],ROW(views[])-7,99^99),1)),"")</f>
        <v/>
      </c>
      <c r="Y49" t="str">
        <f>IF(entities[[#This Row],[View from card]]&lt;&gt;"",entities[[#This Row],[View from card]],entities[[#This Row],[View from entitiy]])</f>
        <v>network_view</v>
      </c>
      <c r="Z49" t="str">
        <f>IF(entities[[#This Row],[In HA?]]&lt;&gt;"ok",  "Not in Home Assistant",
IF(entities[[#This Row],[hidden]]="true",  "Hidden",
IF(entities[[#This Row],[View]]&lt;&gt;"",
INDEX(views[name],MATCH(entities[[#This Row],[View]],views[object_id],0)),  "Default view")))</f>
        <v>Network</v>
      </c>
      <c r="AA49" t="str">
        <f>IF(entities[[#This Row],[View]]&lt;&gt;"","group."&amp;entities[[#This Row],[View]],"")</f>
        <v>group.network_view</v>
      </c>
      <c r="AB49" s="6" t="str">
        <f>IF(COUNTIF(Table4[Entity],entities[[#This Row],[entity_id]]),"ok","Missing from States tab")</f>
        <v>ok</v>
      </c>
      <c r="AF49"/>
    </row>
    <row r="50" spans="2:32" x14ac:dyDescent="0.45">
      <c r="B50" t="s">
        <v>210</v>
      </c>
      <c r="C50" t="s">
        <v>221</v>
      </c>
      <c r="H50" t="s">
        <v>304</v>
      </c>
      <c r="I50" t="str">
        <f>entities[[#This Row],[domain]]&amp;"."&amp;entities[[#This Row],[object_id]]</f>
        <v>device_tracker.echo_dot</v>
      </c>
      <c r="J50">
        <f>5-COUNTBLANK(entities[[#This Row],[hidden]:[icon]])</f>
        <v>1</v>
      </c>
      <c r="K50">
        <f>IF(entities[[#This Row],[Custom Attributes]]=0,"",
COUNTIFS(entities[Custom Attributes],"&gt;0",entities[entity_id],"&lt;="&amp;entities[[#This Row],[entity_id]]))</f>
        <v>37</v>
      </c>
      <c r="L50" s="6">
        <f t="array" aca="1" ref="L50" ca="1">IF(entities[[#This Row],[Custom Attributes]]&lt;1,"",
MATCH(FALSE, ISBLANK(OFFSET(entities[[#This Row],[hidden]],0,0,1,5)), 0))</f>
        <v>5</v>
      </c>
      <c r="M50" s="6" t="str">
        <f t="array" aca="1" ref="M50" ca="1">IF(entities[[#This Row],[Custom Attributes]]&lt;2,"",
IF(entities[[#This Row],[1]]=5-1,5,
MATCH(FALSE, ISBLANK(OFFSET(entities[[#This Row],[hidden]],0,entities[[#This Row],[1]],1,5-entities[[#This Row],[1]])), 0)+entities[[#This Row],[1]]))</f>
        <v/>
      </c>
      <c r="N50" s="6" t="str">
        <f t="array" aca="1" ref="N50" ca="1">IF(entities[[#This Row],[Custom Attributes]]&lt;3,"",
IF(entities[[#This Row],[2]]=5-1,5,
MATCH(FALSE, ISBLANK(OFFSET(entities[[#This Row],[hidden]],0,entities[[#This Row],[2]],1,5-entities[[#This Row],[2]])), 0)+entities[[#This Row],[2]]))</f>
        <v/>
      </c>
      <c r="O50" s="6" t="str">
        <f t="array" aca="1" ref="O50" ca="1">IF(entities[[#This Row],[Custom Attributes]]&lt;4,"",
IF(entities[[#This Row],[3]]=5-1,5,
MATCH(FALSE, ISBLANK(OFFSET(entities[[#This Row],[hidden]],0,entities[[#This Row],[3]],1,5-entities[[#This Row],[3]])), 0)+entities[[#This Row],[3]]))</f>
        <v/>
      </c>
      <c r="P50" s="14" t="str">
        <f ca="1">IF(entities[[#This Row],[1]]="","",
VLOOKUP(entities[[#This Row],[1]],Lookup!$B$5:$D$9,3,FALSE)  &amp;  INDEX(entities[[#This Row],[hidden]:[icon]],entities[[#This Row],[1]])
)</f>
        <v xml:space="preserve">  icon: mdi:amazon</v>
      </c>
      <c r="Q50" s="6" t="str">
        <f ca="1">IF(entities[[#This Row],[2]]="","",
VLOOKUP(entities[[#This Row],[2]],Lookup!$B$5:$D$9,3,FALSE)  &amp;  INDEX(entities[[#This Row],[hidden]:[icon]],entities[[#This Row],[2]])
)</f>
        <v/>
      </c>
      <c r="R50" s="6" t="str">
        <f ca="1">IF(entities[[#This Row],[3]]="","",
VLOOKUP(entities[[#This Row],[3]],Lookup!$B$5:$D$9,3,FALSE)  &amp;  INDEX(entities[[#This Row],[hidden]:[icon]],entities[[#This Row],[3]])
)</f>
        <v/>
      </c>
      <c r="S50" s="6" t="str">
        <f ca="1">IF(entities[[#This Row],[4]]="","",
VLOOKUP(entities[[#This Row],[4]],Lookup!$B$5:$D$9,3,FALSE)  &amp;  INDEX(entities[[#This Row],[hidden]:[icon]],entities[[#This Row],[4]])
)</f>
        <v/>
      </c>
      <c r="T50" t="str">
        <f t="array" ref="T50">IFERROR(INDEX(cards[object_id],SMALL(IF(cards[[1]:[25]]=entities[[#This Row],[entity_id]],ROW(cards[])-7,99^99),1)),"")</f>
        <v>iot_devices</v>
      </c>
      <c r="U50" t="str">
        <f>IF(entities[[#This Row],[In HA?]]&lt;&gt;"ok",  "Not in Home Assistant",
IF(entities[[#This Row],[hidden]]="true",  "Hidden",
IF(entities[[#This Row],[Card]]&lt;&gt;"",
INDEX(cards[name],MATCH(entities[[#This Row],[Card]],cards[object_id],0)),  "Badge / automatic card")))</f>
        <v>LAN || IoT</v>
      </c>
      <c r="V50" t="str">
        <f>IF(entities[[#This Row],[Card]]&lt;&gt;"","group."&amp;entities[[#This Row],[Card]],"")</f>
        <v>group.iot_devices</v>
      </c>
      <c r="W50" t="str">
        <f t="array" ref="W50">IFERROR(IF(entities[[#This Row],[Assigned Card]]="","",INDEX(views[object_id],SMALL(IF(views[[1]:[25]]=entities[[#This Row],[Assigned Card]],ROW(views[])-7,99^99),1))),"")</f>
        <v>network_view</v>
      </c>
      <c r="X50" t="str">
        <f t="array" ref="X50">IFERROR(INDEX(views[object_id],SMALL(IF(views[[1]:[25]]=entities[[#This Row],[entity_id]],ROW(views[])-7,99^99),1)),"")</f>
        <v/>
      </c>
      <c r="Y50" t="str">
        <f>IF(entities[[#This Row],[View from card]]&lt;&gt;"",entities[[#This Row],[View from card]],entities[[#This Row],[View from entitiy]])</f>
        <v>network_view</v>
      </c>
      <c r="Z50" t="str">
        <f>IF(entities[[#This Row],[In HA?]]&lt;&gt;"ok",  "Not in Home Assistant",
IF(entities[[#This Row],[hidden]]="true",  "Hidden",
IF(entities[[#This Row],[View]]&lt;&gt;"",
INDEX(views[name],MATCH(entities[[#This Row],[View]],views[object_id],0)),  "Default view")))</f>
        <v>Network</v>
      </c>
      <c r="AA50" t="str">
        <f>IF(entities[[#This Row],[View]]&lt;&gt;"","group."&amp;entities[[#This Row],[View]],"")</f>
        <v>group.network_view</v>
      </c>
      <c r="AB50" s="6" t="str">
        <f>IF(COUNTIF(Table4[Entity],entities[[#This Row],[entity_id]]),"ok","Missing from States tab")</f>
        <v>ok</v>
      </c>
      <c r="AF50"/>
    </row>
    <row r="51" spans="2:32" x14ac:dyDescent="0.45">
      <c r="B51" t="s">
        <v>210</v>
      </c>
      <c r="C51" t="s">
        <v>841</v>
      </c>
      <c r="H51" t="s">
        <v>304</v>
      </c>
      <c r="I51" t="str">
        <f>entities[[#This Row],[domain]]&amp;"."&amp;entities[[#This Row],[object_id]]</f>
        <v>device_tracker.echo_tap</v>
      </c>
      <c r="J51">
        <f>5-COUNTBLANK(entities[[#This Row],[hidden]:[icon]])</f>
        <v>1</v>
      </c>
      <c r="K51">
        <f>IF(entities[[#This Row],[Custom Attributes]]=0,"",
COUNTIFS(entities[Custom Attributes],"&gt;0",entities[entity_id],"&lt;="&amp;entities[[#This Row],[entity_id]]))</f>
        <v>38</v>
      </c>
      <c r="L51" s="6">
        <f t="array" aca="1" ref="L51" ca="1">IF(entities[[#This Row],[Custom Attributes]]&lt;1,"",
MATCH(FALSE, ISBLANK(OFFSET(entities[[#This Row],[hidden]],0,0,1,5)), 0))</f>
        <v>5</v>
      </c>
      <c r="M51" s="6" t="str">
        <f t="array" aca="1" ref="M51" ca="1">IF(entities[[#This Row],[Custom Attributes]]&lt;2,"",
IF(entities[[#This Row],[1]]=5-1,5,
MATCH(FALSE, ISBLANK(OFFSET(entities[[#This Row],[hidden]],0,entities[[#This Row],[1]],1,5-entities[[#This Row],[1]])), 0)+entities[[#This Row],[1]]))</f>
        <v/>
      </c>
      <c r="N51" s="6" t="str">
        <f t="array" aca="1" ref="N51" ca="1">IF(entities[[#This Row],[Custom Attributes]]&lt;3,"",
IF(entities[[#This Row],[2]]=5-1,5,
MATCH(FALSE, ISBLANK(OFFSET(entities[[#This Row],[hidden]],0,entities[[#This Row],[2]],1,5-entities[[#This Row],[2]])), 0)+entities[[#This Row],[2]]))</f>
        <v/>
      </c>
      <c r="O51" s="6" t="str">
        <f t="array" aca="1" ref="O51" ca="1">IF(entities[[#This Row],[Custom Attributes]]&lt;4,"",
IF(entities[[#This Row],[3]]=5-1,5,
MATCH(FALSE, ISBLANK(OFFSET(entities[[#This Row],[hidden]],0,entities[[#This Row],[3]],1,5-entities[[#This Row],[3]])), 0)+entities[[#This Row],[3]]))</f>
        <v/>
      </c>
      <c r="P51" s="14" t="str">
        <f ca="1">IF(entities[[#This Row],[1]]="","",
VLOOKUP(entities[[#This Row],[1]],Lookup!$B$5:$D$9,3,FALSE)  &amp;  INDEX(entities[[#This Row],[hidden]:[icon]],entities[[#This Row],[1]])
)</f>
        <v xml:space="preserve">  icon: mdi:amazon</v>
      </c>
      <c r="Q51" s="6" t="str">
        <f ca="1">IF(entities[[#This Row],[2]]="","",
VLOOKUP(entities[[#This Row],[2]],Lookup!$B$5:$D$9,3,FALSE)  &amp;  INDEX(entities[[#This Row],[hidden]:[icon]],entities[[#This Row],[2]])
)</f>
        <v/>
      </c>
      <c r="R51" s="6" t="str">
        <f ca="1">IF(entities[[#This Row],[3]]="","",
VLOOKUP(entities[[#This Row],[3]],Lookup!$B$5:$D$9,3,FALSE)  &amp;  INDEX(entities[[#This Row],[hidden]:[icon]],entities[[#This Row],[3]])
)</f>
        <v/>
      </c>
      <c r="S51" s="6" t="str">
        <f ca="1">IF(entities[[#This Row],[4]]="","",
VLOOKUP(entities[[#This Row],[4]],Lookup!$B$5:$D$9,3,FALSE)  &amp;  INDEX(entities[[#This Row],[hidden]:[icon]],entities[[#This Row],[4]])
)</f>
        <v/>
      </c>
      <c r="T51" t="str">
        <f t="array" ref="T51">IFERROR(INDEX(cards[object_id],SMALL(IF(cards[[1]:[25]]=entities[[#This Row],[entity_id]],ROW(cards[])-7,99^99),1)),"")</f>
        <v>iot_devices</v>
      </c>
      <c r="U51" t="str">
        <f>IF(entities[[#This Row],[In HA?]]&lt;&gt;"ok",  "Not in Home Assistant",
IF(entities[[#This Row],[hidden]]="true",  "Hidden",
IF(entities[[#This Row],[Card]]&lt;&gt;"",
INDEX(cards[name],MATCH(entities[[#This Row],[Card]],cards[object_id],0)),  "Badge / automatic card")))</f>
        <v>LAN || IoT</v>
      </c>
      <c r="V51" t="str">
        <f>IF(entities[[#This Row],[Card]]&lt;&gt;"","group."&amp;entities[[#This Row],[Card]],"")</f>
        <v>group.iot_devices</v>
      </c>
      <c r="W51" t="str">
        <f t="array" ref="W51">IFERROR(IF(entities[[#This Row],[Assigned Card]]="","",INDEX(views[object_id],SMALL(IF(views[[1]:[25]]=entities[[#This Row],[Assigned Card]],ROW(views[])-7,99^99),1))),"")</f>
        <v>network_view</v>
      </c>
      <c r="X51" t="str">
        <f t="array" ref="X51">IFERROR(INDEX(views[object_id],SMALL(IF(views[[1]:[25]]=entities[[#This Row],[entity_id]],ROW(views[])-7,99^99),1)),"")</f>
        <v/>
      </c>
      <c r="Y51" t="str">
        <f>IF(entities[[#This Row],[View from card]]&lt;&gt;"",entities[[#This Row],[View from card]],entities[[#This Row],[View from entitiy]])</f>
        <v>network_view</v>
      </c>
      <c r="Z51" t="str">
        <f>IF(entities[[#This Row],[In HA?]]&lt;&gt;"ok",  "Not in Home Assistant",
IF(entities[[#This Row],[hidden]]="true",  "Hidden",
IF(entities[[#This Row],[View]]&lt;&gt;"",
INDEX(views[name],MATCH(entities[[#This Row],[View]],views[object_id],0)),  "Default view")))</f>
        <v>Network</v>
      </c>
      <c r="AA51" t="str">
        <f>IF(entities[[#This Row],[View]]&lt;&gt;"","group."&amp;entities[[#This Row],[View]],"")</f>
        <v>group.network_view</v>
      </c>
      <c r="AB51" s="6" t="str">
        <f>IF(COUNTIF(Table4[Entity],entities[[#This Row],[entity_id]]),"ok","Missing from States tab")</f>
        <v>ok</v>
      </c>
      <c r="AF51"/>
    </row>
    <row r="52" spans="2:32" x14ac:dyDescent="0.45">
      <c r="B52" t="s">
        <v>210</v>
      </c>
      <c r="C52" t="s">
        <v>222</v>
      </c>
      <c r="H52" t="s">
        <v>55</v>
      </c>
      <c r="I52" t="str">
        <f>entities[[#This Row],[domain]]&amp;"."&amp;entities[[#This Row],[object_id]]</f>
        <v>device_tracker.gear_fit_2</v>
      </c>
      <c r="J52">
        <f>5-COUNTBLANK(entities[[#This Row],[hidden]:[icon]])</f>
        <v>0</v>
      </c>
      <c r="K52" t="str">
        <f>IF(entities[[#This Row],[Custom Attributes]]=0,"",
COUNTIFS(entities[Custom Attributes],"&gt;0",entities[entity_id],"&lt;="&amp;entities[[#This Row],[entity_id]]))</f>
        <v/>
      </c>
      <c r="L52" s="6" t="str">
        <f t="array" aca="1" ref="L52" ca="1">IF(entities[[#This Row],[Custom Attributes]]&lt;1,"",
MATCH(FALSE, ISBLANK(OFFSET(entities[[#This Row],[hidden]],0,0,1,5)), 0))</f>
        <v/>
      </c>
      <c r="M52" s="6" t="str">
        <f t="array" aca="1" ref="M52" ca="1">IF(entities[[#This Row],[Custom Attributes]]&lt;2,"",
IF(entities[[#This Row],[1]]=5-1,5,
MATCH(FALSE, ISBLANK(OFFSET(entities[[#This Row],[hidden]],0,entities[[#This Row],[1]],1,5-entities[[#This Row],[1]])), 0)+entities[[#This Row],[1]]))</f>
        <v/>
      </c>
      <c r="N52" s="6" t="str">
        <f t="array" aca="1" ref="N52" ca="1">IF(entities[[#This Row],[Custom Attributes]]&lt;3,"",
IF(entities[[#This Row],[2]]=5-1,5,
MATCH(FALSE, ISBLANK(OFFSET(entities[[#This Row],[hidden]],0,entities[[#This Row],[2]],1,5-entities[[#This Row],[2]])), 0)+entities[[#This Row],[2]]))</f>
        <v/>
      </c>
      <c r="O52" s="6" t="str">
        <f t="array" aca="1" ref="O52" ca="1">IF(entities[[#This Row],[Custom Attributes]]&lt;4,"",
IF(entities[[#This Row],[3]]=5-1,5,
MATCH(FALSE, ISBLANK(OFFSET(entities[[#This Row],[hidden]],0,entities[[#This Row],[3]],1,5-entities[[#This Row],[3]])), 0)+entities[[#This Row],[3]]))</f>
        <v/>
      </c>
      <c r="P52" s="14" t="str">
        <f ca="1">IF(entities[[#This Row],[1]]="","",
VLOOKUP(entities[[#This Row],[1]],Lookup!$B$5:$D$9,3,FALSE)  &amp;  INDEX(entities[[#This Row],[hidden]:[icon]],entities[[#This Row],[1]])
)</f>
        <v/>
      </c>
      <c r="Q52" s="6" t="str">
        <f ca="1">IF(entities[[#This Row],[2]]="","",
VLOOKUP(entities[[#This Row],[2]],Lookup!$B$5:$D$9,3,FALSE)  &amp;  INDEX(entities[[#This Row],[hidden]:[icon]],entities[[#This Row],[2]])
)</f>
        <v/>
      </c>
      <c r="R52" s="6" t="str">
        <f ca="1">IF(entities[[#This Row],[3]]="","",
VLOOKUP(entities[[#This Row],[3]],Lookup!$B$5:$D$9,3,FALSE)  &amp;  INDEX(entities[[#This Row],[hidden]:[icon]],entities[[#This Row],[3]])
)</f>
        <v/>
      </c>
      <c r="S52" s="6" t="str">
        <f ca="1">IF(entities[[#This Row],[4]]="","",
VLOOKUP(entities[[#This Row],[4]],Lookup!$B$5:$D$9,3,FALSE)  &amp;  INDEX(entities[[#This Row],[hidden]:[icon]],entities[[#This Row],[4]])
)</f>
        <v/>
      </c>
      <c r="T52" t="str">
        <f t="array" ref="T52">IFERROR(INDEX(cards[object_id],SMALL(IF(cards[[1]:[25]]=entities[[#This Row],[entity_id]],ROW(cards[])-7,99^99),1)),"")</f>
        <v>misc_devices</v>
      </c>
      <c r="U52" t="str">
        <f>IF(entities[[#This Row],[In HA?]]&lt;&gt;"ok",  "Not in Home Assistant",
IF(entities[[#This Row],[hidden]]="true",  "Hidden",
IF(entities[[#This Row],[Card]]&lt;&gt;"",
INDEX(cards[name],MATCH(entities[[#This Row],[Card]],cards[object_id],0)),  "Badge / automatic card")))</f>
        <v>Misc Devices</v>
      </c>
      <c r="V52" t="str">
        <f>IF(entities[[#This Row],[Card]]&lt;&gt;"","group."&amp;entities[[#This Row],[Card]],"")</f>
        <v>group.misc_devices</v>
      </c>
      <c r="W52" t="str">
        <f t="array" ref="W52">IFERROR(IF(entities[[#This Row],[Assigned Card]]="","",INDEX(views[object_id],SMALL(IF(views[[1]:[25]]=entities[[#This Row],[Assigned Card]],ROW(views[])-7,99^99),1))),"")</f>
        <v/>
      </c>
      <c r="X52" t="str">
        <f t="array" ref="X52">IFERROR(INDEX(views[object_id],SMALL(IF(views[[1]:[25]]=entities[[#This Row],[entity_id]],ROW(views[])-7,99^99),1)),"")</f>
        <v/>
      </c>
      <c r="Y52" t="str">
        <f>IF(entities[[#This Row],[View from card]]&lt;&gt;"",entities[[#This Row],[View from card]],entities[[#This Row],[View from entitiy]])</f>
        <v/>
      </c>
      <c r="Z52" t="str">
        <f>IF(entities[[#This Row],[In HA?]]&lt;&gt;"ok",  "Not in Home Assistant",
IF(entities[[#This Row],[hidden]]="true",  "Hidden",
IF(entities[[#This Row],[View]]&lt;&gt;"",
INDEX(views[name],MATCH(entities[[#This Row],[View]],views[object_id],0)),  "Default view")))</f>
        <v>Default view</v>
      </c>
      <c r="AA52" t="str">
        <f>IF(entities[[#This Row],[View]]&lt;&gt;"","group."&amp;entities[[#This Row],[View]],"")</f>
        <v/>
      </c>
      <c r="AB52" s="6" t="str">
        <f>IF(COUNTIF(Table4[Entity],entities[[#This Row],[entity_id]]),"ok","Missing from States tab")</f>
        <v>ok</v>
      </c>
      <c r="AF52"/>
    </row>
    <row r="53" spans="2:32" x14ac:dyDescent="0.45">
      <c r="B53" t="s">
        <v>210</v>
      </c>
      <c r="C53" t="s">
        <v>223</v>
      </c>
      <c r="H53" t="s">
        <v>305</v>
      </c>
      <c r="I53" t="str">
        <f>entities[[#This Row],[domain]]&amp;"."&amp;entities[[#This Row],[object_id]]</f>
        <v>device_tracker.growler</v>
      </c>
      <c r="J53">
        <f>5-COUNTBLANK(entities[[#This Row],[hidden]:[icon]])</f>
        <v>1</v>
      </c>
      <c r="K53">
        <f>IF(entities[[#This Row],[Custom Attributes]]=0,"",
COUNTIFS(entities[Custom Attributes],"&gt;0",entities[entity_id],"&lt;="&amp;entities[[#This Row],[entity_id]]))</f>
        <v>39</v>
      </c>
      <c r="L53" s="6">
        <f t="array" aca="1" ref="L53" ca="1">IF(entities[[#This Row],[Custom Attributes]]&lt;1,"",
MATCH(FALSE, ISBLANK(OFFSET(entities[[#This Row],[hidden]],0,0,1,5)), 0))</f>
        <v>5</v>
      </c>
      <c r="M53" s="6" t="str">
        <f t="array" aca="1" ref="M53" ca="1">IF(entities[[#This Row],[Custom Attributes]]&lt;2,"",
IF(entities[[#This Row],[1]]=5-1,5,
MATCH(FALSE, ISBLANK(OFFSET(entities[[#This Row],[hidden]],0,entities[[#This Row],[1]],1,5-entities[[#This Row],[1]])), 0)+entities[[#This Row],[1]]))</f>
        <v/>
      </c>
      <c r="N53" s="6" t="str">
        <f t="array" aca="1" ref="N53" ca="1">IF(entities[[#This Row],[Custom Attributes]]&lt;3,"",
IF(entities[[#This Row],[2]]=5-1,5,
MATCH(FALSE, ISBLANK(OFFSET(entities[[#This Row],[hidden]],0,entities[[#This Row],[2]],1,5-entities[[#This Row],[2]])), 0)+entities[[#This Row],[2]]))</f>
        <v/>
      </c>
      <c r="O53" s="6" t="str">
        <f t="array" aca="1" ref="O53" ca="1">IF(entities[[#This Row],[Custom Attributes]]&lt;4,"",
IF(entities[[#This Row],[3]]=5-1,5,
MATCH(FALSE, ISBLANK(OFFSET(entities[[#This Row],[hidden]],0,entities[[#This Row],[3]],1,5-entities[[#This Row],[3]])), 0)+entities[[#This Row],[3]]))</f>
        <v/>
      </c>
      <c r="P53" s="14" t="str">
        <f ca="1">IF(entities[[#This Row],[1]]="","",
VLOOKUP(entities[[#This Row],[1]],Lookup!$B$5:$D$9,3,FALSE)  &amp;  INDEX(entities[[#This Row],[hidden]:[icon]],entities[[#This Row],[1]])
)</f>
        <v xml:space="preserve">  icon: mdi:laptop-windows</v>
      </c>
      <c r="Q53" s="6" t="str">
        <f ca="1">IF(entities[[#This Row],[2]]="","",
VLOOKUP(entities[[#This Row],[2]],Lookup!$B$5:$D$9,3,FALSE)  &amp;  INDEX(entities[[#This Row],[hidden]:[icon]],entities[[#This Row],[2]])
)</f>
        <v/>
      </c>
      <c r="R53" s="6" t="str">
        <f ca="1">IF(entities[[#This Row],[3]]="","",
VLOOKUP(entities[[#This Row],[3]],Lookup!$B$5:$D$9,3,FALSE)  &amp;  INDEX(entities[[#This Row],[hidden]:[icon]],entities[[#This Row],[3]])
)</f>
        <v/>
      </c>
      <c r="S53" s="6" t="str">
        <f ca="1">IF(entities[[#This Row],[4]]="","",
VLOOKUP(entities[[#This Row],[4]],Lookup!$B$5:$D$9,3,FALSE)  &amp;  INDEX(entities[[#This Row],[hidden]:[icon]],entities[[#This Row],[4]])
)</f>
        <v/>
      </c>
      <c r="T53" t="str">
        <f t="array" ref="T53">IFERROR(INDEX(cards[object_id],SMALL(IF(cards[[1]:[25]]=entities[[#This Row],[entity_id]],ROW(cards[])-7,99^99),1)),"")</f>
        <v>personal_devices</v>
      </c>
      <c r="U53" t="str">
        <f>IF(entities[[#This Row],[In HA?]]&lt;&gt;"ok",  "Not in Home Assistant",
IF(entities[[#This Row],[hidden]]="true",  "Hidden",
IF(entities[[#This Row],[Card]]&lt;&gt;"",
INDEX(cards[name],MATCH(entities[[#This Row],[Card]],cards[object_id],0)),  "Badge / automatic card")))</f>
        <v>LAN || Computers</v>
      </c>
      <c r="V53" t="str">
        <f>IF(entities[[#This Row],[Card]]&lt;&gt;"","group."&amp;entities[[#This Row],[Card]],"")</f>
        <v>group.personal_devices</v>
      </c>
      <c r="W53" t="str">
        <f t="array" ref="W53">IFERROR(IF(entities[[#This Row],[Assigned Card]]="","",INDEX(views[object_id],SMALL(IF(views[[1]:[25]]=entities[[#This Row],[Assigned Card]],ROW(views[])-7,99^99),1))),"")</f>
        <v>network_view</v>
      </c>
      <c r="X53" t="str">
        <f t="array" ref="X53">IFERROR(INDEX(views[object_id],SMALL(IF(views[[1]:[25]]=entities[[#This Row],[entity_id]],ROW(views[])-7,99^99),1)),"")</f>
        <v/>
      </c>
      <c r="Y53" t="str">
        <f>IF(entities[[#This Row],[View from card]]&lt;&gt;"",entities[[#This Row],[View from card]],entities[[#This Row],[View from entitiy]])</f>
        <v>network_view</v>
      </c>
      <c r="Z53" t="str">
        <f>IF(entities[[#This Row],[In HA?]]&lt;&gt;"ok",  "Not in Home Assistant",
IF(entities[[#This Row],[hidden]]="true",  "Hidden",
IF(entities[[#This Row],[View]]&lt;&gt;"",
INDEX(views[name],MATCH(entities[[#This Row],[View]],views[object_id],0)),  "Default view")))</f>
        <v>Network</v>
      </c>
      <c r="AA53" t="str">
        <f>IF(entities[[#This Row],[View]]&lt;&gt;"","group."&amp;entities[[#This Row],[View]],"")</f>
        <v>group.network_view</v>
      </c>
      <c r="AB53" s="6" t="str">
        <f>IF(COUNTIF(Table4[Entity],entities[[#This Row],[entity_id]]),"ok","Missing from States tab")</f>
        <v>ok</v>
      </c>
      <c r="AF53"/>
    </row>
    <row r="54" spans="2:32" x14ac:dyDescent="0.45">
      <c r="B54" t="s">
        <v>210</v>
      </c>
      <c r="C54" t="s">
        <v>224</v>
      </c>
      <c r="H54" t="s">
        <v>55</v>
      </c>
      <c r="I54" t="str">
        <f>entities[[#This Row],[domain]]&amp;"."&amp;entities[[#This Row],[object_id]]</f>
        <v>device_tracker.hue_hub</v>
      </c>
      <c r="J54">
        <f>5-COUNTBLANK(entities[[#This Row],[hidden]:[icon]])</f>
        <v>0</v>
      </c>
      <c r="K54" t="str">
        <f>IF(entities[[#This Row],[Custom Attributes]]=0,"",
COUNTIFS(entities[Custom Attributes],"&gt;0",entities[entity_id],"&lt;="&amp;entities[[#This Row],[entity_id]]))</f>
        <v/>
      </c>
      <c r="L54" s="6" t="str">
        <f t="array" aca="1" ref="L54" ca="1">IF(entities[[#This Row],[Custom Attributes]]&lt;1,"",
MATCH(FALSE, ISBLANK(OFFSET(entities[[#This Row],[hidden]],0,0,1,5)), 0))</f>
        <v/>
      </c>
      <c r="M54" s="6" t="str">
        <f t="array" aca="1" ref="M54" ca="1">IF(entities[[#This Row],[Custom Attributes]]&lt;2,"",
IF(entities[[#This Row],[1]]=5-1,5,
MATCH(FALSE, ISBLANK(OFFSET(entities[[#This Row],[hidden]],0,entities[[#This Row],[1]],1,5-entities[[#This Row],[1]])), 0)+entities[[#This Row],[1]]))</f>
        <v/>
      </c>
      <c r="N54" s="6" t="str">
        <f t="array" aca="1" ref="N54" ca="1">IF(entities[[#This Row],[Custom Attributes]]&lt;3,"",
IF(entities[[#This Row],[2]]=5-1,5,
MATCH(FALSE, ISBLANK(OFFSET(entities[[#This Row],[hidden]],0,entities[[#This Row],[2]],1,5-entities[[#This Row],[2]])), 0)+entities[[#This Row],[2]]))</f>
        <v/>
      </c>
      <c r="O54" s="6" t="str">
        <f t="array" aca="1" ref="O54" ca="1">IF(entities[[#This Row],[Custom Attributes]]&lt;4,"",
IF(entities[[#This Row],[3]]=5-1,5,
MATCH(FALSE, ISBLANK(OFFSET(entities[[#This Row],[hidden]],0,entities[[#This Row],[3]],1,5-entities[[#This Row],[3]])), 0)+entities[[#This Row],[3]]))</f>
        <v/>
      </c>
      <c r="P54" s="14" t="str">
        <f ca="1">IF(entities[[#This Row],[1]]="","",
VLOOKUP(entities[[#This Row],[1]],Lookup!$B$5:$D$9,3,FALSE)  &amp;  INDEX(entities[[#This Row],[hidden]:[icon]],entities[[#This Row],[1]])
)</f>
        <v/>
      </c>
      <c r="Q54" s="6" t="str">
        <f ca="1">IF(entities[[#This Row],[2]]="","",
VLOOKUP(entities[[#This Row],[2]],Lookup!$B$5:$D$9,3,FALSE)  &amp;  INDEX(entities[[#This Row],[hidden]:[icon]],entities[[#This Row],[2]])
)</f>
        <v/>
      </c>
      <c r="R54" s="6" t="str">
        <f ca="1">IF(entities[[#This Row],[3]]="","",
VLOOKUP(entities[[#This Row],[3]],Lookup!$B$5:$D$9,3,FALSE)  &amp;  INDEX(entities[[#This Row],[hidden]:[icon]],entities[[#This Row],[3]])
)</f>
        <v/>
      </c>
      <c r="S54" s="6" t="str">
        <f ca="1">IF(entities[[#This Row],[4]]="","",
VLOOKUP(entities[[#This Row],[4]],Lookup!$B$5:$D$9,3,FALSE)  &amp;  INDEX(entities[[#This Row],[hidden]:[icon]],entities[[#This Row],[4]])
)</f>
        <v/>
      </c>
      <c r="T54" t="str">
        <f t="array" ref="T54">IFERROR(INDEX(cards[object_id],SMALL(IF(cards[[1]:[25]]=entities[[#This Row],[entity_id]],ROW(cards[])-7,99^99),1)),"")</f>
        <v>iot_devices</v>
      </c>
      <c r="U54" t="str">
        <f>IF(entities[[#This Row],[In HA?]]&lt;&gt;"ok",  "Not in Home Assistant",
IF(entities[[#This Row],[hidden]]="true",  "Hidden",
IF(entities[[#This Row],[Card]]&lt;&gt;"",
INDEX(cards[name],MATCH(entities[[#This Row],[Card]],cards[object_id],0)),  "Badge / automatic card")))</f>
        <v>LAN || IoT</v>
      </c>
      <c r="V54" t="str">
        <f>IF(entities[[#This Row],[Card]]&lt;&gt;"","group."&amp;entities[[#This Row],[Card]],"")</f>
        <v>group.iot_devices</v>
      </c>
      <c r="W54" t="str">
        <f t="array" ref="W54">IFERROR(IF(entities[[#This Row],[Assigned Card]]="","",INDEX(views[object_id],SMALL(IF(views[[1]:[25]]=entities[[#This Row],[Assigned Card]],ROW(views[])-7,99^99),1))),"")</f>
        <v>network_view</v>
      </c>
      <c r="X54" t="str">
        <f t="array" ref="X54">IFERROR(INDEX(views[object_id],SMALL(IF(views[[1]:[25]]=entities[[#This Row],[entity_id]],ROW(views[])-7,99^99),1)),"")</f>
        <v/>
      </c>
      <c r="Y54" t="str">
        <f>IF(entities[[#This Row],[View from card]]&lt;&gt;"",entities[[#This Row],[View from card]],entities[[#This Row],[View from entitiy]])</f>
        <v>network_view</v>
      </c>
      <c r="Z54" t="str">
        <f>IF(entities[[#This Row],[In HA?]]&lt;&gt;"ok",  "Not in Home Assistant",
IF(entities[[#This Row],[hidden]]="true",  "Hidden",
IF(entities[[#This Row],[View]]&lt;&gt;"",
INDEX(views[name],MATCH(entities[[#This Row],[View]],views[object_id],0)),  "Default view")))</f>
        <v>Network</v>
      </c>
      <c r="AA54" t="str">
        <f>IF(entities[[#This Row],[View]]&lt;&gt;"","group."&amp;entities[[#This Row],[View]],"")</f>
        <v>group.network_view</v>
      </c>
      <c r="AB54" s="6" t="str">
        <f>IF(COUNTIF(Table4[Entity],entities[[#This Row],[entity_id]]),"ok","Missing from States tab")</f>
        <v>ok</v>
      </c>
      <c r="AF54"/>
    </row>
    <row r="55" spans="2:32" x14ac:dyDescent="0.45">
      <c r="B55" t="s">
        <v>210</v>
      </c>
      <c r="C55" t="s">
        <v>225</v>
      </c>
      <c r="H55" t="s">
        <v>306</v>
      </c>
      <c r="I55" t="str">
        <f>entities[[#This Row],[domain]]&amp;"."&amp;entities[[#This Row],[object_id]]</f>
        <v>device_tracker.humvee</v>
      </c>
      <c r="J55">
        <f>5-COUNTBLANK(entities[[#This Row],[hidden]:[icon]])</f>
        <v>1</v>
      </c>
      <c r="K55">
        <f>IF(entities[[#This Row],[Custom Attributes]]=0,"",
COUNTIFS(entities[Custom Attributes],"&gt;0",entities[entity_id],"&lt;="&amp;entities[[#This Row],[entity_id]]))</f>
        <v>40</v>
      </c>
      <c r="L55" s="6">
        <f t="array" aca="1" ref="L55" ca="1">IF(entities[[#This Row],[Custom Attributes]]&lt;1,"",
MATCH(FALSE, ISBLANK(OFFSET(entities[[#This Row],[hidden]],0,0,1,5)), 0))</f>
        <v>5</v>
      </c>
      <c r="M55" s="6" t="str">
        <f t="array" aca="1" ref="M55" ca="1">IF(entities[[#This Row],[Custom Attributes]]&lt;2,"",
IF(entities[[#This Row],[1]]=5-1,5,
MATCH(FALSE, ISBLANK(OFFSET(entities[[#This Row],[hidden]],0,entities[[#This Row],[1]],1,5-entities[[#This Row],[1]])), 0)+entities[[#This Row],[1]]))</f>
        <v/>
      </c>
      <c r="N55" s="6" t="str">
        <f t="array" aca="1" ref="N55" ca="1">IF(entities[[#This Row],[Custom Attributes]]&lt;3,"",
IF(entities[[#This Row],[2]]=5-1,5,
MATCH(FALSE, ISBLANK(OFFSET(entities[[#This Row],[hidden]],0,entities[[#This Row],[2]],1,5-entities[[#This Row],[2]])), 0)+entities[[#This Row],[2]]))</f>
        <v/>
      </c>
      <c r="O55" s="6" t="str">
        <f t="array" aca="1" ref="O55" ca="1">IF(entities[[#This Row],[Custom Attributes]]&lt;4,"",
IF(entities[[#This Row],[3]]=5-1,5,
MATCH(FALSE, ISBLANK(OFFSET(entities[[#This Row],[hidden]],0,entities[[#This Row],[3]],1,5-entities[[#This Row],[3]])), 0)+entities[[#This Row],[3]]))</f>
        <v/>
      </c>
      <c r="P55" s="14" t="str">
        <f ca="1">IF(entities[[#This Row],[1]]="","",
VLOOKUP(entities[[#This Row],[1]],Lookup!$B$5:$D$9,3,FALSE)  &amp;  INDEX(entities[[#This Row],[hidden]:[icon]],entities[[#This Row],[1]])
)</f>
        <v xml:space="preserve">  icon: mdi:desktop-tower</v>
      </c>
      <c r="Q55" s="6" t="str">
        <f ca="1">IF(entities[[#This Row],[2]]="","",
VLOOKUP(entities[[#This Row],[2]],Lookup!$B$5:$D$9,3,FALSE)  &amp;  INDEX(entities[[#This Row],[hidden]:[icon]],entities[[#This Row],[2]])
)</f>
        <v/>
      </c>
      <c r="R55" s="6" t="str">
        <f ca="1">IF(entities[[#This Row],[3]]="","",
VLOOKUP(entities[[#This Row],[3]],Lookup!$B$5:$D$9,3,FALSE)  &amp;  INDEX(entities[[#This Row],[hidden]:[icon]],entities[[#This Row],[3]])
)</f>
        <v/>
      </c>
      <c r="S55" s="6" t="str">
        <f ca="1">IF(entities[[#This Row],[4]]="","",
VLOOKUP(entities[[#This Row],[4]],Lookup!$B$5:$D$9,3,FALSE)  &amp;  INDEX(entities[[#This Row],[hidden]:[icon]],entities[[#This Row],[4]])
)</f>
        <v/>
      </c>
      <c r="T55" t="str">
        <f t="array" ref="T55">IFERROR(INDEX(cards[object_id],SMALL(IF(cards[[1]:[25]]=entities[[#This Row],[entity_id]],ROW(cards[])-7,99^99),1)),"")</f>
        <v>personal_devices</v>
      </c>
      <c r="U55" t="str">
        <f>IF(entities[[#This Row],[In HA?]]&lt;&gt;"ok",  "Not in Home Assistant",
IF(entities[[#This Row],[hidden]]="true",  "Hidden",
IF(entities[[#This Row],[Card]]&lt;&gt;"",
INDEX(cards[name],MATCH(entities[[#This Row],[Card]],cards[object_id],0)),  "Badge / automatic card")))</f>
        <v>LAN || Computers</v>
      </c>
      <c r="V55" t="str">
        <f>IF(entities[[#This Row],[Card]]&lt;&gt;"","group."&amp;entities[[#This Row],[Card]],"")</f>
        <v>group.personal_devices</v>
      </c>
      <c r="W55" t="str">
        <f t="array" ref="W55">IFERROR(IF(entities[[#This Row],[Assigned Card]]="","",INDEX(views[object_id],SMALL(IF(views[[1]:[25]]=entities[[#This Row],[Assigned Card]],ROW(views[])-7,99^99),1))),"")</f>
        <v>network_view</v>
      </c>
      <c r="X55" t="str">
        <f t="array" ref="X55">IFERROR(INDEX(views[object_id],SMALL(IF(views[[1]:[25]]=entities[[#This Row],[entity_id]],ROW(views[])-7,99^99),1)),"")</f>
        <v/>
      </c>
      <c r="Y55" t="str">
        <f>IF(entities[[#This Row],[View from card]]&lt;&gt;"",entities[[#This Row],[View from card]],entities[[#This Row],[View from entitiy]])</f>
        <v>network_view</v>
      </c>
      <c r="Z55" t="str">
        <f>IF(entities[[#This Row],[In HA?]]&lt;&gt;"ok",  "Not in Home Assistant",
IF(entities[[#This Row],[hidden]]="true",  "Hidden",
IF(entities[[#This Row],[View]]&lt;&gt;"",
INDEX(views[name],MATCH(entities[[#This Row],[View]],views[object_id],0)),  "Default view")))</f>
        <v>Network</v>
      </c>
      <c r="AA55" t="str">
        <f>IF(entities[[#This Row],[View]]&lt;&gt;"","group."&amp;entities[[#This Row],[View]],"")</f>
        <v>group.network_view</v>
      </c>
      <c r="AB55" s="6" t="str">
        <f>IF(COUNTIF(Table4[Entity],entities[[#This Row],[entity_id]]),"ok","Missing from States tab")</f>
        <v>ok</v>
      </c>
      <c r="AF55"/>
    </row>
    <row r="56" spans="2:32" x14ac:dyDescent="0.45">
      <c r="B56" t="s">
        <v>210</v>
      </c>
      <c r="C56" t="s">
        <v>226</v>
      </c>
      <c r="H56" t="s">
        <v>303</v>
      </c>
      <c r="I56" t="str">
        <f>entities[[#This Row],[domain]]&amp;"."&amp;entities[[#This Row],[object_id]]</f>
        <v>device_tracker.jeep</v>
      </c>
      <c r="J56">
        <f>5-COUNTBLANK(entities[[#This Row],[hidden]:[icon]])</f>
        <v>1</v>
      </c>
      <c r="K56">
        <f>IF(entities[[#This Row],[Custom Attributes]]=0,"",
COUNTIFS(entities[Custom Attributes],"&gt;0",entities[entity_id],"&lt;="&amp;entities[[#This Row],[entity_id]]))</f>
        <v>41</v>
      </c>
      <c r="L56" s="6">
        <f t="array" aca="1" ref="L56" ca="1">IF(entities[[#This Row],[Custom Attributes]]&lt;1,"",
MATCH(FALSE, ISBLANK(OFFSET(entities[[#This Row],[hidden]],0,0,1,5)), 0))</f>
        <v>5</v>
      </c>
      <c r="M56" s="6" t="str">
        <f t="array" aca="1" ref="M56" ca="1">IF(entities[[#This Row],[Custom Attributes]]&lt;2,"",
IF(entities[[#This Row],[1]]=5-1,5,
MATCH(FALSE, ISBLANK(OFFSET(entities[[#This Row],[hidden]],0,entities[[#This Row],[1]],1,5-entities[[#This Row],[1]])), 0)+entities[[#This Row],[1]]))</f>
        <v/>
      </c>
      <c r="N56" s="6" t="str">
        <f t="array" aca="1" ref="N56" ca="1">IF(entities[[#This Row],[Custom Attributes]]&lt;3,"",
IF(entities[[#This Row],[2]]=5-1,5,
MATCH(FALSE, ISBLANK(OFFSET(entities[[#This Row],[hidden]],0,entities[[#This Row],[2]],1,5-entities[[#This Row],[2]])), 0)+entities[[#This Row],[2]]))</f>
        <v/>
      </c>
      <c r="O56" s="6" t="str">
        <f t="array" aca="1" ref="O56" ca="1">IF(entities[[#This Row],[Custom Attributes]]&lt;4,"",
IF(entities[[#This Row],[3]]=5-1,5,
MATCH(FALSE, ISBLANK(OFFSET(entities[[#This Row],[hidden]],0,entities[[#This Row],[3]],1,5-entities[[#This Row],[3]])), 0)+entities[[#This Row],[3]]))</f>
        <v/>
      </c>
      <c r="P56" s="14" t="str">
        <f ca="1">IF(entities[[#This Row],[1]]="","",
VLOOKUP(entities[[#This Row],[1]],Lookup!$B$5:$D$9,3,FALSE)  &amp;  INDEX(entities[[#This Row],[hidden]:[icon]],entities[[#This Row],[1]])
)</f>
        <v xml:space="preserve">  icon: mdi:laptop</v>
      </c>
      <c r="Q56" s="6" t="str">
        <f ca="1">IF(entities[[#This Row],[2]]="","",
VLOOKUP(entities[[#This Row],[2]],Lookup!$B$5:$D$9,3,FALSE)  &amp;  INDEX(entities[[#This Row],[hidden]:[icon]],entities[[#This Row],[2]])
)</f>
        <v/>
      </c>
      <c r="R56" s="6" t="str">
        <f ca="1">IF(entities[[#This Row],[3]]="","",
VLOOKUP(entities[[#This Row],[3]],Lookup!$B$5:$D$9,3,FALSE)  &amp;  INDEX(entities[[#This Row],[hidden]:[icon]],entities[[#This Row],[3]])
)</f>
        <v/>
      </c>
      <c r="S56" s="6" t="str">
        <f ca="1">IF(entities[[#This Row],[4]]="","",
VLOOKUP(entities[[#This Row],[4]],Lookup!$B$5:$D$9,3,FALSE)  &amp;  INDEX(entities[[#This Row],[hidden]:[icon]],entities[[#This Row],[4]])
)</f>
        <v/>
      </c>
      <c r="T56" t="str">
        <f t="array" ref="T56">IFERROR(INDEX(cards[object_id],SMALL(IF(cards[[1]:[25]]=entities[[#This Row],[entity_id]],ROW(cards[])-7,99^99),1)),"")</f>
        <v/>
      </c>
      <c r="U56" t="str">
        <f>IF(entities[[#This Row],[In HA?]]&lt;&gt;"ok",  "Not in Home Assistant",
IF(entities[[#This Row],[hidden]]="true",  "Hidden",
IF(entities[[#This Row],[Card]]&lt;&gt;"",
INDEX(cards[name],MATCH(entities[[#This Row],[Card]],cards[object_id],0)),  "Badge / automatic card")))</f>
        <v>Badge / automatic card</v>
      </c>
      <c r="V56" t="str">
        <f>IF(entities[[#This Row],[Card]]&lt;&gt;"","group."&amp;entities[[#This Row],[Card]],"")</f>
        <v/>
      </c>
      <c r="W56" t="str">
        <f t="array" ref="W56">IFERROR(IF(entities[[#This Row],[Assigned Card]]="","",INDEX(views[object_id],SMALL(IF(views[[1]:[25]]=entities[[#This Row],[Assigned Card]],ROW(views[])-7,99^99),1))),"")</f>
        <v/>
      </c>
      <c r="X56" t="str">
        <f t="array" ref="X56">IFERROR(INDEX(views[object_id],SMALL(IF(views[[1]:[25]]=entities[[#This Row],[entity_id]],ROW(views[])-7,99^99),1)),"")</f>
        <v/>
      </c>
      <c r="Y56" t="str">
        <f>IF(entities[[#This Row],[View from card]]&lt;&gt;"",entities[[#This Row],[View from card]],entities[[#This Row],[View from entitiy]])</f>
        <v/>
      </c>
      <c r="Z56" t="str">
        <f>IF(entities[[#This Row],[In HA?]]&lt;&gt;"ok",  "Not in Home Assistant",
IF(entities[[#This Row],[hidden]]="true",  "Hidden",
IF(entities[[#This Row],[View]]&lt;&gt;"",
INDEX(views[name],MATCH(entities[[#This Row],[View]],views[object_id],0)),  "Default view")))</f>
        <v>Default view</v>
      </c>
      <c r="AA56" t="str">
        <f>IF(entities[[#This Row],[View]]&lt;&gt;"","group."&amp;entities[[#This Row],[View]],"")</f>
        <v/>
      </c>
      <c r="AB56" s="6" t="str">
        <f>IF(COUNTIF(Table4[Entity],entities[[#This Row],[entity_id]]),"ok","Missing from States tab")</f>
        <v>ok</v>
      </c>
      <c r="AF56"/>
    </row>
    <row r="57" spans="2:32" x14ac:dyDescent="0.45">
      <c r="B57" t="s">
        <v>210</v>
      </c>
      <c r="C57" t="s">
        <v>227</v>
      </c>
      <c r="H57" t="s">
        <v>307</v>
      </c>
      <c r="I57" t="str">
        <f>entities[[#This Row],[domain]]&amp;"."&amp;entities[[#This Row],[object_id]]</f>
        <v>device_tracker.jtac</v>
      </c>
      <c r="J57">
        <f>5-COUNTBLANK(entities[[#This Row],[hidden]:[icon]])</f>
        <v>1</v>
      </c>
      <c r="K57">
        <f>IF(entities[[#This Row],[Custom Attributes]]=0,"",
COUNTIFS(entities[Custom Attributes],"&gt;0",entities[entity_id],"&lt;="&amp;entities[[#This Row],[entity_id]]))</f>
        <v>42</v>
      </c>
      <c r="L57" s="6">
        <f t="array" aca="1" ref="L57" ca="1">IF(entities[[#This Row],[Custom Attributes]]&lt;1,"",
MATCH(FALSE, ISBLANK(OFFSET(entities[[#This Row],[hidden]],0,0,1,5)), 0))</f>
        <v>5</v>
      </c>
      <c r="M57" s="6" t="str">
        <f t="array" aca="1" ref="M57" ca="1">IF(entities[[#This Row],[Custom Attributes]]&lt;2,"",
IF(entities[[#This Row],[1]]=5-1,5,
MATCH(FALSE, ISBLANK(OFFSET(entities[[#This Row],[hidden]],0,entities[[#This Row],[1]],1,5-entities[[#This Row],[1]])), 0)+entities[[#This Row],[1]]))</f>
        <v/>
      </c>
      <c r="N57" s="6" t="str">
        <f t="array" aca="1" ref="N57" ca="1">IF(entities[[#This Row],[Custom Attributes]]&lt;3,"",
IF(entities[[#This Row],[2]]=5-1,5,
MATCH(FALSE, ISBLANK(OFFSET(entities[[#This Row],[hidden]],0,entities[[#This Row],[2]],1,5-entities[[#This Row],[2]])), 0)+entities[[#This Row],[2]]))</f>
        <v/>
      </c>
      <c r="O57" s="6" t="str">
        <f t="array" aca="1" ref="O57" ca="1">IF(entities[[#This Row],[Custom Attributes]]&lt;4,"",
IF(entities[[#This Row],[3]]=5-1,5,
MATCH(FALSE, ISBLANK(OFFSET(entities[[#This Row],[hidden]],0,entities[[#This Row],[3]],1,5-entities[[#This Row],[3]])), 0)+entities[[#This Row],[3]]))</f>
        <v/>
      </c>
      <c r="P57" s="14" t="str">
        <f ca="1">IF(entities[[#This Row],[1]]="","",
VLOOKUP(entities[[#This Row],[1]],Lookup!$B$5:$D$9,3,FALSE)  &amp;  INDEX(entities[[#This Row],[hidden]:[icon]],entities[[#This Row],[1]])
)</f>
        <v xml:space="preserve">  icon: mdi:pi</v>
      </c>
      <c r="Q57" s="6" t="str">
        <f ca="1">IF(entities[[#This Row],[2]]="","",
VLOOKUP(entities[[#This Row],[2]],Lookup!$B$5:$D$9,3,FALSE)  &amp;  INDEX(entities[[#This Row],[hidden]:[icon]],entities[[#This Row],[2]])
)</f>
        <v/>
      </c>
      <c r="R57" s="6" t="str">
        <f ca="1">IF(entities[[#This Row],[3]]="","",
VLOOKUP(entities[[#This Row],[3]],Lookup!$B$5:$D$9,3,FALSE)  &amp;  INDEX(entities[[#This Row],[hidden]:[icon]],entities[[#This Row],[3]])
)</f>
        <v/>
      </c>
      <c r="S57" s="6" t="str">
        <f ca="1">IF(entities[[#This Row],[4]]="","",
VLOOKUP(entities[[#This Row],[4]],Lookup!$B$5:$D$9,3,FALSE)  &amp;  INDEX(entities[[#This Row],[hidden]:[icon]],entities[[#This Row],[4]])
)</f>
        <v/>
      </c>
      <c r="T57" t="str">
        <f t="array" ref="T57">IFERROR(INDEX(cards[object_id],SMALL(IF(cards[[1]:[25]]=entities[[#This Row],[entity_id]],ROW(cards[])-7,99^99),1)),"")</f>
        <v>iot_devices</v>
      </c>
      <c r="U57" t="str">
        <f>IF(entities[[#This Row],[In HA?]]&lt;&gt;"ok",  "Not in Home Assistant",
IF(entities[[#This Row],[hidden]]="true",  "Hidden",
IF(entities[[#This Row],[Card]]&lt;&gt;"",
INDEX(cards[name],MATCH(entities[[#This Row],[Card]],cards[object_id],0)),  "Badge / automatic card")))</f>
        <v>LAN || IoT</v>
      </c>
      <c r="V57" t="str">
        <f>IF(entities[[#This Row],[Card]]&lt;&gt;"","group."&amp;entities[[#This Row],[Card]],"")</f>
        <v>group.iot_devices</v>
      </c>
      <c r="W57" t="str">
        <f t="array" ref="W57">IFERROR(IF(entities[[#This Row],[Assigned Card]]="","",INDEX(views[object_id],SMALL(IF(views[[1]:[25]]=entities[[#This Row],[Assigned Card]],ROW(views[])-7,99^99),1))),"")</f>
        <v>network_view</v>
      </c>
      <c r="X57" t="str">
        <f t="array" ref="X57">IFERROR(INDEX(views[object_id],SMALL(IF(views[[1]:[25]]=entities[[#This Row],[entity_id]],ROW(views[])-7,99^99),1)),"")</f>
        <v/>
      </c>
      <c r="Y57" t="str">
        <f>IF(entities[[#This Row],[View from card]]&lt;&gt;"",entities[[#This Row],[View from card]],entities[[#This Row],[View from entitiy]])</f>
        <v>network_view</v>
      </c>
      <c r="Z57" t="str">
        <f>IF(entities[[#This Row],[In HA?]]&lt;&gt;"ok",  "Not in Home Assistant",
IF(entities[[#This Row],[hidden]]="true",  "Hidden",
IF(entities[[#This Row],[View]]&lt;&gt;"",
INDEX(views[name],MATCH(entities[[#This Row],[View]],views[object_id],0)),  "Default view")))</f>
        <v>Network</v>
      </c>
      <c r="AA57" t="str">
        <f>IF(entities[[#This Row],[View]]&lt;&gt;"","group."&amp;entities[[#This Row],[View]],"")</f>
        <v>group.network_view</v>
      </c>
      <c r="AB57" s="6" t="str">
        <f>IF(COUNTIF(Table4[Entity],entities[[#This Row],[entity_id]]),"ok","Missing from States tab")</f>
        <v>ok</v>
      </c>
      <c r="AF57"/>
    </row>
    <row r="58" spans="2:32" x14ac:dyDescent="0.45">
      <c r="B58" t="s">
        <v>210</v>
      </c>
      <c r="C58" t="s">
        <v>228</v>
      </c>
      <c r="H58" t="s">
        <v>756</v>
      </c>
      <c r="I58" t="str">
        <f>entities[[#This Row],[domain]]&amp;"."&amp;entities[[#This Row],[object_id]]</f>
        <v>device_tracker.raspi_vpn</v>
      </c>
      <c r="J58">
        <f>5-COUNTBLANK(entities[[#This Row],[hidden]:[icon]])</f>
        <v>1</v>
      </c>
      <c r="K58">
        <f>IF(entities[[#This Row],[Custom Attributes]]=0,"",
COUNTIFS(entities[Custom Attributes],"&gt;0",entities[entity_id],"&lt;="&amp;entities[[#This Row],[entity_id]]))</f>
        <v>43</v>
      </c>
      <c r="L58" s="6">
        <f t="array" aca="1" ref="L58" ca="1">IF(entities[[#This Row],[Custom Attributes]]&lt;1,"",
MATCH(FALSE, ISBLANK(OFFSET(entities[[#This Row],[hidden]],0,0,1,5)), 0))</f>
        <v>5</v>
      </c>
      <c r="M58" s="6" t="str">
        <f t="array" aca="1" ref="M58" ca="1">IF(entities[[#This Row],[Custom Attributes]]&lt;2,"",
IF(entities[[#This Row],[1]]=5-1,5,
MATCH(FALSE, ISBLANK(OFFSET(entities[[#This Row],[hidden]],0,entities[[#This Row],[1]],1,5-entities[[#This Row],[1]])), 0)+entities[[#This Row],[1]]))</f>
        <v/>
      </c>
      <c r="N58" s="6" t="str">
        <f t="array" aca="1" ref="N58" ca="1">IF(entities[[#This Row],[Custom Attributes]]&lt;3,"",
IF(entities[[#This Row],[2]]=5-1,5,
MATCH(FALSE, ISBLANK(OFFSET(entities[[#This Row],[hidden]],0,entities[[#This Row],[2]],1,5-entities[[#This Row],[2]])), 0)+entities[[#This Row],[2]]))</f>
        <v/>
      </c>
      <c r="O58" s="6" t="str">
        <f t="array" aca="1" ref="O58" ca="1">IF(entities[[#This Row],[Custom Attributes]]&lt;4,"",
IF(entities[[#This Row],[3]]=5-1,5,
MATCH(FALSE, ISBLANK(OFFSET(entities[[#This Row],[hidden]],0,entities[[#This Row],[3]],1,5-entities[[#This Row],[3]])), 0)+entities[[#This Row],[3]]))</f>
        <v/>
      </c>
      <c r="P58" s="14" t="str">
        <f ca="1">IF(entities[[#This Row],[1]]="","",
VLOOKUP(entities[[#This Row],[1]],Lookup!$B$5:$D$9,3,FALSE)  &amp;  INDEX(entities[[#This Row],[hidden]:[icon]],entities[[#This Row],[1]])
)</f>
        <v xml:space="preserve">  icon: mdi:vpn</v>
      </c>
      <c r="Q58" s="6" t="str">
        <f ca="1">IF(entities[[#This Row],[2]]="","",
VLOOKUP(entities[[#This Row],[2]],Lookup!$B$5:$D$9,3,FALSE)  &amp;  INDEX(entities[[#This Row],[hidden]:[icon]],entities[[#This Row],[2]])
)</f>
        <v/>
      </c>
      <c r="R58" s="6" t="str">
        <f ca="1">IF(entities[[#This Row],[3]]="","",
VLOOKUP(entities[[#This Row],[3]],Lookup!$B$5:$D$9,3,FALSE)  &amp;  INDEX(entities[[#This Row],[hidden]:[icon]],entities[[#This Row],[3]])
)</f>
        <v/>
      </c>
      <c r="S58" s="6" t="str">
        <f ca="1">IF(entities[[#This Row],[4]]="","",
VLOOKUP(entities[[#This Row],[4]],Lookup!$B$5:$D$9,3,FALSE)  &amp;  INDEX(entities[[#This Row],[hidden]:[icon]],entities[[#This Row],[4]])
)</f>
        <v/>
      </c>
      <c r="T58" t="str">
        <f t="array" ref="T58">IFERROR(INDEX(cards[object_id],SMALL(IF(cards[[1]:[25]]=entities[[#This Row],[entity_id]],ROW(cards[])-7,99^99),1)),"")</f>
        <v>iot_devices</v>
      </c>
      <c r="U58" t="str">
        <f>IF(entities[[#This Row],[In HA?]]&lt;&gt;"ok",  "Not in Home Assistant",
IF(entities[[#This Row],[hidden]]="true",  "Hidden",
IF(entities[[#This Row],[Card]]&lt;&gt;"",
INDEX(cards[name],MATCH(entities[[#This Row],[Card]],cards[object_id],0)),  "Badge / automatic card")))</f>
        <v>LAN || IoT</v>
      </c>
      <c r="V58" t="str">
        <f>IF(entities[[#This Row],[Card]]&lt;&gt;"","group."&amp;entities[[#This Row],[Card]],"")</f>
        <v>group.iot_devices</v>
      </c>
      <c r="W58" t="str">
        <f t="array" ref="W58">IFERROR(IF(entities[[#This Row],[Assigned Card]]="","",INDEX(views[object_id],SMALL(IF(views[[1]:[25]]=entities[[#This Row],[Assigned Card]],ROW(views[])-7,99^99),1))),"")</f>
        <v>network_view</v>
      </c>
      <c r="X58" t="str">
        <f t="array" ref="X58">IFERROR(INDEX(views[object_id],SMALL(IF(views[[1]:[25]]=entities[[#This Row],[entity_id]],ROW(views[])-7,99^99),1)),"")</f>
        <v/>
      </c>
      <c r="Y58" t="str">
        <f>IF(entities[[#This Row],[View from card]]&lt;&gt;"",entities[[#This Row],[View from card]],entities[[#This Row],[View from entitiy]])</f>
        <v>network_view</v>
      </c>
      <c r="Z58" t="str">
        <f>IF(entities[[#This Row],[In HA?]]&lt;&gt;"ok",  "Not in Home Assistant",
IF(entities[[#This Row],[hidden]]="true",  "Hidden",
IF(entities[[#This Row],[View]]&lt;&gt;"",
INDEX(views[name],MATCH(entities[[#This Row],[View]],views[object_id],0)),  "Default view")))</f>
        <v>Network</v>
      </c>
      <c r="AA58" t="str">
        <f>IF(entities[[#This Row],[View]]&lt;&gt;"","group."&amp;entities[[#This Row],[View]],"")</f>
        <v>group.network_view</v>
      </c>
      <c r="AB58" s="6" t="str">
        <f>IF(COUNTIF(Table4[Entity],entities[[#This Row],[entity_id]]),"ok","Missing from States tab")</f>
        <v>ok</v>
      </c>
      <c r="AF58"/>
    </row>
    <row r="59" spans="2:32" x14ac:dyDescent="0.45">
      <c r="B59" t="s">
        <v>210</v>
      </c>
      <c r="C59" t="s">
        <v>229</v>
      </c>
      <c r="H59" t="s">
        <v>308</v>
      </c>
      <c r="I59" t="str">
        <f>entities[[#This Row],[domain]]&amp;"."&amp;entities[[#This Row],[object_id]]</f>
        <v>device_tracker.ron_phone</v>
      </c>
      <c r="J59">
        <f>5-COUNTBLANK(entities[[#This Row],[hidden]:[icon]])</f>
        <v>1</v>
      </c>
      <c r="K59">
        <f>IF(entities[[#This Row],[Custom Attributes]]=0,"",
COUNTIFS(entities[Custom Attributes],"&gt;0",entities[entity_id],"&lt;="&amp;entities[[#This Row],[entity_id]]))</f>
        <v>44</v>
      </c>
      <c r="L59" s="6">
        <f t="array" aca="1" ref="L59" ca="1">IF(entities[[#This Row],[Custom Attributes]]&lt;1,"",
MATCH(FALSE, ISBLANK(OFFSET(entities[[#This Row],[hidden]],0,0,1,5)), 0))</f>
        <v>5</v>
      </c>
      <c r="M59" s="6" t="str">
        <f t="array" aca="1" ref="M59" ca="1">IF(entities[[#This Row],[Custom Attributes]]&lt;2,"",
IF(entities[[#This Row],[1]]=5-1,5,
MATCH(FALSE, ISBLANK(OFFSET(entities[[#This Row],[hidden]],0,entities[[#This Row],[1]],1,5-entities[[#This Row],[1]])), 0)+entities[[#This Row],[1]]))</f>
        <v/>
      </c>
      <c r="N59" s="6" t="str">
        <f t="array" aca="1" ref="N59" ca="1">IF(entities[[#This Row],[Custom Attributes]]&lt;3,"",
IF(entities[[#This Row],[2]]=5-1,5,
MATCH(FALSE, ISBLANK(OFFSET(entities[[#This Row],[hidden]],0,entities[[#This Row],[2]],1,5-entities[[#This Row],[2]])), 0)+entities[[#This Row],[2]]))</f>
        <v/>
      </c>
      <c r="O59" s="6" t="str">
        <f t="array" aca="1" ref="O59" ca="1">IF(entities[[#This Row],[Custom Attributes]]&lt;4,"",
IF(entities[[#This Row],[3]]=5-1,5,
MATCH(FALSE, ISBLANK(OFFSET(entities[[#This Row],[hidden]],0,entities[[#This Row],[3]],1,5-entities[[#This Row],[3]])), 0)+entities[[#This Row],[3]]))</f>
        <v/>
      </c>
      <c r="P59" s="14" t="str">
        <f ca="1">IF(entities[[#This Row],[1]]="","",
VLOOKUP(entities[[#This Row],[1]],Lookup!$B$5:$D$9,3,FALSE)  &amp;  INDEX(entities[[#This Row],[hidden]:[icon]],entities[[#This Row],[1]])
)</f>
        <v xml:space="preserve">  icon: mdi:cellphone-android</v>
      </c>
      <c r="Q59" s="6" t="str">
        <f ca="1">IF(entities[[#This Row],[2]]="","",
VLOOKUP(entities[[#This Row],[2]],Lookup!$B$5:$D$9,3,FALSE)  &amp;  INDEX(entities[[#This Row],[hidden]:[icon]],entities[[#This Row],[2]])
)</f>
        <v/>
      </c>
      <c r="R59" s="6" t="str">
        <f ca="1">IF(entities[[#This Row],[3]]="","",
VLOOKUP(entities[[#This Row],[3]],Lookup!$B$5:$D$9,3,FALSE)  &amp;  INDEX(entities[[#This Row],[hidden]:[icon]],entities[[#This Row],[3]])
)</f>
        <v/>
      </c>
      <c r="S59" s="6" t="str">
        <f ca="1">IF(entities[[#This Row],[4]]="","",
VLOOKUP(entities[[#This Row],[4]],Lookup!$B$5:$D$9,3,FALSE)  &amp;  INDEX(entities[[#This Row],[hidden]:[icon]],entities[[#This Row],[4]])
)</f>
        <v/>
      </c>
      <c r="T59" t="str">
        <f t="array" ref="T59">IFERROR(INDEX(cards[object_id],SMALL(IF(cards[[1]:[25]]=entities[[#This Row],[entity_id]],ROW(cards[])-7,99^99),1)),"")</f>
        <v>phones</v>
      </c>
      <c r="U59" t="str">
        <f>IF(entities[[#This Row],[In HA?]]&lt;&gt;"ok",  "Not in Home Assistant",
IF(entities[[#This Row],[hidden]]="true",  "Hidden",
IF(entities[[#This Row],[Card]]&lt;&gt;"",
INDEX(cards[name],MATCH(entities[[#This Row],[Card]],cards[object_id],0)),  "Badge / automatic card")))</f>
        <v>LAN || Phones</v>
      </c>
      <c r="V59" t="str">
        <f>IF(entities[[#This Row],[Card]]&lt;&gt;"","group."&amp;entities[[#This Row],[Card]],"")</f>
        <v>group.phones</v>
      </c>
      <c r="W59" t="str">
        <f t="array" ref="W59">IFERROR(IF(entities[[#This Row],[Assigned Card]]="","",INDEX(views[object_id],SMALL(IF(views[[1]:[25]]=entities[[#This Row],[Assigned Card]],ROW(views[])-7,99^99),1))),"")</f>
        <v>network_view</v>
      </c>
      <c r="X59" t="str">
        <f t="array" ref="X59">IFERROR(INDEX(views[object_id],SMALL(IF(views[[1]:[25]]=entities[[#This Row],[entity_id]],ROW(views[])-7,99^99),1)),"")</f>
        <v/>
      </c>
      <c r="Y59" t="str">
        <f>IF(entities[[#This Row],[View from card]]&lt;&gt;"",entities[[#This Row],[View from card]],entities[[#This Row],[View from entitiy]])</f>
        <v>network_view</v>
      </c>
      <c r="Z59" t="str">
        <f>IF(entities[[#This Row],[In HA?]]&lt;&gt;"ok",  "Not in Home Assistant",
IF(entities[[#This Row],[hidden]]="true",  "Hidden",
IF(entities[[#This Row],[View]]&lt;&gt;"",
INDEX(views[name],MATCH(entities[[#This Row],[View]],views[object_id],0)),  "Default view")))</f>
        <v>Network</v>
      </c>
      <c r="AA59" t="str">
        <f>IF(entities[[#This Row],[View]]&lt;&gt;"","group."&amp;entities[[#This Row],[View]],"")</f>
        <v>group.network_view</v>
      </c>
      <c r="AB59" s="6" t="str">
        <f>IF(COUNTIF(Table4[Entity],entities[[#This Row],[entity_id]]),"ok","Missing from States tab")</f>
        <v>ok</v>
      </c>
      <c r="AF59"/>
    </row>
    <row r="60" spans="2:32" x14ac:dyDescent="0.45">
      <c r="B60" t="s">
        <v>210</v>
      </c>
      <c r="C60" t="s">
        <v>230</v>
      </c>
      <c r="H60" t="s">
        <v>310</v>
      </c>
      <c r="I60" t="str">
        <f>entities[[#This Row],[domain]]&amp;"."&amp;entities[[#This Row],[object_id]]</f>
        <v>device_tracker.tank</v>
      </c>
      <c r="J60">
        <f>5-COUNTBLANK(entities[[#This Row],[hidden]:[icon]])</f>
        <v>1</v>
      </c>
      <c r="K60">
        <f>IF(entities[[#This Row],[Custom Attributes]]=0,"",
COUNTIFS(entities[Custom Attributes],"&gt;0",entities[entity_id],"&lt;="&amp;entities[[#This Row],[entity_id]]))</f>
        <v>45</v>
      </c>
      <c r="L60" s="6">
        <f t="array" aca="1" ref="L60" ca="1">IF(entities[[#This Row],[Custom Attributes]]&lt;1,"",
MATCH(FALSE, ISBLANK(OFFSET(entities[[#This Row],[hidden]],0,0,1,5)), 0))</f>
        <v>5</v>
      </c>
      <c r="M60" s="6" t="str">
        <f t="array" aca="1" ref="M60" ca="1">IF(entities[[#This Row],[Custom Attributes]]&lt;2,"",
IF(entities[[#This Row],[1]]=5-1,5,
MATCH(FALSE, ISBLANK(OFFSET(entities[[#This Row],[hidden]],0,entities[[#This Row],[1]],1,5-entities[[#This Row],[1]])), 0)+entities[[#This Row],[1]]))</f>
        <v/>
      </c>
      <c r="N60" s="6" t="str">
        <f t="array" aca="1" ref="N60" ca="1">IF(entities[[#This Row],[Custom Attributes]]&lt;3,"",
IF(entities[[#This Row],[2]]=5-1,5,
MATCH(FALSE, ISBLANK(OFFSET(entities[[#This Row],[hidden]],0,entities[[#This Row],[2]],1,5-entities[[#This Row],[2]])), 0)+entities[[#This Row],[2]]))</f>
        <v/>
      </c>
      <c r="O60" s="6" t="str">
        <f t="array" aca="1" ref="O60" ca="1">IF(entities[[#This Row],[Custom Attributes]]&lt;4,"",
IF(entities[[#This Row],[3]]=5-1,5,
MATCH(FALSE, ISBLANK(OFFSET(entities[[#This Row],[hidden]],0,entities[[#This Row],[3]],1,5-entities[[#This Row],[3]])), 0)+entities[[#This Row],[3]]))</f>
        <v/>
      </c>
      <c r="P60" s="14" t="str">
        <f ca="1">IF(entities[[#This Row],[1]]="","",
VLOOKUP(entities[[#This Row],[1]],Lookup!$B$5:$D$9,3,FALSE)  &amp;  INDEX(entities[[#This Row],[hidden]:[icon]],entities[[#This Row],[1]])
)</f>
        <v xml:space="preserve">  icon: mdi:server</v>
      </c>
      <c r="Q60" s="6" t="str">
        <f ca="1">IF(entities[[#This Row],[2]]="","",
VLOOKUP(entities[[#This Row],[2]],Lookup!$B$5:$D$9,3,FALSE)  &amp;  INDEX(entities[[#This Row],[hidden]:[icon]],entities[[#This Row],[2]])
)</f>
        <v/>
      </c>
      <c r="R60" s="6" t="str">
        <f ca="1">IF(entities[[#This Row],[3]]="","",
VLOOKUP(entities[[#This Row],[3]],Lookup!$B$5:$D$9,3,FALSE)  &amp;  INDEX(entities[[#This Row],[hidden]:[icon]],entities[[#This Row],[3]])
)</f>
        <v/>
      </c>
      <c r="S60" s="6" t="str">
        <f ca="1">IF(entities[[#This Row],[4]]="","",
VLOOKUP(entities[[#This Row],[4]],Lookup!$B$5:$D$9,3,FALSE)  &amp;  INDEX(entities[[#This Row],[hidden]:[icon]],entities[[#This Row],[4]])
)</f>
        <v/>
      </c>
      <c r="T60" t="str">
        <f t="array" ref="T60">IFERROR(INDEX(cards[object_id],SMALL(IF(cards[[1]:[25]]=entities[[#This Row],[entity_id]],ROW(cards[])-7,99^99),1)),"")</f>
        <v>personal_devices</v>
      </c>
      <c r="U60" t="str">
        <f>IF(entities[[#This Row],[In HA?]]&lt;&gt;"ok",  "Not in Home Assistant",
IF(entities[[#This Row],[hidden]]="true",  "Hidden",
IF(entities[[#This Row],[Card]]&lt;&gt;"",
INDEX(cards[name],MATCH(entities[[#This Row],[Card]],cards[object_id],0)),  "Badge / automatic card")))</f>
        <v>LAN || Computers</v>
      </c>
      <c r="V60" t="str">
        <f>IF(entities[[#This Row],[Card]]&lt;&gt;"","group."&amp;entities[[#This Row],[Card]],"")</f>
        <v>group.personal_devices</v>
      </c>
      <c r="W60" t="str">
        <f t="array" ref="W60">IFERROR(IF(entities[[#This Row],[Assigned Card]]="","",INDEX(views[object_id],SMALL(IF(views[[1]:[25]]=entities[[#This Row],[Assigned Card]],ROW(views[])-7,99^99),1))),"")</f>
        <v>network_view</v>
      </c>
      <c r="X60" t="str">
        <f t="array" ref="X60">IFERROR(INDEX(views[object_id],SMALL(IF(views[[1]:[25]]=entities[[#This Row],[entity_id]],ROW(views[])-7,99^99),1)),"")</f>
        <v/>
      </c>
      <c r="Y60" t="str">
        <f>IF(entities[[#This Row],[View from card]]&lt;&gt;"",entities[[#This Row],[View from card]],entities[[#This Row],[View from entitiy]])</f>
        <v>network_view</v>
      </c>
      <c r="Z60" t="str">
        <f>IF(entities[[#This Row],[In HA?]]&lt;&gt;"ok",  "Not in Home Assistant",
IF(entities[[#This Row],[hidden]]="true",  "Hidden",
IF(entities[[#This Row],[View]]&lt;&gt;"",
INDEX(views[name],MATCH(entities[[#This Row],[View]],views[object_id],0)),  "Default view")))</f>
        <v>Network</v>
      </c>
      <c r="AA60" t="str">
        <f>IF(entities[[#This Row],[View]]&lt;&gt;"","group."&amp;entities[[#This Row],[View]],"")</f>
        <v>group.network_view</v>
      </c>
      <c r="AB60" s="6" t="str">
        <f>IF(COUNTIF(Table4[Entity],entities[[#This Row],[entity_id]]),"ok","Missing from States tab")</f>
        <v>ok</v>
      </c>
      <c r="AF60"/>
    </row>
    <row r="61" spans="2:32" x14ac:dyDescent="0.45">
      <c r="B61" t="s">
        <v>210</v>
      </c>
      <c r="C61" t="s">
        <v>231</v>
      </c>
      <c r="H61" t="s">
        <v>55</v>
      </c>
      <c r="I61" t="str">
        <f>entities[[#This Row],[domain]]&amp;"."&amp;entities[[#This Row],[object_id]]</f>
        <v>device_tracker.tplink_switch</v>
      </c>
      <c r="J61">
        <f>5-COUNTBLANK(entities[[#This Row],[hidden]:[icon]])</f>
        <v>0</v>
      </c>
      <c r="K61" t="str">
        <f>IF(entities[[#This Row],[Custom Attributes]]=0,"",
COUNTIFS(entities[Custom Attributes],"&gt;0",entities[entity_id],"&lt;="&amp;entities[[#This Row],[entity_id]]))</f>
        <v/>
      </c>
      <c r="L61" s="6" t="str">
        <f t="array" aca="1" ref="L61" ca="1">IF(entities[[#This Row],[Custom Attributes]]&lt;1,"",
MATCH(FALSE, ISBLANK(OFFSET(entities[[#This Row],[hidden]],0,0,1,5)), 0))</f>
        <v/>
      </c>
      <c r="M61" s="6" t="str">
        <f t="array" aca="1" ref="M61" ca="1">IF(entities[[#This Row],[Custom Attributes]]&lt;2,"",
IF(entities[[#This Row],[1]]=5-1,5,
MATCH(FALSE, ISBLANK(OFFSET(entities[[#This Row],[hidden]],0,entities[[#This Row],[1]],1,5-entities[[#This Row],[1]])), 0)+entities[[#This Row],[1]]))</f>
        <v/>
      </c>
      <c r="N61" s="6" t="str">
        <f t="array" aca="1" ref="N61" ca="1">IF(entities[[#This Row],[Custom Attributes]]&lt;3,"",
IF(entities[[#This Row],[2]]=5-1,5,
MATCH(FALSE, ISBLANK(OFFSET(entities[[#This Row],[hidden]],0,entities[[#This Row],[2]],1,5-entities[[#This Row],[2]])), 0)+entities[[#This Row],[2]]))</f>
        <v/>
      </c>
      <c r="O61" s="6" t="str">
        <f t="array" aca="1" ref="O61" ca="1">IF(entities[[#This Row],[Custom Attributes]]&lt;4,"",
IF(entities[[#This Row],[3]]=5-1,5,
MATCH(FALSE, ISBLANK(OFFSET(entities[[#This Row],[hidden]],0,entities[[#This Row],[3]],1,5-entities[[#This Row],[3]])), 0)+entities[[#This Row],[3]]))</f>
        <v/>
      </c>
      <c r="P61" s="14" t="str">
        <f ca="1">IF(entities[[#This Row],[1]]="","",
VLOOKUP(entities[[#This Row],[1]],Lookup!$B$5:$D$9,3,FALSE)  &amp;  INDEX(entities[[#This Row],[hidden]:[icon]],entities[[#This Row],[1]])
)</f>
        <v/>
      </c>
      <c r="Q61" s="6" t="str">
        <f ca="1">IF(entities[[#This Row],[2]]="","",
VLOOKUP(entities[[#This Row],[2]],Lookup!$B$5:$D$9,3,FALSE)  &amp;  INDEX(entities[[#This Row],[hidden]:[icon]],entities[[#This Row],[2]])
)</f>
        <v/>
      </c>
      <c r="R61" s="6" t="str">
        <f ca="1">IF(entities[[#This Row],[3]]="","",
VLOOKUP(entities[[#This Row],[3]],Lookup!$B$5:$D$9,3,FALSE)  &amp;  INDEX(entities[[#This Row],[hidden]:[icon]],entities[[#This Row],[3]])
)</f>
        <v/>
      </c>
      <c r="S61" s="6" t="str">
        <f ca="1">IF(entities[[#This Row],[4]]="","",
VLOOKUP(entities[[#This Row],[4]],Lookup!$B$5:$D$9,3,FALSE)  &amp;  INDEX(entities[[#This Row],[hidden]:[icon]],entities[[#This Row],[4]])
)</f>
        <v/>
      </c>
      <c r="T61" t="str">
        <f t="array" ref="T61">IFERROR(INDEX(cards[object_id],SMALL(IF(cards[[1]:[25]]=entities[[#This Row],[entity_id]],ROW(cards[])-7,99^99),1)),"")</f>
        <v/>
      </c>
      <c r="U61" t="str">
        <f>IF(entities[[#This Row],[In HA?]]&lt;&gt;"ok",  "Not in Home Assistant",
IF(entities[[#This Row],[hidden]]="true",  "Hidden",
IF(entities[[#This Row],[Card]]&lt;&gt;"",
INDEX(cards[name],MATCH(entities[[#This Row],[Card]],cards[object_id],0)),  "Badge / automatic card")))</f>
        <v>Badge / automatic card</v>
      </c>
      <c r="V61" t="str">
        <f>IF(entities[[#This Row],[Card]]&lt;&gt;"","group."&amp;entities[[#This Row],[Card]],"")</f>
        <v/>
      </c>
      <c r="W61" t="str">
        <f t="array" ref="W61">IFERROR(IF(entities[[#This Row],[Assigned Card]]="","",INDEX(views[object_id],SMALL(IF(views[[1]:[25]]=entities[[#This Row],[Assigned Card]],ROW(views[])-7,99^99),1))),"")</f>
        <v/>
      </c>
      <c r="X61" t="str">
        <f t="array" ref="X61">IFERROR(INDEX(views[object_id],SMALL(IF(views[[1]:[25]]=entities[[#This Row],[entity_id]],ROW(views[])-7,99^99),1)),"")</f>
        <v/>
      </c>
      <c r="Y61" t="str">
        <f>IF(entities[[#This Row],[View from card]]&lt;&gt;"",entities[[#This Row],[View from card]],entities[[#This Row],[View from entitiy]])</f>
        <v/>
      </c>
      <c r="Z61" t="str">
        <f>IF(entities[[#This Row],[In HA?]]&lt;&gt;"ok",  "Not in Home Assistant",
IF(entities[[#This Row],[hidden]]="true",  "Hidden",
IF(entities[[#This Row],[View]]&lt;&gt;"",
INDEX(views[name],MATCH(entities[[#This Row],[View]],views[object_id],0)),  "Default view")))</f>
        <v>Default view</v>
      </c>
      <c r="AA61" t="str">
        <f>IF(entities[[#This Row],[View]]&lt;&gt;"","group."&amp;entities[[#This Row],[View]],"")</f>
        <v/>
      </c>
      <c r="AB61" s="6" t="str">
        <f>IF(COUNTIF(Table4[Entity],entities[[#This Row],[entity_id]]),"ok","Missing from States tab")</f>
        <v>ok</v>
      </c>
      <c r="AF61"/>
    </row>
    <row r="62" spans="2:32" x14ac:dyDescent="0.45">
      <c r="B62" t="s">
        <v>210</v>
      </c>
      <c r="C62" t="s">
        <v>232</v>
      </c>
      <c r="H62" t="s">
        <v>55</v>
      </c>
      <c r="I62" t="str">
        <f>entities[[#This Row],[domain]]&amp;"."&amp;entities[[#This Row],[object_id]]</f>
        <v>device_tracker.vera_lite</v>
      </c>
      <c r="J62">
        <f>5-COUNTBLANK(entities[[#This Row],[hidden]:[icon]])</f>
        <v>0</v>
      </c>
      <c r="K62" t="str">
        <f>IF(entities[[#This Row],[Custom Attributes]]=0,"",
COUNTIFS(entities[Custom Attributes],"&gt;0",entities[entity_id],"&lt;="&amp;entities[[#This Row],[entity_id]]))</f>
        <v/>
      </c>
      <c r="L62" s="6" t="str">
        <f t="array" aca="1" ref="L62" ca="1">IF(entities[[#This Row],[Custom Attributes]]&lt;1,"",
MATCH(FALSE, ISBLANK(OFFSET(entities[[#This Row],[hidden]],0,0,1,5)), 0))</f>
        <v/>
      </c>
      <c r="M62" s="6" t="str">
        <f t="array" aca="1" ref="M62" ca="1">IF(entities[[#This Row],[Custom Attributes]]&lt;2,"",
IF(entities[[#This Row],[1]]=5-1,5,
MATCH(FALSE, ISBLANK(OFFSET(entities[[#This Row],[hidden]],0,entities[[#This Row],[1]],1,5-entities[[#This Row],[1]])), 0)+entities[[#This Row],[1]]))</f>
        <v/>
      </c>
      <c r="N62" s="6" t="str">
        <f t="array" aca="1" ref="N62" ca="1">IF(entities[[#This Row],[Custom Attributes]]&lt;3,"",
IF(entities[[#This Row],[2]]=5-1,5,
MATCH(FALSE, ISBLANK(OFFSET(entities[[#This Row],[hidden]],0,entities[[#This Row],[2]],1,5-entities[[#This Row],[2]])), 0)+entities[[#This Row],[2]]))</f>
        <v/>
      </c>
      <c r="O62" s="6" t="str">
        <f t="array" aca="1" ref="O62" ca="1">IF(entities[[#This Row],[Custom Attributes]]&lt;4,"",
IF(entities[[#This Row],[3]]=5-1,5,
MATCH(FALSE, ISBLANK(OFFSET(entities[[#This Row],[hidden]],0,entities[[#This Row],[3]],1,5-entities[[#This Row],[3]])), 0)+entities[[#This Row],[3]]))</f>
        <v/>
      </c>
      <c r="P62" s="14" t="str">
        <f ca="1">IF(entities[[#This Row],[1]]="","",
VLOOKUP(entities[[#This Row],[1]],Lookup!$B$5:$D$9,3,FALSE)  &amp;  INDEX(entities[[#This Row],[hidden]:[icon]],entities[[#This Row],[1]])
)</f>
        <v/>
      </c>
      <c r="Q62" s="6" t="str">
        <f ca="1">IF(entities[[#This Row],[2]]="","",
VLOOKUP(entities[[#This Row],[2]],Lookup!$B$5:$D$9,3,FALSE)  &amp;  INDEX(entities[[#This Row],[hidden]:[icon]],entities[[#This Row],[2]])
)</f>
        <v/>
      </c>
      <c r="R62" s="6" t="str">
        <f ca="1">IF(entities[[#This Row],[3]]="","",
VLOOKUP(entities[[#This Row],[3]],Lookup!$B$5:$D$9,3,FALSE)  &amp;  INDEX(entities[[#This Row],[hidden]:[icon]],entities[[#This Row],[3]])
)</f>
        <v/>
      </c>
      <c r="S62" s="6" t="str">
        <f ca="1">IF(entities[[#This Row],[4]]="","",
VLOOKUP(entities[[#This Row],[4]],Lookup!$B$5:$D$9,3,FALSE)  &amp;  INDEX(entities[[#This Row],[hidden]:[icon]],entities[[#This Row],[4]])
)</f>
        <v/>
      </c>
      <c r="T62" t="str">
        <f t="array" ref="T62">IFERROR(INDEX(cards[object_id],SMALL(IF(cards[[1]:[25]]=entities[[#This Row],[entity_id]],ROW(cards[])-7,99^99),1)),"")</f>
        <v>iot_devices</v>
      </c>
      <c r="U62" t="str">
        <f>IF(entities[[#This Row],[In HA?]]&lt;&gt;"ok",  "Not in Home Assistant",
IF(entities[[#This Row],[hidden]]="true",  "Hidden",
IF(entities[[#This Row],[Card]]&lt;&gt;"",
INDEX(cards[name],MATCH(entities[[#This Row],[Card]],cards[object_id],0)),  "Badge / automatic card")))</f>
        <v>LAN || IoT</v>
      </c>
      <c r="V62" t="str">
        <f>IF(entities[[#This Row],[Card]]&lt;&gt;"","group."&amp;entities[[#This Row],[Card]],"")</f>
        <v>group.iot_devices</v>
      </c>
      <c r="W62" t="str">
        <f t="array" ref="W62">IFERROR(IF(entities[[#This Row],[Assigned Card]]="","",INDEX(views[object_id],SMALL(IF(views[[1]:[25]]=entities[[#This Row],[Assigned Card]],ROW(views[])-7,99^99),1))),"")</f>
        <v>network_view</v>
      </c>
      <c r="X62" t="str">
        <f t="array" ref="X62">IFERROR(INDEX(views[object_id],SMALL(IF(views[[1]:[25]]=entities[[#This Row],[entity_id]],ROW(views[])-7,99^99),1)),"")</f>
        <v/>
      </c>
      <c r="Y62" t="str">
        <f>IF(entities[[#This Row],[View from card]]&lt;&gt;"",entities[[#This Row],[View from card]],entities[[#This Row],[View from entitiy]])</f>
        <v>network_view</v>
      </c>
      <c r="Z62" t="str">
        <f>IF(entities[[#This Row],[In HA?]]&lt;&gt;"ok",  "Not in Home Assistant",
IF(entities[[#This Row],[hidden]]="true",  "Hidden",
IF(entities[[#This Row],[View]]&lt;&gt;"",
INDEX(views[name],MATCH(entities[[#This Row],[View]],views[object_id],0)),  "Default view")))</f>
        <v>Network</v>
      </c>
      <c r="AA62" t="str">
        <f>IF(entities[[#This Row],[View]]&lt;&gt;"","group."&amp;entities[[#This Row],[View]],"")</f>
        <v>group.network_view</v>
      </c>
      <c r="AB62" s="6" t="str">
        <f>IF(COUNTIF(Table4[Entity],entities[[#This Row],[entity_id]]),"ok","Missing from States tab")</f>
        <v>ok</v>
      </c>
      <c r="AF62"/>
    </row>
    <row r="63" spans="2:32" x14ac:dyDescent="0.45">
      <c r="B63" t="s">
        <v>210</v>
      </c>
      <c r="C63" t="s">
        <v>233</v>
      </c>
      <c r="H63" t="s">
        <v>311</v>
      </c>
      <c r="I63" t="str">
        <f>entities[[#This Row],[domain]]&amp;"."&amp;entities[[#This Row],[object_id]]</f>
        <v>device_tracker.wf2ir</v>
      </c>
      <c r="J63">
        <f>5-COUNTBLANK(entities[[#This Row],[hidden]:[icon]])</f>
        <v>1</v>
      </c>
      <c r="K63">
        <f>IF(entities[[#This Row],[Custom Attributes]]=0,"",
COUNTIFS(entities[Custom Attributes],"&gt;0",entities[entity_id],"&lt;="&amp;entities[[#This Row],[entity_id]]))</f>
        <v>46</v>
      </c>
      <c r="L63" s="6">
        <f t="array" aca="1" ref="L63" ca="1">IF(entities[[#This Row],[Custom Attributes]]&lt;1,"",
MATCH(FALSE, ISBLANK(OFFSET(entities[[#This Row],[hidden]],0,0,1,5)), 0))</f>
        <v>5</v>
      </c>
      <c r="M63" s="6" t="str">
        <f t="array" aca="1" ref="M63" ca="1">IF(entities[[#This Row],[Custom Attributes]]&lt;2,"",
IF(entities[[#This Row],[1]]=5-1,5,
MATCH(FALSE, ISBLANK(OFFSET(entities[[#This Row],[hidden]],0,entities[[#This Row],[1]],1,5-entities[[#This Row],[1]])), 0)+entities[[#This Row],[1]]))</f>
        <v/>
      </c>
      <c r="N63" s="6" t="str">
        <f t="array" aca="1" ref="N63" ca="1">IF(entities[[#This Row],[Custom Attributes]]&lt;3,"",
IF(entities[[#This Row],[2]]=5-1,5,
MATCH(FALSE, ISBLANK(OFFSET(entities[[#This Row],[hidden]],0,entities[[#This Row],[2]],1,5-entities[[#This Row],[2]])), 0)+entities[[#This Row],[2]]))</f>
        <v/>
      </c>
      <c r="O63" s="6" t="str">
        <f t="array" aca="1" ref="O63" ca="1">IF(entities[[#This Row],[Custom Attributes]]&lt;4,"",
IF(entities[[#This Row],[3]]=5-1,5,
MATCH(FALSE, ISBLANK(OFFSET(entities[[#This Row],[hidden]],0,entities[[#This Row],[3]],1,5-entities[[#This Row],[3]])), 0)+entities[[#This Row],[3]]))</f>
        <v/>
      </c>
      <c r="P63" s="14" t="str">
        <f ca="1">IF(entities[[#This Row],[1]]="","",
VLOOKUP(entities[[#This Row],[1]],Lookup!$B$5:$D$9,3,FALSE)  &amp;  INDEX(entities[[#This Row],[hidden]:[icon]],entities[[#This Row],[1]])
)</f>
        <v xml:space="preserve">  icon: mdi:remote</v>
      </c>
      <c r="Q63" s="6" t="str">
        <f ca="1">IF(entities[[#This Row],[2]]="","",
VLOOKUP(entities[[#This Row],[2]],Lookup!$B$5:$D$9,3,FALSE)  &amp;  INDEX(entities[[#This Row],[hidden]:[icon]],entities[[#This Row],[2]])
)</f>
        <v/>
      </c>
      <c r="R63" s="6" t="str">
        <f ca="1">IF(entities[[#This Row],[3]]="","",
VLOOKUP(entities[[#This Row],[3]],Lookup!$B$5:$D$9,3,FALSE)  &amp;  INDEX(entities[[#This Row],[hidden]:[icon]],entities[[#This Row],[3]])
)</f>
        <v/>
      </c>
      <c r="S63" s="6" t="str">
        <f ca="1">IF(entities[[#This Row],[4]]="","",
VLOOKUP(entities[[#This Row],[4]],Lookup!$B$5:$D$9,3,FALSE)  &amp;  INDEX(entities[[#This Row],[hidden]:[icon]],entities[[#This Row],[4]])
)</f>
        <v/>
      </c>
      <c r="T63" t="str">
        <f t="array" ref="T63">IFERROR(INDEX(cards[object_id],SMALL(IF(cards[[1]:[25]]=entities[[#This Row],[entity_id]],ROW(cards[])-7,99^99),1)),"")</f>
        <v>iot_devices</v>
      </c>
      <c r="U63" t="str">
        <f>IF(entities[[#This Row],[In HA?]]&lt;&gt;"ok",  "Not in Home Assistant",
IF(entities[[#This Row],[hidden]]="true",  "Hidden",
IF(entities[[#This Row],[Card]]&lt;&gt;"",
INDEX(cards[name],MATCH(entities[[#This Row],[Card]],cards[object_id],0)),  "Badge / automatic card")))</f>
        <v>LAN || IoT</v>
      </c>
      <c r="V63" t="str">
        <f>IF(entities[[#This Row],[Card]]&lt;&gt;"","group."&amp;entities[[#This Row],[Card]],"")</f>
        <v>group.iot_devices</v>
      </c>
      <c r="W63" t="str">
        <f t="array" ref="W63">IFERROR(IF(entities[[#This Row],[Assigned Card]]="","",INDEX(views[object_id],SMALL(IF(views[[1]:[25]]=entities[[#This Row],[Assigned Card]],ROW(views[])-7,99^99),1))),"")</f>
        <v>network_view</v>
      </c>
      <c r="X63" t="str">
        <f t="array" ref="X63">IFERROR(INDEX(views[object_id],SMALL(IF(views[[1]:[25]]=entities[[#This Row],[entity_id]],ROW(views[])-7,99^99),1)),"")</f>
        <v/>
      </c>
      <c r="Y63" t="str">
        <f>IF(entities[[#This Row],[View from card]]&lt;&gt;"",entities[[#This Row],[View from card]],entities[[#This Row],[View from entitiy]])</f>
        <v>network_view</v>
      </c>
      <c r="Z63" t="str">
        <f>IF(entities[[#This Row],[In HA?]]&lt;&gt;"ok",  "Not in Home Assistant",
IF(entities[[#This Row],[hidden]]="true",  "Hidden",
IF(entities[[#This Row],[View]]&lt;&gt;"",
INDEX(views[name],MATCH(entities[[#This Row],[View]],views[object_id],0)),  "Default view")))</f>
        <v>Network</v>
      </c>
      <c r="AA63" t="str">
        <f>IF(entities[[#This Row],[View]]&lt;&gt;"","group."&amp;entities[[#This Row],[View]],"")</f>
        <v>group.network_view</v>
      </c>
      <c r="AB63" s="6" t="str">
        <f>IF(COUNTIF(Table4[Entity],entities[[#This Row],[entity_id]]),"ok","Missing from States tab")</f>
        <v>ok</v>
      </c>
      <c r="AF63"/>
    </row>
    <row r="64" spans="2:32" x14ac:dyDescent="0.45">
      <c r="B64" t="s">
        <v>210</v>
      </c>
      <c r="C64" t="s">
        <v>234</v>
      </c>
      <c r="H64" t="s">
        <v>312</v>
      </c>
      <c r="I64" t="str">
        <f>entities[[#This Row],[domain]]&amp;"."&amp;entities[[#This Row],[object_id]]</f>
        <v>device_tracker.withings_scale</v>
      </c>
      <c r="J64">
        <f>5-COUNTBLANK(entities[[#This Row],[hidden]:[icon]])</f>
        <v>1</v>
      </c>
      <c r="K64">
        <f>IF(entities[[#This Row],[Custom Attributes]]=0,"",
COUNTIFS(entities[Custom Attributes],"&gt;0",entities[entity_id],"&lt;="&amp;entities[[#This Row],[entity_id]]))</f>
        <v>47</v>
      </c>
      <c r="L64" s="6">
        <f t="array" aca="1" ref="L64" ca="1">IF(entities[[#This Row],[Custom Attributes]]&lt;1,"",
MATCH(FALSE, ISBLANK(OFFSET(entities[[#This Row],[hidden]],0,0,1,5)), 0))</f>
        <v>5</v>
      </c>
      <c r="M64" s="6" t="str">
        <f t="array" aca="1" ref="M64" ca="1">IF(entities[[#This Row],[Custom Attributes]]&lt;2,"",
IF(entities[[#This Row],[1]]=5-1,5,
MATCH(FALSE, ISBLANK(OFFSET(entities[[#This Row],[hidden]],0,entities[[#This Row],[1]],1,5-entities[[#This Row],[1]])), 0)+entities[[#This Row],[1]]))</f>
        <v/>
      </c>
      <c r="N64" s="6" t="str">
        <f t="array" aca="1" ref="N64" ca="1">IF(entities[[#This Row],[Custom Attributes]]&lt;3,"",
IF(entities[[#This Row],[2]]=5-1,5,
MATCH(FALSE, ISBLANK(OFFSET(entities[[#This Row],[hidden]],0,entities[[#This Row],[2]],1,5-entities[[#This Row],[2]])), 0)+entities[[#This Row],[2]]))</f>
        <v/>
      </c>
      <c r="O64" s="6" t="str">
        <f t="array" aca="1" ref="O64" ca="1">IF(entities[[#This Row],[Custom Attributes]]&lt;4,"",
IF(entities[[#This Row],[3]]=5-1,5,
MATCH(FALSE, ISBLANK(OFFSET(entities[[#This Row],[hidden]],0,entities[[#This Row],[3]],1,5-entities[[#This Row],[3]])), 0)+entities[[#This Row],[3]]))</f>
        <v/>
      </c>
      <c r="P64" s="14" t="str">
        <f ca="1">IF(entities[[#This Row],[1]]="","",
VLOOKUP(entities[[#This Row],[1]],Lookup!$B$5:$D$9,3,FALSE)  &amp;  INDEX(entities[[#This Row],[hidden]:[icon]],entities[[#This Row],[1]])
)</f>
        <v xml:space="preserve">  icon: mdi:scale-bathroom</v>
      </c>
      <c r="Q64" s="6" t="str">
        <f ca="1">IF(entities[[#This Row],[2]]="","",
VLOOKUP(entities[[#This Row],[2]],Lookup!$B$5:$D$9,3,FALSE)  &amp;  INDEX(entities[[#This Row],[hidden]:[icon]],entities[[#This Row],[2]])
)</f>
        <v/>
      </c>
      <c r="R64" s="6" t="str">
        <f ca="1">IF(entities[[#This Row],[3]]="","",
VLOOKUP(entities[[#This Row],[3]],Lookup!$B$5:$D$9,3,FALSE)  &amp;  INDEX(entities[[#This Row],[hidden]:[icon]],entities[[#This Row],[3]])
)</f>
        <v/>
      </c>
      <c r="S64" s="6" t="str">
        <f ca="1">IF(entities[[#This Row],[4]]="","",
VLOOKUP(entities[[#This Row],[4]],Lookup!$B$5:$D$9,3,FALSE)  &amp;  INDEX(entities[[#This Row],[hidden]:[icon]],entities[[#This Row],[4]])
)</f>
        <v/>
      </c>
      <c r="T64" t="str">
        <f t="array" ref="T64">IFERROR(INDEX(cards[object_id],SMALL(IF(cards[[1]:[25]]=entities[[#This Row],[entity_id]],ROW(cards[])-7,99^99),1)),"")</f>
        <v>iot_devices</v>
      </c>
      <c r="U64" t="str">
        <f>IF(entities[[#This Row],[In HA?]]&lt;&gt;"ok",  "Not in Home Assistant",
IF(entities[[#This Row],[hidden]]="true",  "Hidden",
IF(entities[[#This Row],[Card]]&lt;&gt;"",
INDEX(cards[name],MATCH(entities[[#This Row],[Card]],cards[object_id],0)),  "Badge / automatic card")))</f>
        <v>LAN || IoT</v>
      </c>
      <c r="V64" t="str">
        <f>IF(entities[[#This Row],[Card]]&lt;&gt;"","group."&amp;entities[[#This Row],[Card]],"")</f>
        <v>group.iot_devices</v>
      </c>
      <c r="W64" t="str">
        <f t="array" ref="W64">IFERROR(IF(entities[[#This Row],[Assigned Card]]="","",INDEX(views[object_id],SMALL(IF(views[[1]:[25]]=entities[[#This Row],[Assigned Card]],ROW(views[])-7,99^99),1))),"")</f>
        <v>network_view</v>
      </c>
      <c r="X64" t="str">
        <f t="array" ref="X64">IFERROR(INDEX(views[object_id],SMALL(IF(views[[1]:[25]]=entities[[#This Row],[entity_id]],ROW(views[])-7,99^99),1)),"")</f>
        <v/>
      </c>
      <c r="Y64" t="str">
        <f>IF(entities[[#This Row],[View from card]]&lt;&gt;"",entities[[#This Row],[View from card]],entities[[#This Row],[View from entitiy]])</f>
        <v>network_view</v>
      </c>
      <c r="Z64" t="str">
        <f>IF(entities[[#This Row],[In HA?]]&lt;&gt;"ok",  "Not in Home Assistant",
IF(entities[[#This Row],[hidden]]="true",  "Hidden",
IF(entities[[#This Row],[View]]&lt;&gt;"",
INDEX(views[name],MATCH(entities[[#This Row],[View]],views[object_id],0)),  "Default view")))</f>
        <v>Network</v>
      </c>
      <c r="AA64" t="str">
        <f>IF(entities[[#This Row],[View]]&lt;&gt;"","group."&amp;entities[[#This Row],[View]],"")</f>
        <v>group.network_view</v>
      </c>
      <c r="AB64" s="6" t="str">
        <f>IF(COUNTIF(Table4[Entity],entities[[#This Row],[entity_id]]),"ok","Missing from States tab")</f>
        <v>ok</v>
      </c>
      <c r="AF64"/>
    </row>
    <row r="65" spans="2:32" x14ac:dyDescent="0.45">
      <c r="B65" t="s">
        <v>810</v>
      </c>
      <c r="C65" t="s">
        <v>655</v>
      </c>
      <c r="I65" s="6" t="str">
        <f>entities[[#This Row],[domain]]&amp;"."&amp;entities[[#This Row],[object_id]]</f>
        <v>group.alarm_clock</v>
      </c>
      <c r="J65" s="6">
        <f>5-COUNTBLANK(entities[[#This Row],[hidden]:[icon]])</f>
        <v>0</v>
      </c>
      <c r="K65" s="6" t="str">
        <f>IF(entities[[#This Row],[Custom Attributes]]=0,"",
COUNTIFS(entities[Custom Attributes],"&gt;0",entities[entity_id],"&lt;="&amp;entities[[#This Row],[entity_id]]))</f>
        <v/>
      </c>
      <c r="L65" s="6" t="str">
        <f t="array" aca="1" ref="L65" ca="1">IF(entities[[#This Row],[Custom Attributes]]&lt;1,"",
MATCH(FALSE, ISBLANK(OFFSET(entities[[#This Row],[hidden]],0,0,1,5)), 0))</f>
        <v/>
      </c>
      <c r="M65" s="6" t="str">
        <f t="array" aca="1" ref="M65" ca="1">IF(entities[[#This Row],[Custom Attributes]]&lt;2,"",
IF(entities[[#This Row],[1]]=5-1,5,
MATCH(FALSE, ISBLANK(OFFSET(entities[[#This Row],[hidden]],0,entities[[#This Row],[1]],1,5-entities[[#This Row],[1]])), 0)+entities[[#This Row],[1]]))</f>
        <v/>
      </c>
      <c r="N65" s="6" t="str">
        <f t="array" aca="1" ref="N65" ca="1">IF(entities[[#This Row],[Custom Attributes]]&lt;3,"",
IF(entities[[#This Row],[2]]=5-1,5,
MATCH(FALSE, ISBLANK(OFFSET(entities[[#This Row],[hidden]],0,entities[[#This Row],[2]],1,5-entities[[#This Row],[2]])), 0)+entities[[#This Row],[2]]))</f>
        <v/>
      </c>
      <c r="O65" s="6" t="str">
        <f t="array" aca="1" ref="O65" ca="1">IF(entities[[#This Row],[Custom Attributes]]&lt;4,"",
IF(entities[[#This Row],[3]]=5-1,5,
MATCH(FALSE, ISBLANK(OFFSET(entities[[#This Row],[hidden]],0,entities[[#This Row],[3]],1,5-entities[[#This Row],[3]])), 0)+entities[[#This Row],[3]]))</f>
        <v/>
      </c>
      <c r="P65" s="14" t="str">
        <f ca="1">IF(entities[[#This Row],[1]]="","",
VLOOKUP(entities[[#This Row],[1]],Lookup!$B$5:$D$9,3,FALSE)  &amp;  INDEX(entities[[#This Row],[hidden]:[icon]],entities[[#This Row],[1]])
)</f>
        <v/>
      </c>
      <c r="Q65" s="6" t="str">
        <f ca="1">IF(entities[[#This Row],[2]]="","",
VLOOKUP(entities[[#This Row],[2]],Lookup!$B$5:$D$9,3,FALSE)  &amp;  INDEX(entities[[#This Row],[hidden]:[icon]],entities[[#This Row],[2]])
)</f>
        <v/>
      </c>
      <c r="R65" s="6" t="str">
        <f ca="1">IF(entities[[#This Row],[3]]="","",
VLOOKUP(entities[[#This Row],[3]],Lookup!$B$5:$D$9,3,FALSE)  &amp;  INDEX(entities[[#This Row],[hidden]:[icon]],entities[[#This Row],[3]])
)</f>
        <v/>
      </c>
      <c r="S65" s="6" t="str">
        <f ca="1">IF(entities[[#This Row],[4]]="","",
VLOOKUP(entities[[#This Row],[4]],Lookup!$B$5:$D$9,3,FALSE)  &amp;  INDEX(entities[[#This Row],[hidden]:[icon]],entities[[#This Row],[4]])
)</f>
        <v/>
      </c>
      <c r="T65" s="6" t="str">
        <f t="array" ref="T65">IFERROR(INDEX(cards[object_id],SMALL(IF(cards[[1]:[25]]=entities[[#This Row],[entity_id]],ROW(cards[])-7,99^99),1)),"")</f>
        <v/>
      </c>
      <c r="U65" s="6" t="str">
        <f>IF(entities[[#This Row],[In HA?]]&lt;&gt;"ok",  "Not in Home Assistant",
IF(entities[[#This Row],[hidden]]="true",  "Hidden",
IF(entities[[#This Row],[Card]]&lt;&gt;"",
INDEX(cards[name],MATCH(entities[[#This Row],[Card]],cards[object_id],0)),  "Badge / automatic card")))</f>
        <v>Badge / automatic card</v>
      </c>
      <c r="V65" s="6" t="str">
        <f>IF(entities[[#This Row],[Card]]&lt;&gt;"","group."&amp;entities[[#This Row],[Card]],"")</f>
        <v/>
      </c>
      <c r="W65" s="6" t="str">
        <f t="array" ref="W65">IFERROR(IF(entities[[#This Row],[Assigned Card]]="","",INDEX(views[object_id],SMALL(IF(views[[1]:[25]]=entities[[#This Row],[Assigned Card]],ROW(views[])-7,99^99),1))),"")</f>
        <v/>
      </c>
      <c r="X65" s="6" t="str">
        <f t="array" ref="X65">IFERROR(INDEX(views[object_id],SMALL(IF(views[[1]:[25]]=entities[[#This Row],[entity_id]],ROW(views[])-7,99^99),1)),"")</f>
        <v>default_view</v>
      </c>
      <c r="Y65" s="6" t="str">
        <f>IF(entities[[#This Row],[View from card]]&lt;&gt;"",entities[[#This Row],[View from card]],entities[[#This Row],[View from entitiy]])</f>
        <v>default_view</v>
      </c>
      <c r="Z65" s="6">
        <f>IF(entities[[#This Row],[In HA?]]&lt;&gt;"ok",  "Not in Home Assistant",
IF(entities[[#This Row],[hidden]]="true",  "Hidden",
IF(entities[[#This Row],[View]]&lt;&gt;"",
INDEX(views[name],MATCH(entities[[#This Row],[View]],views[object_id],0)),  "Default view")))</f>
        <v>0</v>
      </c>
      <c r="AA65" s="6" t="str">
        <f>IF(entities[[#This Row],[View]]&lt;&gt;"","group."&amp;entities[[#This Row],[View]],"")</f>
        <v>group.default_view</v>
      </c>
      <c r="AB65" s="6" t="str">
        <f>IF(COUNTIF(Table4[Entity],entities[[#This Row],[entity_id]]),"ok","Missing from States tab")</f>
        <v>ok</v>
      </c>
      <c r="AF65"/>
    </row>
    <row r="66" spans="2:32" x14ac:dyDescent="0.45">
      <c r="B66" t="s">
        <v>810</v>
      </c>
      <c r="C66" t="s">
        <v>811</v>
      </c>
      <c r="I66" s="6" t="str">
        <f>entities[[#This Row],[domain]]&amp;"."&amp;entities[[#This Row],[object_id]]</f>
        <v>group.all_automations</v>
      </c>
      <c r="J66" s="6">
        <f>5-COUNTBLANK(entities[[#This Row],[hidden]:[icon]])</f>
        <v>0</v>
      </c>
      <c r="K66" s="6" t="str">
        <f>IF(entities[[#This Row],[Custom Attributes]]=0,"",
COUNTIFS(entities[Custom Attributes],"&gt;0",entities[entity_id],"&lt;="&amp;entities[[#This Row],[entity_id]]))</f>
        <v/>
      </c>
      <c r="L66" s="6" t="str">
        <f t="array" aca="1" ref="L66" ca="1">IF(entities[[#This Row],[Custom Attributes]]&lt;1,"",
MATCH(FALSE, ISBLANK(OFFSET(entities[[#This Row],[hidden]],0,0,1,5)), 0))</f>
        <v/>
      </c>
      <c r="M66" s="6" t="str">
        <f t="array" aca="1" ref="M66" ca="1">IF(entities[[#This Row],[Custom Attributes]]&lt;2,"",
IF(entities[[#This Row],[1]]=5-1,5,
MATCH(FALSE, ISBLANK(OFFSET(entities[[#This Row],[hidden]],0,entities[[#This Row],[1]],1,5-entities[[#This Row],[1]])), 0)+entities[[#This Row],[1]]))</f>
        <v/>
      </c>
      <c r="N66" s="6" t="str">
        <f t="array" aca="1" ref="N66" ca="1">IF(entities[[#This Row],[Custom Attributes]]&lt;3,"",
IF(entities[[#This Row],[2]]=5-1,5,
MATCH(FALSE, ISBLANK(OFFSET(entities[[#This Row],[hidden]],0,entities[[#This Row],[2]],1,5-entities[[#This Row],[2]])), 0)+entities[[#This Row],[2]]))</f>
        <v/>
      </c>
      <c r="O66" s="6" t="str">
        <f t="array" aca="1" ref="O66" ca="1">IF(entities[[#This Row],[Custom Attributes]]&lt;4,"",
IF(entities[[#This Row],[3]]=5-1,5,
MATCH(FALSE, ISBLANK(OFFSET(entities[[#This Row],[hidden]],0,entities[[#This Row],[3]],1,5-entities[[#This Row],[3]])), 0)+entities[[#This Row],[3]]))</f>
        <v/>
      </c>
      <c r="P66" s="14" t="str">
        <f ca="1">IF(entities[[#This Row],[1]]="","",
VLOOKUP(entities[[#This Row],[1]],Lookup!$B$5:$D$9,3,FALSE)  &amp;  INDEX(entities[[#This Row],[hidden]:[icon]],entities[[#This Row],[1]])
)</f>
        <v/>
      </c>
      <c r="Q66" s="6" t="str">
        <f ca="1">IF(entities[[#This Row],[2]]="","",
VLOOKUP(entities[[#This Row],[2]],Lookup!$B$5:$D$9,3,FALSE)  &amp;  INDEX(entities[[#This Row],[hidden]:[icon]],entities[[#This Row],[2]])
)</f>
        <v/>
      </c>
      <c r="R66" s="6" t="str">
        <f ca="1">IF(entities[[#This Row],[3]]="","",
VLOOKUP(entities[[#This Row],[3]],Lookup!$B$5:$D$9,3,FALSE)  &amp;  INDEX(entities[[#This Row],[hidden]:[icon]],entities[[#This Row],[3]])
)</f>
        <v/>
      </c>
      <c r="S66" s="6" t="str">
        <f ca="1">IF(entities[[#This Row],[4]]="","",
VLOOKUP(entities[[#This Row],[4]],Lookup!$B$5:$D$9,3,FALSE)  &amp;  INDEX(entities[[#This Row],[hidden]:[icon]],entities[[#This Row],[4]])
)</f>
        <v/>
      </c>
      <c r="T66" s="6" t="str">
        <f t="array" ref="T66">IFERROR(INDEX(cards[object_id],SMALL(IF(cards[[1]:[25]]=entities[[#This Row],[entity_id]],ROW(cards[])-7,99^99),1)),"")</f>
        <v/>
      </c>
      <c r="U66" s="6" t="str">
        <f>IF(entities[[#This Row],[In HA?]]&lt;&gt;"ok",  "Not in Home Assistant",
IF(entities[[#This Row],[hidden]]="true",  "Hidden",
IF(entities[[#This Row],[Card]]&lt;&gt;"",
INDEX(cards[name],MATCH(entities[[#This Row],[Card]],cards[object_id],0)),  "Badge / automatic card")))</f>
        <v>Badge / automatic card</v>
      </c>
      <c r="V66" s="6" t="str">
        <f>IF(entities[[#This Row],[Card]]&lt;&gt;"","group."&amp;entities[[#This Row],[Card]],"")</f>
        <v/>
      </c>
      <c r="W66" s="6" t="str">
        <f t="array" ref="W66">IFERROR(IF(entities[[#This Row],[Assigned Card]]="","",INDEX(views[object_id],SMALL(IF(views[[1]:[25]]=entities[[#This Row],[Assigned Card]],ROW(views[])-7,99^99),1))),"")</f>
        <v/>
      </c>
      <c r="X66" s="6" t="str">
        <f t="array" ref="X66">IFERROR(INDEX(views[object_id],SMALL(IF(views[[1]:[25]]=entities[[#This Row],[entity_id]],ROW(views[])-7,99^99),1)),"")</f>
        <v/>
      </c>
      <c r="Y66" s="6" t="str">
        <f>IF(entities[[#This Row],[View from card]]&lt;&gt;"",entities[[#This Row],[View from card]],entities[[#This Row],[View from entitiy]])</f>
        <v/>
      </c>
      <c r="Z66" s="6" t="str">
        <f>IF(entities[[#This Row],[In HA?]]&lt;&gt;"ok",  "Not in Home Assistant",
IF(entities[[#This Row],[hidden]]="true",  "Hidden",
IF(entities[[#This Row],[View]]&lt;&gt;"",
INDEX(views[name],MATCH(entities[[#This Row],[View]],views[object_id],0)),  "Default view")))</f>
        <v>Default view</v>
      </c>
      <c r="AA66" s="6" t="str">
        <f>IF(entities[[#This Row],[View]]&lt;&gt;"","group."&amp;entities[[#This Row],[View]],"")</f>
        <v/>
      </c>
      <c r="AB66" s="6" t="str">
        <f>IF(COUNTIF(Table4[Entity],entities[[#This Row],[entity_id]]),"ok","Missing from States tab")</f>
        <v>ok</v>
      </c>
      <c r="AF66"/>
    </row>
    <row r="67" spans="2:32" x14ac:dyDescent="0.45">
      <c r="B67" t="s">
        <v>810</v>
      </c>
      <c r="C67" t="s">
        <v>812</v>
      </c>
      <c r="I67" s="6" t="str">
        <f>entities[[#This Row],[domain]]&amp;"."&amp;entities[[#This Row],[object_id]]</f>
        <v>group.all_devices</v>
      </c>
      <c r="J67" s="6">
        <f>5-COUNTBLANK(entities[[#This Row],[hidden]:[icon]])</f>
        <v>0</v>
      </c>
      <c r="K67" s="6" t="str">
        <f>IF(entities[[#This Row],[Custom Attributes]]=0,"",
COUNTIFS(entities[Custom Attributes],"&gt;0",entities[entity_id],"&lt;="&amp;entities[[#This Row],[entity_id]]))</f>
        <v/>
      </c>
      <c r="L67" s="6" t="str">
        <f t="array" aca="1" ref="L67" ca="1">IF(entities[[#This Row],[Custom Attributes]]&lt;1,"",
MATCH(FALSE, ISBLANK(OFFSET(entities[[#This Row],[hidden]],0,0,1,5)), 0))</f>
        <v/>
      </c>
      <c r="M67" s="6" t="str">
        <f t="array" aca="1" ref="M67" ca="1">IF(entities[[#This Row],[Custom Attributes]]&lt;2,"",
IF(entities[[#This Row],[1]]=5-1,5,
MATCH(FALSE, ISBLANK(OFFSET(entities[[#This Row],[hidden]],0,entities[[#This Row],[1]],1,5-entities[[#This Row],[1]])), 0)+entities[[#This Row],[1]]))</f>
        <v/>
      </c>
      <c r="N67" s="6" t="str">
        <f t="array" aca="1" ref="N67" ca="1">IF(entities[[#This Row],[Custom Attributes]]&lt;3,"",
IF(entities[[#This Row],[2]]=5-1,5,
MATCH(FALSE, ISBLANK(OFFSET(entities[[#This Row],[hidden]],0,entities[[#This Row],[2]],1,5-entities[[#This Row],[2]])), 0)+entities[[#This Row],[2]]))</f>
        <v/>
      </c>
      <c r="O67" s="6" t="str">
        <f t="array" aca="1" ref="O67" ca="1">IF(entities[[#This Row],[Custom Attributes]]&lt;4,"",
IF(entities[[#This Row],[3]]=5-1,5,
MATCH(FALSE, ISBLANK(OFFSET(entities[[#This Row],[hidden]],0,entities[[#This Row],[3]],1,5-entities[[#This Row],[3]])), 0)+entities[[#This Row],[3]]))</f>
        <v/>
      </c>
      <c r="P67" s="14" t="str">
        <f ca="1">IF(entities[[#This Row],[1]]="","",
VLOOKUP(entities[[#This Row],[1]],Lookup!$B$5:$D$9,3,FALSE)  &amp;  INDEX(entities[[#This Row],[hidden]:[icon]],entities[[#This Row],[1]])
)</f>
        <v/>
      </c>
      <c r="Q67" s="6" t="str">
        <f ca="1">IF(entities[[#This Row],[2]]="","",
VLOOKUP(entities[[#This Row],[2]],Lookup!$B$5:$D$9,3,FALSE)  &amp;  INDEX(entities[[#This Row],[hidden]:[icon]],entities[[#This Row],[2]])
)</f>
        <v/>
      </c>
      <c r="R67" s="6" t="str">
        <f ca="1">IF(entities[[#This Row],[3]]="","",
VLOOKUP(entities[[#This Row],[3]],Lookup!$B$5:$D$9,3,FALSE)  &amp;  INDEX(entities[[#This Row],[hidden]:[icon]],entities[[#This Row],[3]])
)</f>
        <v/>
      </c>
      <c r="S67" s="6" t="str">
        <f ca="1">IF(entities[[#This Row],[4]]="","",
VLOOKUP(entities[[#This Row],[4]],Lookup!$B$5:$D$9,3,FALSE)  &amp;  INDEX(entities[[#This Row],[hidden]:[icon]],entities[[#This Row],[4]])
)</f>
        <v/>
      </c>
      <c r="T67" s="6" t="str">
        <f t="array" ref="T67">IFERROR(INDEX(cards[object_id],SMALL(IF(cards[[1]:[25]]=entities[[#This Row],[entity_id]],ROW(cards[])-7,99^99),1)),"")</f>
        <v/>
      </c>
      <c r="U67" s="6" t="str">
        <f>IF(entities[[#This Row],[In HA?]]&lt;&gt;"ok",  "Not in Home Assistant",
IF(entities[[#This Row],[hidden]]="true",  "Hidden",
IF(entities[[#This Row],[Card]]&lt;&gt;"",
INDEX(cards[name],MATCH(entities[[#This Row],[Card]],cards[object_id],0)),  "Badge / automatic card")))</f>
        <v>Badge / automatic card</v>
      </c>
      <c r="V67" s="6" t="str">
        <f>IF(entities[[#This Row],[Card]]&lt;&gt;"","group."&amp;entities[[#This Row],[Card]],"")</f>
        <v/>
      </c>
      <c r="W67" s="6" t="str">
        <f t="array" ref="W67">IFERROR(IF(entities[[#This Row],[Assigned Card]]="","",INDEX(views[object_id],SMALL(IF(views[[1]:[25]]=entities[[#This Row],[Assigned Card]],ROW(views[])-7,99^99),1))),"")</f>
        <v/>
      </c>
      <c r="X67" s="6" t="str">
        <f t="array" ref="X67">IFERROR(INDEX(views[object_id],SMALL(IF(views[[1]:[25]]=entities[[#This Row],[entity_id]],ROW(views[])-7,99^99),1)),"")</f>
        <v/>
      </c>
      <c r="Y67" s="6" t="str">
        <f>IF(entities[[#This Row],[View from card]]&lt;&gt;"",entities[[#This Row],[View from card]],entities[[#This Row],[View from entitiy]])</f>
        <v/>
      </c>
      <c r="Z67" s="6" t="str">
        <f>IF(entities[[#This Row],[In HA?]]&lt;&gt;"ok",  "Not in Home Assistant",
IF(entities[[#This Row],[hidden]]="true",  "Hidden",
IF(entities[[#This Row],[View]]&lt;&gt;"",
INDEX(views[name],MATCH(entities[[#This Row],[View]],views[object_id],0)),  "Default view")))</f>
        <v>Default view</v>
      </c>
      <c r="AA67" s="6" t="str">
        <f>IF(entities[[#This Row],[View]]&lt;&gt;"","group."&amp;entities[[#This Row],[View]],"")</f>
        <v/>
      </c>
      <c r="AB67" s="6" t="str">
        <f>IF(COUNTIF(Table4[Entity],entities[[#This Row],[entity_id]]),"ok","Missing from States tab")</f>
        <v>ok</v>
      </c>
      <c r="AF67"/>
    </row>
    <row r="68" spans="2:32" x14ac:dyDescent="0.45">
      <c r="B68" t="s">
        <v>810</v>
      </c>
      <c r="C68" t="s">
        <v>813</v>
      </c>
      <c r="I68" s="6" t="str">
        <f>entities[[#This Row],[domain]]&amp;"."&amp;entities[[#This Row],[object_id]]</f>
        <v>group.all_lights</v>
      </c>
      <c r="J68" s="6">
        <f>5-COUNTBLANK(entities[[#This Row],[hidden]:[icon]])</f>
        <v>0</v>
      </c>
      <c r="K68" s="6" t="str">
        <f>IF(entities[[#This Row],[Custom Attributes]]=0,"",
COUNTIFS(entities[Custom Attributes],"&gt;0",entities[entity_id],"&lt;="&amp;entities[[#This Row],[entity_id]]))</f>
        <v/>
      </c>
      <c r="L68" s="6" t="str">
        <f t="array" aca="1" ref="L68" ca="1">IF(entities[[#This Row],[Custom Attributes]]&lt;1,"",
MATCH(FALSE, ISBLANK(OFFSET(entities[[#This Row],[hidden]],0,0,1,5)), 0))</f>
        <v/>
      </c>
      <c r="M68" s="6" t="str">
        <f t="array" aca="1" ref="M68" ca="1">IF(entities[[#This Row],[Custom Attributes]]&lt;2,"",
IF(entities[[#This Row],[1]]=5-1,5,
MATCH(FALSE, ISBLANK(OFFSET(entities[[#This Row],[hidden]],0,entities[[#This Row],[1]],1,5-entities[[#This Row],[1]])), 0)+entities[[#This Row],[1]]))</f>
        <v/>
      </c>
      <c r="N68" s="6" t="str">
        <f t="array" aca="1" ref="N68" ca="1">IF(entities[[#This Row],[Custom Attributes]]&lt;3,"",
IF(entities[[#This Row],[2]]=5-1,5,
MATCH(FALSE, ISBLANK(OFFSET(entities[[#This Row],[hidden]],0,entities[[#This Row],[2]],1,5-entities[[#This Row],[2]])), 0)+entities[[#This Row],[2]]))</f>
        <v/>
      </c>
      <c r="O68" s="6" t="str">
        <f t="array" aca="1" ref="O68" ca="1">IF(entities[[#This Row],[Custom Attributes]]&lt;4,"",
IF(entities[[#This Row],[3]]=5-1,5,
MATCH(FALSE, ISBLANK(OFFSET(entities[[#This Row],[hidden]],0,entities[[#This Row],[3]],1,5-entities[[#This Row],[3]])), 0)+entities[[#This Row],[3]]))</f>
        <v/>
      </c>
      <c r="P68" s="14" t="str">
        <f ca="1">IF(entities[[#This Row],[1]]="","",
VLOOKUP(entities[[#This Row],[1]],Lookup!$B$5:$D$9,3,FALSE)  &amp;  INDEX(entities[[#This Row],[hidden]:[icon]],entities[[#This Row],[1]])
)</f>
        <v/>
      </c>
      <c r="Q68" s="6" t="str">
        <f ca="1">IF(entities[[#This Row],[2]]="","",
VLOOKUP(entities[[#This Row],[2]],Lookup!$B$5:$D$9,3,FALSE)  &amp;  INDEX(entities[[#This Row],[hidden]:[icon]],entities[[#This Row],[2]])
)</f>
        <v/>
      </c>
      <c r="R68" s="6" t="str">
        <f ca="1">IF(entities[[#This Row],[3]]="","",
VLOOKUP(entities[[#This Row],[3]],Lookup!$B$5:$D$9,3,FALSE)  &amp;  INDEX(entities[[#This Row],[hidden]:[icon]],entities[[#This Row],[3]])
)</f>
        <v/>
      </c>
      <c r="S68" s="6" t="str">
        <f ca="1">IF(entities[[#This Row],[4]]="","",
VLOOKUP(entities[[#This Row],[4]],Lookup!$B$5:$D$9,3,FALSE)  &amp;  INDEX(entities[[#This Row],[hidden]:[icon]],entities[[#This Row],[4]])
)</f>
        <v/>
      </c>
      <c r="T68" s="6" t="str">
        <f t="array" ref="T68">IFERROR(INDEX(cards[object_id],SMALL(IF(cards[[1]:[25]]=entities[[#This Row],[entity_id]],ROW(cards[])-7,99^99),1)),"")</f>
        <v/>
      </c>
      <c r="U68" s="6" t="str">
        <f>IF(entities[[#This Row],[In HA?]]&lt;&gt;"ok",  "Not in Home Assistant",
IF(entities[[#This Row],[hidden]]="true",  "Hidden",
IF(entities[[#This Row],[Card]]&lt;&gt;"",
INDEX(cards[name],MATCH(entities[[#This Row],[Card]],cards[object_id],0)),  "Badge / automatic card")))</f>
        <v>Badge / automatic card</v>
      </c>
      <c r="V68" s="6" t="str">
        <f>IF(entities[[#This Row],[Card]]&lt;&gt;"","group."&amp;entities[[#This Row],[Card]],"")</f>
        <v/>
      </c>
      <c r="W68" s="6" t="str">
        <f t="array" ref="W68">IFERROR(IF(entities[[#This Row],[Assigned Card]]="","",INDEX(views[object_id],SMALL(IF(views[[1]:[25]]=entities[[#This Row],[Assigned Card]],ROW(views[])-7,99^99),1))),"")</f>
        <v/>
      </c>
      <c r="X68" s="6" t="str">
        <f t="array" ref="X68">IFERROR(INDEX(views[object_id],SMALL(IF(views[[1]:[25]]=entities[[#This Row],[entity_id]],ROW(views[])-7,99^99),1)),"")</f>
        <v/>
      </c>
      <c r="Y68" s="6" t="str">
        <f>IF(entities[[#This Row],[View from card]]&lt;&gt;"",entities[[#This Row],[View from card]],entities[[#This Row],[View from entitiy]])</f>
        <v/>
      </c>
      <c r="Z68" s="6" t="str">
        <f>IF(entities[[#This Row],[In HA?]]&lt;&gt;"ok",  "Not in Home Assistant",
IF(entities[[#This Row],[hidden]]="true",  "Hidden",
IF(entities[[#This Row],[View]]&lt;&gt;"",
INDEX(views[name],MATCH(entities[[#This Row],[View]],views[object_id],0)),  "Default view")))</f>
        <v>Default view</v>
      </c>
      <c r="AA68" s="6" t="str">
        <f>IF(entities[[#This Row],[View]]&lt;&gt;"","group."&amp;entities[[#This Row],[View]],"")</f>
        <v/>
      </c>
      <c r="AB68" s="6" t="str">
        <f>IF(COUNTIF(Table4[Entity],entities[[#This Row],[entity_id]]),"ok","Missing from States tab")</f>
        <v>ok</v>
      </c>
      <c r="AF68"/>
    </row>
    <row r="69" spans="2:32" x14ac:dyDescent="0.45">
      <c r="B69" t="s">
        <v>810</v>
      </c>
      <c r="C69" t="s">
        <v>814</v>
      </c>
      <c r="I69" s="6" t="str">
        <f>entities[[#This Row],[domain]]&amp;"."&amp;entities[[#This Row],[object_id]]</f>
        <v>group.all_remotes</v>
      </c>
      <c r="J69" s="6">
        <f>5-COUNTBLANK(entities[[#This Row],[hidden]:[icon]])</f>
        <v>0</v>
      </c>
      <c r="K69" s="6" t="str">
        <f>IF(entities[[#This Row],[Custom Attributes]]=0,"",
COUNTIFS(entities[Custom Attributes],"&gt;0",entities[entity_id],"&lt;="&amp;entities[[#This Row],[entity_id]]))</f>
        <v/>
      </c>
      <c r="L69" s="6" t="str">
        <f t="array" aca="1" ref="L69" ca="1">IF(entities[[#This Row],[Custom Attributes]]&lt;1,"",
MATCH(FALSE, ISBLANK(OFFSET(entities[[#This Row],[hidden]],0,0,1,5)), 0))</f>
        <v/>
      </c>
      <c r="M69" s="6" t="str">
        <f t="array" aca="1" ref="M69" ca="1">IF(entities[[#This Row],[Custom Attributes]]&lt;2,"",
IF(entities[[#This Row],[1]]=5-1,5,
MATCH(FALSE, ISBLANK(OFFSET(entities[[#This Row],[hidden]],0,entities[[#This Row],[1]],1,5-entities[[#This Row],[1]])), 0)+entities[[#This Row],[1]]))</f>
        <v/>
      </c>
      <c r="N69" s="6" t="str">
        <f t="array" aca="1" ref="N69" ca="1">IF(entities[[#This Row],[Custom Attributes]]&lt;3,"",
IF(entities[[#This Row],[2]]=5-1,5,
MATCH(FALSE, ISBLANK(OFFSET(entities[[#This Row],[hidden]],0,entities[[#This Row],[2]],1,5-entities[[#This Row],[2]])), 0)+entities[[#This Row],[2]]))</f>
        <v/>
      </c>
      <c r="O69" s="6" t="str">
        <f t="array" aca="1" ref="O69" ca="1">IF(entities[[#This Row],[Custom Attributes]]&lt;4,"",
IF(entities[[#This Row],[3]]=5-1,5,
MATCH(FALSE, ISBLANK(OFFSET(entities[[#This Row],[hidden]],0,entities[[#This Row],[3]],1,5-entities[[#This Row],[3]])), 0)+entities[[#This Row],[3]]))</f>
        <v/>
      </c>
      <c r="P69" s="14" t="str">
        <f ca="1">IF(entities[[#This Row],[1]]="","",
VLOOKUP(entities[[#This Row],[1]],Lookup!$B$5:$D$9,3,FALSE)  &amp;  INDEX(entities[[#This Row],[hidden]:[icon]],entities[[#This Row],[1]])
)</f>
        <v/>
      </c>
      <c r="Q69" s="6" t="str">
        <f ca="1">IF(entities[[#This Row],[2]]="","",
VLOOKUP(entities[[#This Row],[2]],Lookup!$B$5:$D$9,3,FALSE)  &amp;  INDEX(entities[[#This Row],[hidden]:[icon]],entities[[#This Row],[2]])
)</f>
        <v/>
      </c>
      <c r="R69" s="6" t="str">
        <f ca="1">IF(entities[[#This Row],[3]]="","",
VLOOKUP(entities[[#This Row],[3]],Lookup!$B$5:$D$9,3,FALSE)  &amp;  INDEX(entities[[#This Row],[hidden]:[icon]],entities[[#This Row],[3]])
)</f>
        <v/>
      </c>
      <c r="S69" s="6" t="str">
        <f ca="1">IF(entities[[#This Row],[4]]="","",
VLOOKUP(entities[[#This Row],[4]],Lookup!$B$5:$D$9,3,FALSE)  &amp;  INDEX(entities[[#This Row],[hidden]:[icon]],entities[[#This Row],[4]])
)</f>
        <v/>
      </c>
      <c r="T69" s="6" t="str">
        <f t="array" ref="T69">IFERROR(INDEX(cards[object_id],SMALL(IF(cards[[1]:[25]]=entities[[#This Row],[entity_id]],ROW(cards[])-7,99^99),1)),"")</f>
        <v/>
      </c>
      <c r="U69" s="6" t="str">
        <f>IF(entities[[#This Row],[In HA?]]&lt;&gt;"ok",  "Not in Home Assistant",
IF(entities[[#This Row],[hidden]]="true",  "Hidden",
IF(entities[[#This Row],[Card]]&lt;&gt;"",
INDEX(cards[name],MATCH(entities[[#This Row],[Card]],cards[object_id],0)),  "Badge / automatic card")))</f>
        <v>Badge / automatic card</v>
      </c>
      <c r="V69" s="6" t="str">
        <f>IF(entities[[#This Row],[Card]]&lt;&gt;"","group."&amp;entities[[#This Row],[Card]],"")</f>
        <v/>
      </c>
      <c r="W69" s="6" t="str">
        <f t="array" ref="W69">IFERROR(IF(entities[[#This Row],[Assigned Card]]="","",INDEX(views[object_id],SMALL(IF(views[[1]:[25]]=entities[[#This Row],[Assigned Card]],ROW(views[])-7,99^99),1))),"")</f>
        <v/>
      </c>
      <c r="X69" s="6" t="str">
        <f t="array" ref="X69">IFERROR(INDEX(views[object_id],SMALL(IF(views[[1]:[25]]=entities[[#This Row],[entity_id]],ROW(views[])-7,99^99),1)),"")</f>
        <v/>
      </c>
      <c r="Y69" s="6" t="str">
        <f>IF(entities[[#This Row],[View from card]]&lt;&gt;"",entities[[#This Row],[View from card]],entities[[#This Row],[View from entitiy]])</f>
        <v/>
      </c>
      <c r="Z69" s="6" t="str">
        <f>IF(entities[[#This Row],[In HA?]]&lt;&gt;"ok",  "Not in Home Assistant",
IF(entities[[#This Row],[hidden]]="true",  "Hidden",
IF(entities[[#This Row],[View]]&lt;&gt;"",
INDEX(views[name],MATCH(entities[[#This Row],[View]],views[object_id],0)),  "Default view")))</f>
        <v>Default view</v>
      </c>
      <c r="AA69" s="6" t="str">
        <f>IF(entities[[#This Row],[View]]&lt;&gt;"","group."&amp;entities[[#This Row],[View]],"")</f>
        <v/>
      </c>
      <c r="AB69" s="6" t="str">
        <f>IF(COUNTIF(Table4[Entity],entities[[#This Row],[entity_id]]),"ok","Missing from States tab")</f>
        <v>ok</v>
      </c>
      <c r="AF69"/>
    </row>
    <row r="70" spans="2:32" x14ac:dyDescent="0.45">
      <c r="B70" t="s">
        <v>810</v>
      </c>
      <c r="C70" t="s">
        <v>815</v>
      </c>
      <c r="I70" s="6" t="str">
        <f>entities[[#This Row],[domain]]&amp;"."&amp;entities[[#This Row],[object_id]]</f>
        <v>group.all_scripts</v>
      </c>
      <c r="J70" s="6">
        <f>5-COUNTBLANK(entities[[#This Row],[hidden]:[icon]])</f>
        <v>0</v>
      </c>
      <c r="K70" s="6" t="str">
        <f>IF(entities[[#This Row],[Custom Attributes]]=0,"",
COUNTIFS(entities[Custom Attributes],"&gt;0",entities[entity_id],"&lt;="&amp;entities[[#This Row],[entity_id]]))</f>
        <v/>
      </c>
      <c r="L70" s="6" t="str">
        <f t="array" aca="1" ref="L70" ca="1">IF(entities[[#This Row],[Custom Attributes]]&lt;1,"",
MATCH(FALSE, ISBLANK(OFFSET(entities[[#This Row],[hidden]],0,0,1,5)), 0))</f>
        <v/>
      </c>
      <c r="M70" s="6" t="str">
        <f t="array" aca="1" ref="M70" ca="1">IF(entities[[#This Row],[Custom Attributes]]&lt;2,"",
IF(entities[[#This Row],[1]]=5-1,5,
MATCH(FALSE, ISBLANK(OFFSET(entities[[#This Row],[hidden]],0,entities[[#This Row],[1]],1,5-entities[[#This Row],[1]])), 0)+entities[[#This Row],[1]]))</f>
        <v/>
      </c>
      <c r="N70" s="6" t="str">
        <f t="array" aca="1" ref="N70" ca="1">IF(entities[[#This Row],[Custom Attributes]]&lt;3,"",
IF(entities[[#This Row],[2]]=5-1,5,
MATCH(FALSE, ISBLANK(OFFSET(entities[[#This Row],[hidden]],0,entities[[#This Row],[2]],1,5-entities[[#This Row],[2]])), 0)+entities[[#This Row],[2]]))</f>
        <v/>
      </c>
      <c r="O70" s="6" t="str">
        <f t="array" aca="1" ref="O70" ca="1">IF(entities[[#This Row],[Custom Attributes]]&lt;4,"",
IF(entities[[#This Row],[3]]=5-1,5,
MATCH(FALSE, ISBLANK(OFFSET(entities[[#This Row],[hidden]],0,entities[[#This Row],[3]],1,5-entities[[#This Row],[3]])), 0)+entities[[#This Row],[3]]))</f>
        <v/>
      </c>
      <c r="P70" s="14" t="str">
        <f ca="1">IF(entities[[#This Row],[1]]="","",
VLOOKUP(entities[[#This Row],[1]],Lookup!$B$5:$D$9,3,FALSE)  &amp;  INDEX(entities[[#This Row],[hidden]:[icon]],entities[[#This Row],[1]])
)</f>
        <v/>
      </c>
      <c r="Q70" s="6" t="str">
        <f ca="1">IF(entities[[#This Row],[2]]="","",
VLOOKUP(entities[[#This Row],[2]],Lookup!$B$5:$D$9,3,FALSE)  &amp;  INDEX(entities[[#This Row],[hidden]:[icon]],entities[[#This Row],[2]])
)</f>
        <v/>
      </c>
      <c r="R70" s="6" t="str">
        <f ca="1">IF(entities[[#This Row],[3]]="","",
VLOOKUP(entities[[#This Row],[3]],Lookup!$B$5:$D$9,3,FALSE)  &amp;  INDEX(entities[[#This Row],[hidden]:[icon]],entities[[#This Row],[3]])
)</f>
        <v/>
      </c>
      <c r="S70" s="6" t="str">
        <f ca="1">IF(entities[[#This Row],[4]]="","",
VLOOKUP(entities[[#This Row],[4]],Lookup!$B$5:$D$9,3,FALSE)  &amp;  INDEX(entities[[#This Row],[hidden]:[icon]],entities[[#This Row],[4]])
)</f>
        <v/>
      </c>
      <c r="T70" s="6" t="str">
        <f t="array" ref="T70">IFERROR(INDEX(cards[object_id],SMALL(IF(cards[[1]:[25]]=entities[[#This Row],[entity_id]],ROW(cards[])-7,99^99),1)),"")</f>
        <v/>
      </c>
      <c r="U70" s="6" t="str">
        <f>IF(entities[[#This Row],[In HA?]]&lt;&gt;"ok",  "Not in Home Assistant",
IF(entities[[#This Row],[hidden]]="true",  "Hidden",
IF(entities[[#This Row],[Card]]&lt;&gt;"",
INDEX(cards[name],MATCH(entities[[#This Row],[Card]],cards[object_id],0)),  "Badge / automatic card")))</f>
        <v>Badge / automatic card</v>
      </c>
      <c r="V70" s="6" t="str">
        <f>IF(entities[[#This Row],[Card]]&lt;&gt;"","group."&amp;entities[[#This Row],[Card]],"")</f>
        <v/>
      </c>
      <c r="W70" s="6" t="str">
        <f t="array" ref="W70">IFERROR(IF(entities[[#This Row],[Assigned Card]]="","",INDEX(views[object_id],SMALL(IF(views[[1]:[25]]=entities[[#This Row],[Assigned Card]],ROW(views[])-7,99^99),1))),"")</f>
        <v/>
      </c>
      <c r="X70" s="6" t="str">
        <f t="array" ref="X70">IFERROR(INDEX(views[object_id],SMALL(IF(views[[1]:[25]]=entities[[#This Row],[entity_id]],ROW(views[])-7,99^99),1)),"")</f>
        <v/>
      </c>
      <c r="Y70" s="6" t="str">
        <f>IF(entities[[#This Row],[View from card]]&lt;&gt;"",entities[[#This Row],[View from card]],entities[[#This Row],[View from entitiy]])</f>
        <v/>
      </c>
      <c r="Z70" s="6" t="str">
        <f>IF(entities[[#This Row],[In HA?]]&lt;&gt;"ok",  "Not in Home Assistant",
IF(entities[[#This Row],[hidden]]="true",  "Hidden",
IF(entities[[#This Row],[View]]&lt;&gt;"",
INDEX(views[name],MATCH(entities[[#This Row],[View]],views[object_id],0)),  "Default view")))</f>
        <v>Default view</v>
      </c>
      <c r="AA70" s="6" t="str">
        <f>IF(entities[[#This Row],[View]]&lt;&gt;"","group."&amp;entities[[#This Row],[View]],"")</f>
        <v/>
      </c>
      <c r="AB70" s="6" t="str">
        <f>IF(COUNTIF(Table4[Entity],entities[[#This Row],[entity_id]]),"ok","Missing from States tab")</f>
        <v>ok</v>
      </c>
      <c r="AF70"/>
    </row>
    <row r="71" spans="2:32" x14ac:dyDescent="0.45">
      <c r="B71" t="s">
        <v>810</v>
      </c>
      <c r="C71" t="s">
        <v>816</v>
      </c>
      <c r="I71" s="6" t="str">
        <f>entities[[#This Row],[domain]]&amp;"."&amp;entities[[#This Row],[object_id]]</f>
        <v>group.all_switches</v>
      </c>
      <c r="J71" s="6">
        <f>5-COUNTBLANK(entities[[#This Row],[hidden]:[icon]])</f>
        <v>0</v>
      </c>
      <c r="K71" s="6" t="str">
        <f>IF(entities[[#This Row],[Custom Attributes]]=0,"",
COUNTIFS(entities[Custom Attributes],"&gt;0",entities[entity_id],"&lt;="&amp;entities[[#This Row],[entity_id]]))</f>
        <v/>
      </c>
      <c r="L71" s="6" t="str">
        <f t="array" aca="1" ref="L71" ca="1">IF(entities[[#This Row],[Custom Attributes]]&lt;1,"",
MATCH(FALSE, ISBLANK(OFFSET(entities[[#This Row],[hidden]],0,0,1,5)), 0))</f>
        <v/>
      </c>
      <c r="M71" s="6" t="str">
        <f t="array" aca="1" ref="M71" ca="1">IF(entities[[#This Row],[Custom Attributes]]&lt;2,"",
IF(entities[[#This Row],[1]]=5-1,5,
MATCH(FALSE, ISBLANK(OFFSET(entities[[#This Row],[hidden]],0,entities[[#This Row],[1]],1,5-entities[[#This Row],[1]])), 0)+entities[[#This Row],[1]]))</f>
        <v/>
      </c>
      <c r="N71" s="6" t="str">
        <f t="array" aca="1" ref="N71" ca="1">IF(entities[[#This Row],[Custom Attributes]]&lt;3,"",
IF(entities[[#This Row],[2]]=5-1,5,
MATCH(FALSE, ISBLANK(OFFSET(entities[[#This Row],[hidden]],0,entities[[#This Row],[2]],1,5-entities[[#This Row],[2]])), 0)+entities[[#This Row],[2]]))</f>
        <v/>
      </c>
      <c r="O71" s="6" t="str">
        <f t="array" aca="1" ref="O71" ca="1">IF(entities[[#This Row],[Custom Attributes]]&lt;4,"",
IF(entities[[#This Row],[3]]=5-1,5,
MATCH(FALSE, ISBLANK(OFFSET(entities[[#This Row],[hidden]],0,entities[[#This Row],[3]],1,5-entities[[#This Row],[3]])), 0)+entities[[#This Row],[3]]))</f>
        <v/>
      </c>
      <c r="P71" s="14" t="str">
        <f ca="1">IF(entities[[#This Row],[1]]="","",
VLOOKUP(entities[[#This Row],[1]],Lookup!$B$5:$D$9,3,FALSE)  &amp;  INDEX(entities[[#This Row],[hidden]:[icon]],entities[[#This Row],[1]])
)</f>
        <v/>
      </c>
      <c r="Q71" s="6" t="str">
        <f ca="1">IF(entities[[#This Row],[2]]="","",
VLOOKUP(entities[[#This Row],[2]],Lookup!$B$5:$D$9,3,FALSE)  &amp;  INDEX(entities[[#This Row],[hidden]:[icon]],entities[[#This Row],[2]])
)</f>
        <v/>
      </c>
      <c r="R71" s="6" t="str">
        <f ca="1">IF(entities[[#This Row],[3]]="","",
VLOOKUP(entities[[#This Row],[3]],Lookup!$B$5:$D$9,3,FALSE)  &amp;  INDEX(entities[[#This Row],[hidden]:[icon]],entities[[#This Row],[3]])
)</f>
        <v/>
      </c>
      <c r="S71" s="6" t="str">
        <f ca="1">IF(entities[[#This Row],[4]]="","",
VLOOKUP(entities[[#This Row],[4]],Lookup!$B$5:$D$9,3,FALSE)  &amp;  INDEX(entities[[#This Row],[hidden]:[icon]],entities[[#This Row],[4]])
)</f>
        <v/>
      </c>
      <c r="T71" s="6" t="str">
        <f t="array" ref="T71">IFERROR(INDEX(cards[object_id],SMALL(IF(cards[[1]:[25]]=entities[[#This Row],[entity_id]],ROW(cards[])-7,99^99),1)),"")</f>
        <v/>
      </c>
      <c r="U71" s="6" t="str">
        <f>IF(entities[[#This Row],[In HA?]]&lt;&gt;"ok",  "Not in Home Assistant",
IF(entities[[#This Row],[hidden]]="true",  "Hidden",
IF(entities[[#This Row],[Card]]&lt;&gt;"",
INDEX(cards[name],MATCH(entities[[#This Row],[Card]],cards[object_id],0)),  "Badge / automatic card")))</f>
        <v>Badge / automatic card</v>
      </c>
      <c r="V71" s="6" t="str">
        <f>IF(entities[[#This Row],[Card]]&lt;&gt;"","group."&amp;entities[[#This Row],[Card]],"")</f>
        <v/>
      </c>
      <c r="W71" s="6" t="str">
        <f t="array" ref="W71">IFERROR(IF(entities[[#This Row],[Assigned Card]]="","",INDEX(views[object_id],SMALL(IF(views[[1]:[25]]=entities[[#This Row],[Assigned Card]],ROW(views[])-7,99^99),1))),"")</f>
        <v/>
      </c>
      <c r="X71" s="6" t="str">
        <f t="array" ref="X71">IFERROR(INDEX(views[object_id],SMALL(IF(views[[1]:[25]]=entities[[#This Row],[entity_id]],ROW(views[])-7,99^99),1)),"")</f>
        <v/>
      </c>
      <c r="Y71" s="6" t="str">
        <f>IF(entities[[#This Row],[View from card]]&lt;&gt;"",entities[[#This Row],[View from card]],entities[[#This Row],[View from entitiy]])</f>
        <v/>
      </c>
      <c r="Z71" s="6" t="str">
        <f>IF(entities[[#This Row],[In HA?]]&lt;&gt;"ok",  "Not in Home Assistant",
IF(entities[[#This Row],[hidden]]="true",  "Hidden",
IF(entities[[#This Row],[View]]&lt;&gt;"",
INDEX(views[name],MATCH(entities[[#This Row],[View]],views[object_id],0)),  "Default view")))</f>
        <v>Default view</v>
      </c>
      <c r="AA71" s="6" t="str">
        <f>IF(entities[[#This Row],[View]]&lt;&gt;"","group."&amp;entities[[#This Row],[View]],"")</f>
        <v/>
      </c>
      <c r="AB71" s="6" t="str">
        <f>IF(COUNTIF(Table4[Entity],entities[[#This Row],[entity_id]]),"ok","Missing from States tab")</f>
        <v>ok</v>
      </c>
      <c r="AF71"/>
    </row>
    <row r="72" spans="2:32" x14ac:dyDescent="0.45">
      <c r="B72" t="s">
        <v>810</v>
      </c>
      <c r="C72" t="s">
        <v>643</v>
      </c>
      <c r="D72" s="4" t="s">
        <v>294</v>
      </c>
      <c r="I72" s="6" t="str">
        <f>entities[[#This Row],[domain]]&amp;"."&amp;entities[[#This Row],[object_id]]</f>
        <v>group.automation_almclk</v>
      </c>
      <c r="J72" s="6">
        <f>5-COUNTBLANK(entities[[#This Row],[hidden]:[icon]])</f>
        <v>1</v>
      </c>
      <c r="K72" s="6">
        <f>IF(entities[[#This Row],[Custom Attributes]]=0,"",
COUNTIFS(entities[Custom Attributes],"&gt;0",entities[entity_id],"&lt;="&amp;entities[[#This Row],[entity_id]]))</f>
        <v>48</v>
      </c>
      <c r="L72" s="6">
        <f t="array" aca="1" ref="L72" ca="1">IF(entities[[#This Row],[Custom Attributes]]&lt;1,"",
MATCH(FALSE, ISBLANK(OFFSET(entities[[#This Row],[hidden]],0,0,1,5)), 0))</f>
        <v>1</v>
      </c>
      <c r="M72" s="6" t="str">
        <f t="array" aca="1" ref="M72" ca="1">IF(entities[[#This Row],[Custom Attributes]]&lt;2,"",
IF(entities[[#This Row],[1]]=5-1,5,
MATCH(FALSE, ISBLANK(OFFSET(entities[[#This Row],[hidden]],0,entities[[#This Row],[1]],1,5-entities[[#This Row],[1]])), 0)+entities[[#This Row],[1]]))</f>
        <v/>
      </c>
      <c r="N72" s="6" t="str">
        <f t="array" aca="1" ref="N72" ca="1">IF(entities[[#This Row],[Custom Attributes]]&lt;3,"",
IF(entities[[#This Row],[2]]=5-1,5,
MATCH(FALSE, ISBLANK(OFFSET(entities[[#This Row],[hidden]],0,entities[[#This Row],[2]],1,5-entities[[#This Row],[2]])), 0)+entities[[#This Row],[2]]))</f>
        <v/>
      </c>
      <c r="O72" s="6" t="str">
        <f t="array" aca="1" ref="O72" ca="1">IF(entities[[#This Row],[Custom Attributes]]&lt;4,"",
IF(entities[[#This Row],[3]]=5-1,5,
MATCH(FALSE, ISBLANK(OFFSET(entities[[#This Row],[hidden]],0,entities[[#This Row],[3]],1,5-entities[[#This Row],[3]])), 0)+entities[[#This Row],[3]]))</f>
        <v/>
      </c>
      <c r="P72" s="14" t="str">
        <f ca="1">IF(entities[[#This Row],[1]]="","",
VLOOKUP(entities[[#This Row],[1]],Lookup!$B$5:$D$9,3,FALSE)  &amp;  INDEX(entities[[#This Row],[hidden]:[icon]],entities[[#This Row],[1]])
)</f>
        <v xml:space="preserve">  hidden: true</v>
      </c>
      <c r="Q72" s="6" t="str">
        <f ca="1">IF(entities[[#This Row],[2]]="","",
VLOOKUP(entities[[#This Row],[2]],Lookup!$B$5:$D$9,3,FALSE)  &amp;  INDEX(entities[[#This Row],[hidden]:[icon]],entities[[#This Row],[2]])
)</f>
        <v/>
      </c>
      <c r="R72" s="6" t="str">
        <f ca="1">IF(entities[[#This Row],[3]]="","",
VLOOKUP(entities[[#This Row],[3]],Lookup!$B$5:$D$9,3,FALSE)  &amp;  INDEX(entities[[#This Row],[hidden]:[icon]],entities[[#This Row],[3]])
)</f>
        <v/>
      </c>
      <c r="S72" s="6" t="str">
        <f ca="1">IF(entities[[#This Row],[4]]="","",
VLOOKUP(entities[[#This Row],[4]],Lookup!$B$5:$D$9,3,FALSE)  &amp;  INDEX(entities[[#This Row],[hidden]:[icon]],entities[[#This Row],[4]])
)</f>
        <v/>
      </c>
      <c r="T72" s="6" t="str">
        <f t="array" ref="T72">IFERROR(INDEX(cards[object_id],SMALL(IF(cards[[1]:[25]]=entities[[#This Row],[entity_id]],ROW(cards[])-7,99^99),1)),"")</f>
        <v/>
      </c>
      <c r="U72" s="6" t="str">
        <f>IF(entities[[#This Row],[In HA?]]&lt;&gt;"ok",  "Not in Home Assistant",
IF(entities[[#This Row],[hidden]]="true",  "Hidden",
IF(entities[[#This Row],[Card]]&lt;&gt;"",
INDEX(cards[name],MATCH(entities[[#This Row],[Card]],cards[object_id],0)),  "Badge / automatic card")))</f>
        <v>Hidden</v>
      </c>
      <c r="V72" s="6" t="str">
        <f>IF(entities[[#This Row],[Card]]&lt;&gt;"","group."&amp;entities[[#This Row],[Card]],"")</f>
        <v/>
      </c>
      <c r="W72" s="6" t="str">
        <f t="array" ref="W72">IFERROR(IF(entities[[#This Row],[Assigned Card]]="","",INDEX(views[object_id],SMALL(IF(views[[1]:[25]]=entities[[#This Row],[Assigned Card]],ROW(views[])-7,99^99),1))),"")</f>
        <v/>
      </c>
      <c r="X72" s="6" t="str">
        <f t="array" ref="X72">IFERROR(INDEX(views[object_id],SMALL(IF(views[[1]:[25]]=entities[[#This Row],[entity_id]],ROW(views[])-7,99^99),1)),"")</f>
        <v/>
      </c>
      <c r="Y72" s="6" t="str">
        <f>IF(entities[[#This Row],[View from card]]&lt;&gt;"",entities[[#This Row],[View from card]],entities[[#This Row],[View from entitiy]])</f>
        <v/>
      </c>
      <c r="Z72" s="6" t="str">
        <f>IF(entities[[#This Row],[In HA?]]&lt;&gt;"ok",  "Not in Home Assistant",
IF(entities[[#This Row],[hidden]]="true",  "Hidden",
IF(entities[[#This Row],[View]]&lt;&gt;"",
INDEX(views[name],MATCH(entities[[#This Row],[View]],views[object_id],0)),  "Default view")))</f>
        <v>Hidden</v>
      </c>
      <c r="AA72" s="6" t="str">
        <f>IF(entities[[#This Row],[View]]&lt;&gt;"","group."&amp;entities[[#This Row],[View]],"")</f>
        <v/>
      </c>
      <c r="AB72" s="6" t="str">
        <f>IF(COUNTIF(Table4[Entity],entities[[#This Row],[entity_id]]),"ok","Missing from States tab")</f>
        <v>ok</v>
      </c>
      <c r="AF72"/>
    </row>
    <row r="73" spans="2:32" x14ac:dyDescent="0.45">
      <c r="B73" t="s">
        <v>810</v>
      </c>
      <c r="C73" t="s">
        <v>644</v>
      </c>
      <c r="D73" s="4" t="s">
        <v>294</v>
      </c>
      <c r="I73" s="6" t="str">
        <f>entities[[#This Row],[domain]]&amp;"."&amp;entities[[#This Row],[object_id]]</f>
        <v>group.automation_ifttt</v>
      </c>
      <c r="J73" s="6">
        <f>5-COUNTBLANK(entities[[#This Row],[hidden]:[icon]])</f>
        <v>1</v>
      </c>
      <c r="K73" s="6">
        <f>IF(entities[[#This Row],[Custom Attributes]]=0,"",
COUNTIFS(entities[Custom Attributes],"&gt;0",entities[entity_id],"&lt;="&amp;entities[[#This Row],[entity_id]]))</f>
        <v>49</v>
      </c>
      <c r="L73" s="6">
        <f t="array" aca="1" ref="L73" ca="1">IF(entities[[#This Row],[Custom Attributes]]&lt;1,"",
MATCH(FALSE, ISBLANK(OFFSET(entities[[#This Row],[hidden]],0,0,1,5)), 0))</f>
        <v>1</v>
      </c>
      <c r="M73" s="6" t="str">
        <f t="array" aca="1" ref="M73" ca="1">IF(entities[[#This Row],[Custom Attributes]]&lt;2,"",
IF(entities[[#This Row],[1]]=5-1,5,
MATCH(FALSE, ISBLANK(OFFSET(entities[[#This Row],[hidden]],0,entities[[#This Row],[1]],1,5-entities[[#This Row],[1]])), 0)+entities[[#This Row],[1]]))</f>
        <v/>
      </c>
      <c r="N73" s="6" t="str">
        <f t="array" aca="1" ref="N73" ca="1">IF(entities[[#This Row],[Custom Attributes]]&lt;3,"",
IF(entities[[#This Row],[2]]=5-1,5,
MATCH(FALSE, ISBLANK(OFFSET(entities[[#This Row],[hidden]],0,entities[[#This Row],[2]],1,5-entities[[#This Row],[2]])), 0)+entities[[#This Row],[2]]))</f>
        <v/>
      </c>
      <c r="O73" s="6" t="str">
        <f t="array" aca="1" ref="O73" ca="1">IF(entities[[#This Row],[Custom Attributes]]&lt;4,"",
IF(entities[[#This Row],[3]]=5-1,5,
MATCH(FALSE, ISBLANK(OFFSET(entities[[#This Row],[hidden]],0,entities[[#This Row],[3]],1,5-entities[[#This Row],[3]])), 0)+entities[[#This Row],[3]]))</f>
        <v/>
      </c>
      <c r="P73" s="14" t="str">
        <f ca="1">IF(entities[[#This Row],[1]]="","",
VLOOKUP(entities[[#This Row],[1]],Lookup!$B$5:$D$9,3,FALSE)  &amp;  INDEX(entities[[#This Row],[hidden]:[icon]],entities[[#This Row],[1]])
)</f>
        <v xml:space="preserve">  hidden: true</v>
      </c>
      <c r="Q73" s="6" t="str">
        <f ca="1">IF(entities[[#This Row],[2]]="","",
VLOOKUP(entities[[#This Row],[2]],Lookup!$B$5:$D$9,3,FALSE)  &amp;  INDEX(entities[[#This Row],[hidden]:[icon]],entities[[#This Row],[2]])
)</f>
        <v/>
      </c>
      <c r="R73" s="6" t="str">
        <f ca="1">IF(entities[[#This Row],[3]]="","",
VLOOKUP(entities[[#This Row],[3]],Lookup!$B$5:$D$9,3,FALSE)  &amp;  INDEX(entities[[#This Row],[hidden]:[icon]],entities[[#This Row],[3]])
)</f>
        <v/>
      </c>
      <c r="S73" s="6" t="str">
        <f ca="1">IF(entities[[#This Row],[4]]="","",
VLOOKUP(entities[[#This Row],[4]],Lookup!$B$5:$D$9,3,FALSE)  &amp;  INDEX(entities[[#This Row],[hidden]:[icon]],entities[[#This Row],[4]])
)</f>
        <v/>
      </c>
      <c r="T73" s="6" t="str">
        <f t="array" ref="T73">IFERROR(INDEX(cards[object_id],SMALL(IF(cards[[1]:[25]]=entities[[#This Row],[entity_id]],ROW(cards[])-7,99^99),1)),"")</f>
        <v/>
      </c>
      <c r="U73" s="6" t="str">
        <f>IF(entities[[#This Row],[In HA?]]&lt;&gt;"ok",  "Not in Home Assistant",
IF(entities[[#This Row],[hidden]]="true",  "Hidden",
IF(entities[[#This Row],[Card]]&lt;&gt;"",
INDEX(cards[name],MATCH(entities[[#This Row],[Card]],cards[object_id],0)),  "Badge / automatic card")))</f>
        <v>Hidden</v>
      </c>
      <c r="V73" s="6" t="str">
        <f>IF(entities[[#This Row],[Card]]&lt;&gt;"","group."&amp;entities[[#This Row],[Card]],"")</f>
        <v/>
      </c>
      <c r="W73" s="6" t="str">
        <f t="array" ref="W73">IFERROR(IF(entities[[#This Row],[Assigned Card]]="","",INDEX(views[object_id],SMALL(IF(views[[1]:[25]]=entities[[#This Row],[Assigned Card]],ROW(views[])-7,99^99),1))),"")</f>
        <v/>
      </c>
      <c r="X73" s="6" t="str">
        <f t="array" ref="X73">IFERROR(INDEX(views[object_id],SMALL(IF(views[[1]:[25]]=entities[[#This Row],[entity_id]],ROW(views[])-7,99^99),1)),"")</f>
        <v/>
      </c>
      <c r="Y73" s="6" t="str">
        <f>IF(entities[[#This Row],[View from card]]&lt;&gt;"",entities[[#This Row],[View from card]],entities[[#This Row],[View from entitiy]])</f>
        <v/>
      </c>
      <c r="Z73" s="6" t="str">
        <f>IF(entities[[#This Row],[In HA?]]&lt;&gt;"ok",  "Not in Home Assistant",
IF(entities[[#This Row],[hidden]]="true",  "Hidden",
IF(entities[[#This Row],[View]]&lt;&gt;"",
INDEX(views[name],MATCH(entities[[#This Row],[View]],views[object_id],0)),  "Default view")))</f>
        <v>Hidden</v>
      </c>
      <c r="AA73" s="6" t="str">
        <f>IF(entities[[#This Row],[View]]&lt;&gt;"","group."&amp;entities[[#This Row],[View]],"")</f>
        <v/>
      </c>
      <c r="AB73" s="6" t="str">
        <f>IF(COUNTIF(Table4[Entity],entities[[#This Row],[entity_id]]),"ok","Missing from States tab")</f>
        <v>ok</v>
      </c>
      <c r="AF73"/>
    </row>
    <row r="74" spans="2:32" x14ac:dyDescent="0.45">
      <c r="B74" t="s">
        <v>810</v>
      </c>
      <c r="C74" t="s">
        <v>645</v>
      </c>
      <c r="D74" s="4" t="s">
        <v>294</v>
      </c>
      <c r="I74" s="6" t="str">
        <f>entities[[#This Row],[domain]]&amp;"."&amp;entities[[#This Row],[object_id]]</f>
        <v>group.automation_locaway</v>
      </c>
      <c r="J74" s="6">
        <f>5-COUNTBLANK(entities[[#This Row],[hidden]:[icon]])</f>
        <v>1</v>
      </c>
      <c r="K74" s="6">
        <f>IF(entities[[#This Row],[Custom Attributes]]=0,"",
COUNTIFS(entities[Custom Attributes],"&gt;0",entities[entity_id],"&lt;="&amp;entities[[#This Row],[entity_id]]))</f>
        <v>50</v>
      </c>
      <c r="L74" s="6">
        <f t="array" aca="1" ref="L74" ca="1">IF(entities[[#This Row],[Custom Attributes]]&lt;1,"",
MATCH(FALSE, ISBLANK(OFFSET(entities[[#This Row],[hidden]],0,0,1,5)), 0))</f>
        <v>1</v>
      </c>
      <c r="M74" s="6" t="str">
        <f t="array" aca="1" ref="M74" ca="1">IF(entities[[#This Row],[Custom Attributes]]&lt;2,"",
IF(entities[[#This Row],[1]]=5-1,5,
MATCH(FALSE, ISBLANK(OFFSET(entities[[#This Row],[hidden]],0,entities[[#This Row],[1]],1,5-entities[[#This Row],[1]])), 0)+entities[[#This Row],[1]]))</f>
        <v/>
      </c>
      <c r="N74" s="6" t="str">
        <f t="array" aca="1" ref="N74" ca="1">IF(entities[[#This Row],[Custom Attributes]]&lt;3,"",
IF(entities[[#This Row],[2]]=5-1,5,
MATCH(FALSE, ISBLANK(OFFSET(entities[[#This Row],[hidden]],0,entities[[#This Row],[2]],1,5-entities[[#This Row],[2]])), 0)+entities[[#This Row],[2]]))</f>
        <v/>
      </c>
      <c r="O74" s="6" t="str">
        <f t="array" aca="1" ref="O74" ca="1">IF(entities[[#This Row],[Custom Attributes]]&lt;4,"",
IF(entities[[#This Row],[3]]=5-1,5,
MATCH(FALSE, ISBLANK(OFFSET(entities[[#This Row],[hidden]],0,entities[[#This Row],[3]],1,5-entities[[#This Row],[3]])), 0)+entities[[#This Row],[3]]))</f>
        <v/>
      </c>
      <c r="P74" s="14" t="str">
        <f ca="1">IF(entities[[#This Row],[1]]="","",
VLOOKUP(entities[[#This Row],[1]],Lookup!$B$5:$D$9,3,FALSE)  &amp;  INDEX(entities[[#This Row],[hidden]:[icon]],entities[[#This Row],[1]])
)</f>
        <v xml:space="preserve">  hidden: true</v>
      </c>
      <c r="Q74" s="6" t="str">
        <f ca="1">IF(entities[[#This Row],[2]]="","",
VLOOKUP(entities[[#This Row],[2]],Lookup!$B$5:$D$9,3,FALSE)  &amp;  INDEX(entities[[#This Row],[hidden]:[icon]],entities[[#This Row],[2]])
)</f>
        <v/>
      </c>
      <c r="R74" s="6" t="str">
        <f ca="1">IF(entities[[#This Row],[3]]="","",
VLOOKUP(entities[[#This Row],[3]],Lookup!$B$5:$D$9,3,FALSE)  &amp;  INDEX(entities[[#This Row],[hidden]:[icon]],entities[[#This Row],[3]])
)</f>
        <v/>
      </c>
      <c r="S74" s="6" t="str">
        <f ca="1">IF(entities[[#This Row],[4]]="","",
VLOOKUP(entities[[#This Row],[4]],Lookup!$B$5:$D$9,3,FALSE)  &amp;  INDEX(entities[[#This Row],[hidden]:[icon]],entities[[#This Row],[4]])
)</f>
        <v/>
      </c>
      <c r="T74" s="6" t="str">
        <f t="array" ref="T74">IFERROR(INDEX(cards[object_id],SMALL(IF(cards[[1]:[25]]=entities[[#This Row],[entity_id]],ROW(cards[])-7,99^99),1)),"")</f>
        <v/>
      </c>
      <c r="U74" s="6" t="str">
        <f>IF(entities[[#This Row],[In HA?]]&lt;&gt;"ok",  "Not in Home Assistant",
IF(entities[[#This Row],[hidden]]="true",  "Hidden",
IF(entities[[#This Row],[Card]]&lt;&gt;"",
INDEX(cards[name],MATCH(entities[[#This Row],[Card]],cards[object_id],0)),  "Badge / automatic card")))</f>
        <v>Hidden</v>
      </c>
      <c r="V74" s="6" t="str">
        <f>IF(entities[[#This Row],[Card]]&lt;&gt;"","group."&amp;entities[[#This Row],[Card]],"")</f>
        <v/>
      </c>
      <c r="W74" s="6" t="str">
        <f t="array" ref="W74">IFERROR(IF(entities[[#This Row],[Assigned Card]]="","",INDEX(views[object_id],SMALL(IF(views[[1]:[25]]=entities[[#This Row],[Assigned Card]],ROW(views[])-7,99^99),1))),"")</f>
        <v/>
      </c>
      <c r="X74" s="6" t="str">
        <f t="array" ref="X74">IFERROR(INDEX(views[object_id],SMALL(IF(views[[1]:[25]]=entities[[#This Row],[entity_id]],ROW(views[])-7,99^99),1)),"")</f>
        <v/>
      </c>
      <c r="Y74" s="6" t="str">
        <f>IF(entities[[#This Row],[View from card]]&lt;&gt;"",entities[[#This Row],[View from card]],entities[[#This Row],[View from entitiy]])</f>
        <v/>
      </c>
      <c r="Z74" s="6" t="str">
        <f>IF(entities[[#This Row],[In HA?]]&lt;&gt;"ok",  "Not in Home Assistant",
IF(entities[[#This Row],[hidden]]="true",  "Hidden",
IF(entities[[#This Row],[View]]&lt;&gt;"",
INDEX(views[name],MATCH(entities[[#This Row],[View]],views[object_id],0)),  "Default view")))</f>
        <v>Hidden</v>
      </c>
      <c r="AA74" s="6" t="str">
        <f>IF(entities[[#This Row],[View]]&lt;&gt;"","group."&amp;entities[[#This Row],[View]],"")</f>
        <v/>
      </c>
      <c r="AB74" s="6" t="str">
        <f>IF(COUNTIF(Table4[Entity],entities[[#This Row],[entity_id]]),"ok","Missing from States tab")</f>
        <v>ok</v>
      </c>
      <c r="AF74"/>
    </row>
    <row r="75" spans="2:32" x14ac:dyDescent="0.45">
      <c r="B75" t="s">
        <v>810</v>
      </c>
      <c r="C75" t="s">
        <v>646</v>
      </c>
      <c r="D75" s="4" t="s">
        <v>294</v>
      </c>
      <c r="I75" s="6" t="str">
        <f>entities[[#This Row],[domain]]&amp;"."&amp;entities[[#This Row],[object_id]]</f>
        <v>group.automation_not</v>
      </c>
      <c r="J75" s="6">
        <f>5-COUNTBLANK(entities[[#This Row],[hidden]:[icon]])</f>
        <v>1</v>
      </c>
      <c r="K75" s="6">
        <f>IF(entities[[#This Row],[Custom Attributes]]=0,"",
COUNTIFS(entities[Custom Attributes],"&gt;0",entities[entity_id],"&lt;="&amp;entities[[#This Row],[entity_id]]))</f>
        <v>51</v>
      </c>
      <c r="L75" s="6">
        <f t="array" aca="1" ref="L75" ca="1">IF(entities[[#This Row],[Custom Attributes]]&lt;1,"",
MATCH(FALSE, ISBLANK(OFFSET(entities[[#This Row],[hidden]],0,0,1,5)), 0))</f>
        <v>1</v>
      </c>
      <c r="M75" s="6" t="str">
        <f t="array" aca="1" ref="M75" ca="1">IF(entities[[#This Row],[Custom Attributes]]&lt;2,"",
IF(entities[[#This Row],[1]]=5-1,5,
MATCH(FALSE, ISBLANK(OFFSET(entities[[#This Row],[hidden]],0,entities[[#This Row],[1]],1,5-entities[[#This Row],[1]])), 0)+entities[[#This Row],[1]]))</f>
        <v/>
      </c>
      <c r="N75" s="6" t="str">
        <f t="array" aca="1" ref="N75" ca="1">IF(entities[[#This Row],[Custom Attributes]]&lt;3,"",
IF(entities[[#This Row],[2]]=5-1,5,
MATCH(FALSE, ISBLANK(OFFSET(entities[[#This Row],[hidden]],0,entities[[#This Row],[2]],1,5-entities[[#This Row],[2]])), 0)+entities[[#This Row],[2]]))</f>
        <v/>
      </c>
      <c r="O75" s="6" t="str">
        <f t="array" aca="1" ref="O75" ca="1">IF(entities[[#This Row],[Custom Attributes]]&lt;4,"",
IF(entities[[#This Row],[3]]=5-1,5,
MATCH(FALSE, ISBLANK(OFFSET(entities[[#This Row],[hidden]],0,entities[[#This Row],[3]],1,5-entities[[#This Row],[3]])), 0)+entities[[#This Row],[3]]))</f>
        <v/>
      </c>
      <c r="P75" s="14" t="str">
        <f ca="1">IF(entities[[#This Row],[1]]="","",
VLOOKUP(entities[[#This Row],[1]],Lookup!$B$5:$D$9,3,FALSE)  &amp;  INDEX(entities[[#This Row],[hidden]:[icon]],entities[[#This Row],[1]])
)</f>
        <v xml:space="preserve">  hidden: true</v>
      </c>
      <c r="Q75" s="6" t="str">
        <f ca="1">IF(entities[[#This Row],[2]]="","",
VLOOKUP(entities[[#This Row],[2]],Lookup!$B$5:$D$9,3,FALSE)  &amp;  INDEX(entities[[#This Row],[hidden]:[icon]],entities[[#This Row],[2]])
)</f>
        <v/>
      </c>
      <c r="R75" s="6" t="str">
        <f ca="1">IF(entities[[#This Row],[3]]="","",
VLOOKUP(entities[[#This Row],[3]],Lookup!$B$5:$D$9,3,FALSE)  &amp;  INDEX(entities[[#This Row],[hidden]:[icon]],entities[[#This Row],[3]])
)</f>
        <v/>
      </c>
      <c r="S75" s="6" t="str">
        <f ca="1">IF(entities[[#This Row],[4]]="","",
VLOOKUP(entities[[#This Row],[4]],Lookup!$B$5:$D$9,3,FALSE)  &amp;  INDEX(entities[[#This Row],[hidden]:[icon]],entities[[#This Row],[4]])
)</f>
        <v/>
      </c>
      <c r="T75" s="6" t="str">
        <f t="array" ref="T75">IFERROR(INDEX(cards[object_id],SMALL(IF(cards[[1]:[25]]=entities[[#This Row],[entity_id]],ROW(cards[])-7,99^99),1)),"")</f>
        <v/>
      </c>
      <c r="U75" s="6" t="str">
        <f>IF(entities[[#This Row],[In HA?]]&lt;&gt;"ok",  "Not in Home Assistant",
IF(entities[[#This Row],[hidden]]="true",  "Hidden",
IF(entities[[#This Row],[Card]]&lt;&gt;"",
INDEX(cards[name],MATCH(entities[[#This Row],[Card]],cards[object_id],0)),  "Badge / automatic card")))</f>
        <v>Hidden</v>
      </c>
      <c r="V75" s="6" t="str">
        <f>IF(entities[[#This Row],[Card]]&lt;&gt;"","group."&amp;entities[[#This Row],[Card]],"")</f>
        <v/>
      </c>
      <c r="W75" s="6" t="str">
        <f t="array" ref="W75">IFERROR(IF(entities[[#This Row],[Assigned Card]]="","",INDEX(views[object_id],SMALL(IF(views[[1]:[25]]=entities[[#This Row],[Assigned Card]],ROW(views[])-7,99^99),1))),"")</f>
        <v/>
      </c>
      <c r="X75" s="6" t="str">
        <f t="array" ref="X75">IFERROR(INDEX(views[object_id],SMALL(IF(views[[1]:[25]]=entities[[#This Row],[entity_id]],ROW(views[])-7,99^99),1)),"")</f>
        <v/>
      </c>
      <c r="Y75" s="6" t="str">
        <f>IF(entities[[#This Row],[View from card]]&lt;&gt;"",entities[[#This Row],[View from card]],entities[[#This Row],[View from entitiy]])</f>
        <v/>
      </c>
      <c r="Z75" s="6" t="str">
        <f>IF(entities[[#This Row],[In HA?]]&lt;&gt;"ok",  "Not in Home Assistant",
IF(entities[[#This Row],[hidden]]="true",  "Hidden",
IF(entities[[#This Row],[View]]&lt;&gt;"",
INDEX(views[name],MATCH(entities[[#This Row],[View]],views[object_id],0)),  "Default view")))</f>
        <v>Hidden</v>
      </c>
      <c r="AA75" s="6" t="str">
        <f>IF(entities[[#This Row],[View]]&lt;&gt;"","group."&amp;entities[[#This Row],[View]],"")</f>
        <v/>
      </c>
      <c r="AB75" s="6" t="str">
        <f>IF(COUNTIF(Table4[Entity],entities[[#This Row],[entity_id]]),"ok","Missing from States tab")</f>
        <v>ok</v>
      </c>
      <c r="AF75"/>
    </row>
    <row r="76" spans="2:32" x14ac:dyDescent="0.45">
      <c r="B76" t="s">
        <v>810</v>
      </c>
      <c r="C76" t="s">
        <v>647</v>
      </c>
      <c r="D76" s="4" t="s">
        <v>294</v>
      </c>
      <c r="I76" s="6" t="str">
        <f>entities[[#This Row],[domain]]&amp;"."&amp;entities[[#This Row],[object_id]]</f>
        <v>group.automation_rmbd</v>
      </c>
      <c r="J76" s="6">
        <f>5-COUNTBLANK(entities[[#This Row],[hidden]:[icon]])</f>
        <v>1</v>
      </c>
      <c r="K76" s="6">
        <f>IF(entities[[#This Row],[Custom Attributes]]=0,"",
COUNTIFS(entities[Custom Attributes],"&gt;0",entities[entity_id],"&lt;="&amp;entities[[#This Row],[entity_id]]))</f>
        <v>52</v>
      </c>
      <c r="L76" s="6">
        <f t="array" aca="1" ref="L76" ca="1">IF(entities[[#This Row],[Custom Attributes]]&lt;1,"",
MATCH(FALSE, ISBLANK(OFFSET(entities[[#This Row],[hidden]],0,0,1,5)), 0))</f>
        <v>1</v>
      </c>
      <c r="M76" s="6" t="str">
        <f t="array" aca="1" ref="M76" ca="1">IF(entities[[#This Row],[Custom Attributes]]&lt;2,"",
IF(entities[[#This Row],[1]]=5-1,5,
MATCH(FALSE, ISBLANK(OFFSET(entities[[#This Row],[hidden]],0,entities[[#This Row],[1]],1,5-entities[[#This Row],[1]])), 0)+entities[[#This Row],[1]]))</f>
        <v/>
      </c>
      <c r="N76" s="6" t="str">
        <f t="array" aca="1" ref="N76" ca="1">IF(entities[[#This Row],[Custom Attributes]]&lt;3,"",
IF(entities[[#This Row],[2]]=5-1,5,
MATCH(FALSE, ISBLANK(OFFSET(entities[[#This Row],[hidden]],0,entities[[#This Row],[2]],1,5-entities[[#This Row],[2]])), 0)+entities[[#This Row],[2]]))</f>
        <v/>
      </c>
      <c r="O76" s="6" t="str">
        <f t="array" aca="1" ref="O76" ca="1">IF(entities[[#This Row],[Custom Attributes]]&lt;4,"",
IF(entities[[#This Row],[3]]=5-1,5,
MATCH(FALSE, ISBLANK(OFFSET(entities[[#This Row],[hidden]],0,entities[[#This Row],[3]],1,5-entities[[#This Row],[3]])), 0)+entities[[#This Row],[3]]))</f>
        <v/>
      </c>
      <c r="P76" s="14" t="str">
        <f ca="1">IF(entities[[#This Row],[1]]="","",
VLOOKUP(entities[[#This Row],[1]],Lookup!$B$5:$D$9,3,FALSE)  &amp;  INDEX(entities[[#This Row],[hidden]:[icon]],entities[[#This Row],[1]])
)</f>
        <v xml:space="preserve">  hidden: true</v>
      </c>
      <c r="Q76" s="6" t="str">
        <f ca="1">IF(entities[[#This Row],[2]]="","",
VLOOKUP(entities[[#This Row],[2]],Lookup!$B$5:$D$9,3,FALSE)  &amp;  INDEX(entities[[#This Row],[hidden]:[icon]],entities[[#This Row],[2]])
)</f>
        <v/>
      </c>
      <c r="R76" s="6" t="str">
        <f ca="1">IF(entities[[#This Row],[3]]="","",
VLOOKUP(entities[[#This Row],[3]],Lookup!$B$5:$D$9,3,FALSE)  &amp;  INDEX(entities[[#This Row],[hidden]:[icon]],entities[[#This Row],[3]])
)</f>
        <v/>
      </c>
      <c r="S76" s="6" t="str">
        <f ca="1">IF(entities[[#This Row],[4]]="","",
VLOOKUP(entities[[#This Row],[4]],Lookup!$B$5:$D$9,3,FALSE)  &amp;  INDEX(entities[[#This Row],[hidden]:[icon]],entities[[#This Row],[4]])
)</f>
        <v/>
      </c>
      <c r="T76" s="6" t="str">
        <f t="array" ref="T76">IFERROR(INDEX(cards[object_id],SMALL(IF(cards[[1]:[25]]=entities[[#This Row],[entity_id]],ROW(cards[])-7,99^99),1)),"")</f>
        <v/>
      </c>
      <c r="U76" s="6" t="str">
        <f>IF(entities[[#This Row],[In HA?]]&lt;&gt;"ok",  "Not in Home Assistant",
IF(entities[[#This Row],[hidden]]="true",  "Hidden",
IF(entities[[#This Row],[Card]]&lt;&gt;"",
INDEX(cards[name],MATCH(entities[[#This Row],[Card]],cards[object_id],0)),  "Badge / automatic card")))</f>
        <v>Hidden</v>
      </c>
      <c r="V76" s="6" t="str">
        <f>IF(entities[[#This Row],[Card]]&lt;&gt;"","group."&amp;entities[[#This Row],[Card]],"")</f>
        <v/>
      </c>
      <c r="W76" s="6" t="str">
        <f t="array" ref="W76">IFERROR(IF(entities[[#This Row],[Assigned Card]]="","",INDEX(views[object_id],SMALL(IF(views[[1]:[25]]=entities[[#This Row],[Assigned Card]],ROW(views[])-7,99^99),1))),"")</f>
        <v/>
      </c>
      <c r="X76" s="6" t="str">
        <f t="array" ref="X76">IFERROR(INDEX(views[object_id],SMALL(IF(views[[1]:[25]]=entities[[#This Row],[entity_id]],ROW(views[])-7,99^99),1)),"")</f>
        <v/>
      </c>
      <c r="Y76" s="6" t="str">
        <f>IF(entities[[#This Row],[View from card]]&lt;&gt;"",entities[[#This Row],[View from card]],entities[[#This Row],[View from entitiy]])</f>
        <v/>
      </c>
      <c r="Z76" s="6" t="str">
        <f>IF(entities[[#This Row],[In HA?]]&lt;&gt;"ok",  "Not in Home Assistant",
IF(entities[[#This Row],[hidden]]="true",  "Hidden",
IF(entities[[#This Row],[View]]&lt;&gt;"",
INDEX(views[name],MATCH(entities[[#This Row],[View]],views[object_id],0)),  "Default view")))</f>
        <v>Hidden</v>
      </c>
      <c r="AA76" s="6" t="str">
        <f>IF(entities[[#This Row],[View]]&lt;&gt;"","group."&amp;entities[[#This Row],[View]],"")</f>
        <v/>
      </c>
      <c r="AB76" s="6" t="str">
        <f>IF(COUNTIF(Table4[Entity],entities[[#This Row],[entity_id]]),"ok","Missing from States tab")</f>
        <v>ok</v>
      </c>
      <c r="AF76"/>
    </row>
    <row r="77" spans="2:32" x14ac:dyDescent="0.45">
      <c r="B77" t="s">
        <v>810</v>
      </c>
      <c r="C77" t="s">
        <v>648</v>
      </c>
      <c r="D77" s="4" t="s">
        <v>294</v>
      </c>
      <c r="I77" s="6" t="str">
        <f>entities[[#This Row],[domain]]&amp;"."&amp;entities[[#This Row],[object_id]]</f>
        <v>group.automation_rmlv</v>
      </c>
      <c r="J77" s="6">
        <f>5-COUNTBLANK(entities[[#This Row],[hidden]:[icon]])</f>
        <v>1</v>
      </c>
      <c r="K77" s="6">
        <f>IF(entities[[#This Row],[Custom Attributes]]=0,"",
COUNTIFS(entities[Custom Attributes],"&gt;0",entities[entity_id],"&lt;="&amp;entities[[#This Row],[entity_id]]))</f>
        <v>53</v>
      </c>
      <c r="L77" s="6">
        <f t="array" aca="1" ref="L77" ca="1">IF(entities[[#This Row],[Custom Attributes]]&lt;1,"",
MATCH(FALSE, ISBLANK(OFFSET(entities[[#This Row],[hidden]],0,0,1,5)), 0))</f>
        <v>1</v>
      </c>
      <c r="M77" s="6" t="str">
        <f t="array" aca="1" ref="M77" ca="1">IF(entities[[#This Row],[Custom Attributes]]&lt;2,"",
IF(entities[[#This Row],[1]]=5-1,5,
MATCH(FALSE, ISBLANK(OFFSET(entities[[#This Row],[hidden]],0,entities[[#This Row],[1]],1,5-entities[[#This Row],[1]])), 0)+entities[[#This Row],[1]]))</f>
        <v/>
      </c>
      <c r="N77" s="6" t="str">
        <f t="array" aca="1" ref="N77" ca="1">IF(entities[[#This Row],[Custom Attributes]]&lt;3,"",
IF(entities[[#This Row],[2]]=5-1,5,
MATCH(FALSE, ISBLANK(OFFSET(entities[[#This Row],[hidden]],0,entities[[#This Row],[2]],1,5-entities[[#This Row],[2]])), 0)+entities[[#This Row],[2]]))</f>
        <v/>
      </c>
      <c r="O77" s="6" t="str">
        <f t="array" aca="1" ref="O77" ca="1">IF(entities[[#This Row],[Custom Attributes]]&lt;4,"",
IF(entities[[#This Row],[3]]=5-1,5,
MATCH(FALSE, ISBLANK(OFFSET(entities[[#This Row],[hidden]],0,entities[[#This Row],[3]],1,5-entities[[#This Row],[3]])), 0)+entities[[#This Row],[3]]))</f>
        <v/>
      </c>
      <c r="P77" s="14" t="str">
        <f ca="1">IF(entities[[#This Row],[1]]="","",
VLOOKUP(entities[[#This Row],[1]],Lookup!$B$5:$D$9,3,FALSE)  &amp;  INDEX(entities[[#This Row],[hidden]:[icon]],entities[[#This Row],[1]])
)</f>
        <v xml:space="preserve">  hidden: true</v>
      </c>
      <c r="Q77" s="6" t="str">
        <f ca="1">IF(entities[[#This Row],[2]]="","",
VLOOKUP(entities[[#This Row],[2]],Lookup!$B$5:$D$9,3,FALSE)  &amp;  INDEX(entities[[#This Row],[hidden]:[icon]],entities[[#This Row],[2]])
)</f>
        <v/>
      </c>
      <c r="R77" s="6" t="str">
        <f ca="1">IF(entities[[#This Row],[3]]="","",
VLOOKUP(entities[[#This Row],[3]],Lookup!$B$5:$D$9,3,FALSE)  &amp;  INDEX(entities[[#This Row],[hidden]:[icon]],entities[[#This Row],[3]])
)</f>
        <v/>
      </c>
      <c r="S77" s="6" t="str">
        <f ca="1">IF(entities[[#This Row],[4]]="","",
VLOOKUP(entities[[#This Row],[4]],Lookup!$B$5:$D$9,3,FALSE)  &amp;  INDEX(entities[[#This Row],[hidden]:[icon]],entities[[#This Row],[4]])
)</f>
        <v/>
      </c>
      <c r="T77" s="6" t="str">
        <f t="array" ref="T77">IFERROR(INDEX(cards[object_id],SMALL(IF(cards[[1]:[25]]=entities[[#This Row],[entity_id]],ROW(cards[])-7,99^99),1)),"")</f>
        <v/>
      </c>
      <c r="U77" s="6" t="str">
        <f>IF(entities[[#This Row],[In HA?]]&lt;&gt;"ok",  "Not in Home Assistant",
IF(entities[[#This Row],[hidden]]="true",  "Hidden",
IF(entities[[#This Row],[Card]]&lt;&gt;"",
INDEX(cards[name],MATCH(entities[[#This Row],[Card]],cards[object_id],0)),  "Badge / automatic card")))</f>
        <v>Hidden</v>
      </c>
      <c r="V77" s="6" t="str">
        <f>IF(entities[[#This Row],[Card]]&lt;&gt;"","group."&amp;entities[[#This Row],[Card]],"")</f>
        <v/>
      </c>
      <c r="W77" s="6" t="str">
        <f t="array" ref="W77">IFERROR(IF(entities[[#This Row],[Assigned Card]]="","",INDEX(views[object_id],SMALL(IF(views[[1]:[25]]=entities[[#This Row],[Assigned Card]],ROW(views[])-7,99^99),1))),"")</f>
        <v/>
      </c>
      <c r="X77" s="6" t="str">
        <f t="array" ref="X77">IFERROR(INDEX(views[object_id],SMALL(IF(views[[1]:[25]]=entities[[#This Row],[entity_id]],ROW(views[])-7,99^99),1)),"")</f>
        <v/>
      </c>
      <c r="Y77" s="6" t="str">
        <f>IF(entities[[#This Row],[View from card]]&lt;&gt;"",entities[[#This Row],[View from card]],entities[[#This Row],[View from entitiy]])</f>
        <v/>
      </c>
      <c r="Z77" s="6" t="str">
        <f>IF(entities[[#This Row],[In HA?]]&lt;&gt;"ok",  "Not in Home Assistant",
IF(entities[[#This Row],[hidden]]="true",  "Hidden",
IF(entities[[#This Row],[View]]&lt;&gt;"",
INDEX(views[name],MATCH(entities[[#This Row],[View]],views[object_id],0)),  "Default view")))</f>
        <v>Hidden</v>
      </c>
      <c r="AA77" s="6" t="str">
        <f>IF(entities[[#This Row],[View]]&lt;&gt;"","group."&amp;entities[[#This Row],[View]],"")</f>
        <v/>
      </c>
      <c r="AB77" s="6" t="str">
        <f>IF(COUNTIF(Table4[Entity],entities[[#This Row],[entity_id]]),"ok","Missing from States tab")</f>
        <v>ok</v>
      </c>
      <c r="AF77"/>
    </row>
    <row r="78" spans="2:32" x14ac:dyDescent="0.45">
      <c r="B78" t="s">
        <v>810</v>
      </c>
      <c r="C78" t="s">
        <v>649</v>
      </c>
      <c r="D78" s="4" t="s">
        <v>294</v>
      </c>
      <c r="I78" s="6" t="str">
        <f>entities[[#This Row],[domain]]&amp;"."&amp;entities[[#This Row],[object_id]]</f>
        <v>group.automation_rmlvtv</v>
      </c>
      <c r="J78" s="6">
        <f>5-COUNTBLANK(entities[[#This Row],[hidden]:[icon]])</f>
        <v>1</v>
      </c>
      <c r="K78" s="6">
        <f>IF(entities[[#This Row],[Custom Attributes]]=0,"",
COUNTIFS(entities[Custom Attributes],"&gt;0",entities[entity_id],"&lt;="&amp;entities[[#This Row],[entity_id]]))</f>
        <v>54</v>
      </c>
      <c r="L78" s="6">
        <f t="array" aca="1" ref="L78" ca="1">IF(entities[[#This Row],[Custom Attributes]]&lt;1,"",
MATCH(FALSE, ISBLANK(OFFSET(entities[[#This Row],[hidden]],0,0,1,5)), 0))</f>
        <v>1</v>
      </c>
      <c r="M78" s="6" t="str">
        <f t="array" aca="1" ref="M78" ca="1">IF(entities[[#This Row],[Custom Attributes]]&lt;2,"",
IF(entities[[#This Row],[1]]=5-1,5,
MATCH(FALSE, ISBLANK(OFFSET(entities[[#This Row],[hidden]],0,entities[[#This Row],[1]],1,5-entities[[#This Row],[1]])), 0)+entities[[#This Row],[1]]))</f>
        <v/>
      </c>
      <c r="N78" s="6" t="str">
        <f t="array" aca="1" ref="N78" ca="1">IF(entities[[#This Row],[Custom Attributes]]&lt;3,"",
IF(entities[[#This Row],[2]]=5-1,5,
MATCH(FALSE, ISBLANK(OFFSET(entities[[#This Row],[hidden]],0,entities[[#This Row],[2]],1,5-entities[[#This Row],[2]])), 0)+entities[[#This Row],[2]]))</f>
        <v/>
      </c>
      <c r="O78" s="6" t="str">
        <f t="array" aca="1" ref="O78" ca="1">IF(entities[[#This Row],[Custom Attributes]]&lt;4,"",
IF(entities[[#This Row],[3]]=5-1,5,
MATCH(FALSE, ISBLANK(OFFSET(entities[[#This Row],[hidden]],0,entities[[#This Row],[3]],1,5-entities[[#This Row],[3]])), 0)+entities[[#This Row],[3]]))</f>
        <v/>
      </c>
      <c r="P78" s="14" t="str">
        <f ca="1">IF(entities[[#This Row],[1]]="","",
VLOOKUP(entities[[#This Row],[1]],Lookup!$B$5:$D$9,3,FALSE)  &amp;  INDEX(entities[[#This Row],[hidden]:[icon]],entities[[#This Row],[1]])
)</f>
        <v xml:space="preserve">  hidden: true</v>
      </c>
      <c r="Q78" s="6" t="str">
        <f ca="1">IF(entities[[#This Row],[2]]="","",
VLOOKUP(entities[[#This Row],[2]],Lookup!$B$5:$D$9,3,FALSE)  &amp;  INDEX(entities[[#This Row],[hidden]:[icon]],entities[[#This Row],[2]])
)</f>
        <v/>
      </c>
      <c r="R78" s="6" t="str">
        <f ca="1">IF(entities[[#This Row],[3]]="","",
VLOOKUP(entities[[#This Row],[3]],Lookup!$B$5:$D$9,3,FALSE)  &amp;  INDEX(entities[[#This Row],[hidden]:[icon]],entities[[#This Row],[3]])
)</f>
        <v/>
      </c>
      <c r="S78" s="6" t="str">
        <f ca="1">IF(entities[[#This Row],[4]]="","",
VLOOKUP(entities[[#This Row],[4]],Lookup!$B$5:$D$9,3,FALSE)  &amp;  INDEX(entities[[#This Row],[hidden]:[icon]],entities[[#This Row],[4]])
)</f>
        <v/>
      </c>
      <c r="T78" s="6" t="str">
        <f t="array" ref="T78">IFERROR(INDEX(cards[object_id],SMALL(IF(cards[[1]:[25]]=entities[[#This Row],[entity_id]],ROW(cards[])-7,99^99),1)),"")</f>
        <v/>
      </c>
      <c r="U78" s="6" t="str">
        <f>IF(entities[[#This Row],[In HA?]]&lt;&gt;"ok",  "Not in Home Assistant",
IF(entities[[#This Row],[hidden]]="true",  "Hidden",
IF(entities[[#This Row],[Card]]&lt;&gt;"",
INDEX(cards[name],MATCH(entities[[#This Row],[Card]],cards[object_id],0)),  "Badge / automatic card")))</f>
        <v>Hidden</v>
      </c>
      <c r="V78" s="6" t="str">
        <f>IF(entities[[#This Row],[Card]]&lt;&gt;"","group."&amp;entities[[#This Row],[Card]],"")</f>
        <v/>
      </c>
      <c r="W78" s="6" t="str">
        <f t="array" ref="W78">IFERROR(IF(entities[[#This Row],[Assigned Card]]="","",INDEX(views[object_id],SMALL(IF(views[[1]:[25]]=entities[[#This Row],[Assigned Card]],ROW(views[])-7,99^99),1))),"")</f>
        <v/>
      </c>
      <c r="X78" s="6" t="str">
        <f t="array" ref="X78">IFERROR(INDEX(views[object_id],SMALL(IF(views[[1]:[25]]=entities[[#This Row],[entity_id]],ROW(views[])-7,99^99),1)),"")</f>
        <v/>
      </c>
      <c r="Y78" s="6" t="str">
        <f>IF(entities[[#This Row],[View from card]]&lt;&gt;"",entities[[#This Row],[View from card]],entities[[#This Row],[View from entitiy]])</f>
        <v/>
      </c>
      <c r="Z78" s="6" t="str">
        <f>IF(entities[[#This Row],[In HA?]]&lt;&gt;"ok",  "Not in Home Assistant",
IF(entities[[#This Row],[hidden]]="true",  "Hidden",
IF(entities[[#This Row],[View]]&lt;&gt;"",
INDEX(views[name],MATCH(entities[[#This Row],[View]],views[object_id],0)),  "Default view")))</f>
        <v>Hidden</v>
      </c>
      <c r="AA78" s="6" t="str">
        <f>IF(entities[[#This Row],[View]]&lt;&gt;"","group."&amp;entities[[#This Row],[View]],"")</f>
        <v/>
      </c>
      <c r="AB78" s="6" t="str">
        <f>IF(COUNTIF(Table4[Entity],entities[[#This Row],[entity_id]]),"ok","Missing from States tab")</f>
        <v>ok</v>
      </c>
      <c r="AF78"/>
    </row>
    <row r="79" spans="2:32" x14ac:dyDescent="0.45">
      <c r="B79" t="s">
        <v>810</v>
      </c>
      <c r="C79" t="s">
        <v>650</v>
      </c>
      <c r="D79" s="4" t="s">
        <v>294</v>
      </c>
      <c r="I79" s="6" t="str">
        <f>entities[[#This Row],[domain]]&amp;"."&amp;entities[[#This Row],[object_id]]</f>
        <v>group.automation_statfriend</v>
      </c>
      <c r="J79" s="6">
        <f>5-COUNTBLANK(entities[[#This Row],[hidden]:[icon]])</f>
        <v>1</v>
      </c>
      <c r="K79" s="6">
        <f>IF(entities[[#This Row],[Custom Attributes]]=0,"",
COUNTIFS(entities[Custom Attributes],"&gt;0",entities[entity_id],"&lt;="&amp;entities[[#This Row],[entity_id]]))</f>
        <v>55</v>
      </c>
      <c r="L79" s="6">
        <f t="array" aca="1" ref="L79" ca="1">IF(entities[[#This Row],[Custom Attributes]]&lt;1,"",
MATCH(FALSE, ISBLANK(OFFSET(entities[[#This Row],[hidden]],0,0,1,5)), 0))</f>
        <v>1</v>
      </c>
      <c r="M79" s="6" t="str">
        <f t="array" aca="1" ref="M79" ca="1">IF(entities[[#This Row],[Custom Attributes]]&lt;2,"",
IF(entities[[#This Row],[1]]=5-1,5,
MATCH(FALSE, ISBLANK(OFFSET(entities[[#This Row],[hidden]],0,entities[[#This Row],[1]],1,5-entities[[#This Row],[1]])), 0)+entities[[#This Row],[1]]))</f>
        <v/>
      </c>
      <c r="N79" s="6" t="str">
        <f t="array" aca="1" ref="N79" ca="1">IF(entities[[#This Row],[Custom Attributes]]&lt;3,"",
IF(entities[[#This Row],[2]]=5-1,5,
MATCH(FALSE, ISBLANK(OFFSET(entities[[#This Row],[hidden]],0,entities[[#This Row],[2]],1,5-entities[[#This Row],[2]])), 0)+entities[[#This Row],[2]]))</f>
        <v/>
      </c>
      <c r="O79" s="6" t="str">
        <f t="array" aca="1" ref="O79" ca="1">IF(entities[[#This Row],[Custom Attributes]]&lt;4,"",
IF(entities[[#This Row],[3]]=5-1,5,
MATCH(FALSE, ISBLANK(OFFSET(entities[[#This Row],[hidden]],0,entities[[#This Row],[3]],1,5-entities[[#This Row],[3]])), 0)+entities[[#This Row],[3]]))</f>
        <v/>
      </c>
      <c r="P79" s="14" t="str">
        <f ca="1">IF(entities[[#This Row],[1]]="","",
VLOOKUP(entities[[#This Row],[1]],Lookup!$B$5:$D$9,3,FALSE)  &amp;  INDEX(entities[[#This Row],[hidden]:[icon]],entities[[#This Row],[1]])
)</f>
        <v xml:space="preserve">  hidden: true</v>
      </c>
      <c r="Q79" s="6" t="str">
        <f ca="1">IF(entities[[#This Row],[2]]="","",
VLOOKUP(entities[[#This Row],[2]],Lookup!$B$5:$D$9,3,FALSE)  &amp;  INDEX(entities[[#This Row],[hidden]:[icon]],entities[[#This Row],[2]])
)</f>
        <v/>
      </c>
      <c r="R79" s="6" t="str">
        <f ca="1">IF(entities[[#This Row],[3]]="","",
VLOOKUP(entities[[#This Row],[3]],Lookup!$B$5:$D$9,3,FALSE)  &amp;  INDEX(entities[[#This Row],[hidden]:[icon]],entities[[#This Row],[3]])
)</f>
        <v/>
      </c>
      <c r="S79" s="6" t="str">
        <f ca="1">IF(entities[[#This Row],[4]]="","",
VLOOKUP(entities[[#This Row],[4]],Lookup!$B$5:$D$9,3,FALSE)  &amp;  INDEX(entities[[#This Row],[hidden]:[icon]],entities[[#This Row],[4]])
)</f>
        <v/>
      </c>
      <c r="T79" s="6" t="str">
        <f t="array" ref="T79">IFERROR(INDEX(cards[object_id],SMALL(IF(cards[[1]:[25]]=entities[[#This Row],[entity_id]],ROW(cards[])-7,99^99),1)),"")</f>
        <v/>
      </c>
      <c r="U79" s="6" t="str">
        <f>IF(entities[[#This Row],[In HA?]]&lt;&gt;"ok",  "Not in Home Assistant",
IF(entities[[#This Row],[hidden]]="true",  "Hidden",
IF(entities[[#This Row],[Card]]&lt;&gt;"",
INDEX(cards[name],MATCH(entities[[#This Row],[Card]],cards[object_id],0)),  "Badge / automatic card")))</f>
        <v>Hidden</v>
      </c>
      <c r="V79" s="6" t="str">
        <f>IF(entities[[#This Row],[Card]]&lt;&gt;"","group."&amp;entities[[#This Row],[Card]],"")</f>
        <v/>
      </c>
      <c r="W79" s="6" t="str">
        <f t="array" ref="W79">IFERROR(IF(entities[[#This Row],[Assigned Card]]="","",INDEX(views[object_id],SMALL(IF(views[[1]:[25]]=entities[[#This Row],[Assigned Card]],ROW(views[])-7,99^99),1))),"")</f>
        <v/>
      </c>
      <c r="X79" s="6" t="str">
        <f t="array" ref="X79">IFERROR(INDEX(views[object_id],SMALL(IF(views[[1]:[25]]=entities[[#This Row],[entity_id]],ROW(views[])-7,99^99),1)),"")</f>
        <v/>
      </c>
      <c r="Y79" s="6" t="str">
        <f>IF(entities[[#This Row],[View from card]]&lt;&gt;"",entities[[#This Row],[View from card]],entities[[#This Row],[View from entitiy]])</f>
        <v/>
      </c>
      <c r="Z79" s="6" t="str">
        <f>IF(entities[[#This Row],[In HA?]]&lt;&gt;"ok",  "Not in Home Assistant",
IF(entities[[#This Row],[hidden]]="true",  "Hidden",
IF(entities[[#This Row],[View]]&lt;&gt;"",
INDEX(views[name],MATCH(entities[[#This Row],[View]],views[object_id],0)),  "Default view")))</f>
        <v>Hidden</v>
      </c>
      <c r="AA79" s="6" t="str">
        <f>IF(entities[[#This Row],[View]]&lt;&gt;"","group."&amp;entities[[#This Row],[View]],"")</f>
        <v/>
      </c>
      <c r="AB79" s="6" t="str">
        <f>IF(COUNTIF(Table4[Entity],entities[[#This Row],[entity_id]]),"ok","Missing from States tab")</f>
        <v>ok</v>
      </c>
      <c r="AF79"/>
    </row>
    <row r="80" spans="2:32" x14ac:dyDescent="0.45">
      <c r="B80" t="s">
        <v>810</v>
      </c>
      <c r="C80" t="s">
        <v>651</v>
      </c>
      <c r="D80" s="4" t="s">
        <v>294</v>
      </c>
      <c r="I80" s="6" t="str">
        <f>entities[[#This Row],[domain]]&amp;"."&amp;entities[[#This Row],[object_id]]</f>
        <v>group.automation_statron</v>
      </c>
      <c r="J80" s="6">
        <f>5-COUNTBLANK(entities[[#This Row],[hidden]:[icon]])</f>
        <v>1</v>
      </c>
      <c r="K80" s="6">
        <f>IF(entities[[#This Row],[Custom Attributes]]=0,"",
COUNTIFS(entities[Custom Attributes],"&gt;0",entities[entity_id],"&lt;="&amp;entities[[#This Row],[entity_id]]))</f>
        <v>56</v>
      </c>
      <c r="L80" s="6">
        <f t="array" aca="1" ref="L80" ca="1">IF(entities[[#This Row],[Custom Attributes]]&lt;1,"",
MATCH(FALSE, ISBLANK(OFFSET(entities[[#This Row],[hidden]],0,0,1,5)), 0))</f>
        <v>1</v>
      </c>
      <c r="M80" s="6" t="str">
        <f t="array" aca="1" ref="M80" ca="1">IF(entities[[#This Row],[Custom Attributes]]&lt;2,"",
IF(entities[[#This Row],[1]]=5-1,5,
MATCH(FALSE, ISBLANK(OFFSET(entities[[#This Row],[hidden]],0,entities[[#This Row],[1]],1,5-entities[[#This Row],[1]])), 0)+entities[[#This Row],[1]]))</f>
        <v/>
      </c>
      <c r="N80" s="6" t="str">
        <f t="array" aca="1" ref="N80" ca="1">IF(entities[[#This Row],[Custom Attributes]]&lt;3,"",
IF(entities[[#This Row],[2]]=5-1,5,
MATCH(FALSE, ISBLANK(OFFSET(entities[[#This Row],[hidden]],0,entities[[#This Row],[2]],1,5-entities[[#This Row],[2]])), 0)+entities[[#This Row],[2]]))</f>
        <v/>
      </c>
      <c r="O80" s="6" t="str">
        <f t="array" aca="1" ref="O80" ca="1">IF(entities[[#This Row],[Custom Attributes]]&lt;4,"",
IF(entities[[#This Row],[3]]=5-1,5,
MATCH(FALSE, ISBLANK(OFFSET(entities[[#This Row],[hidden]],0,entities[[#This Row],[3]],1,5-entities[[#This Row],[3]])), 0)+entities[[#This Row],[3]]))</f>
        <v/>
      </c>
      <c r="P80" s="14" t="str">
        <f ca="1">IF(entities[[#This Row],[1]]="","",
VLOOKUP(entities[[#This Row],[1]],Lookup!$B$5:$D$9,3,FALSE)  &amp;  INDEX(entities[[#This Row],[hidden]:[icon]],entities[[#This Row],[1]])
)</f>
        <v xml:space="preserve">  hidden: true</v>
      </c>
      <c r="Q80" s="6" t="str">
        <f ca="1">IF(entities[[#This Row],[2]]="","",
VLOOKUP(entities[[#This Row],[2]],Lookup!$B$5:$D$9,3,FALSE)  &amp;  INDEX(entities[[#This Row],[hidden]:[icon]],entities[[#This Row],[2]])
)</f>
        <v/>
      </c>
      <c r="R80" s="6" t="str">
        <f ca="1">IF(entities[[#This Row],[3]]="","",
VLOOKUP(entities[[#This Row],[3]],Lookup!$B$5:$D$9,3,FALSE)  &amp;  INDEX(entities[[#This Row],[hidden]:[icon]],entities[[#This Row],[3]])
)</f>
        <v/>
      </c>
      <c r="S80" s="6" t="str">
        <f ca="1">IF(entities[[#This Row],[4]]="","",
VLOOKUP(entities[[#This Row],[4]],Lookup!$B$5:$D$9,3,FALSE)  &amp;  INDEX(entities[[#This Row],[hidden]:[icon]],entities[[#This Row],[4]])
)</f>
        <v/>
      </c>
      <c r="T80" s="6" t="str">
        <f t="array" ref="T80">IFERROR(INDEX(cards[object_id],SMALL(IF(cards[[1]:[25]]=entities[[#This Row],[entity_id]],ROW(cards[])-7,99^99),1)),"")</f>
        <v/>
      </c>
      <c r="U80" s="6" t="str">
        <f>IF(entities[[#This Row],[In HA?]]&lt;&gt;"ok",  "Not in Home Assistant",
IF(entities[[#This Row],[hidden]]="true",  "Hidden",
IF(entities[[#This Row],[Card]]&lt;&gt;"",
INDEX(cards[name],MATCH(entities[[#This Row],[Card]],cards[object_id],0)),  "Badge / automatic card")))</f>
        <v>Hidden</v>
      </c>
      <c r="V80" s="6" t="str">
        <f>IF(entities[[#This Row],[Card]]&lt;&gt;"","group."&amp;entities[[#This Row],[Card]],"")</f>
        <v/>
      </c>
      <c r="W80" s="6" t="str">
        <f t="array" ref="W80">IFERROR(IF(entities[[#This Row],[Assigned Card]]="","",INDEX(views[object_id],SMALL(IF(views[[1]:[25]]=entities[[#This Row],[Assigned Card]],ROW(views[])-7,99^99),1))),"")</f>
        <v/>
      </c>
      <c r="X80" s="6" t="str">
        <f t="array" ref="X80">IFERROR(INDEX(views[object_id],SMALL(IF(views[[1]:[25]]=entities[[#This Row],[entity_id]],ROW(views[])-7,99^99),1)),"")</f>
        <v/>
      </c>
      <c r="Y80" s="6" t="str">
        <f>IF(entities[[#This Row],[View from card]]&lt;&gt;"",entities[[#This Row],[View from card]],entities[[#This Row],[View from entitiy]])</f>
        <v/>
      </c>
      <c r="Z80" s="6" t="str">
        <f>IF(entities[[#This Row],[In HA?]]&lt;&gt;"ok",  "Not in Home Assistant",
IF(entities[[#This Row],[hidden]]="true",  "Hidden",
IF(entities[[#This Row],[View]]&lt;&gt;"",
INDEX(views[name],MATCH(entities[[#This Row],[View]],views[object_id],0)),  "Default view")))</f>
        <v>Hidden</v>
      </c>
      <c r="AA80" s="6" t="str">
        <f>IF(entities[[#This Row],[View]]&lt;&gt;"","group."&amp;entities[[#This Row],[View]],"")</f>
        <v/>
      </c>
      <c r="AB80" s="6" t="str">
        <f>IF(COUNTIF(Table4[Entity],entities[[#This Row],[entity_id]]),"ok","Missing from States tab")</f>
        <v>ok</v>
      </c>
      <c r="AF80"/>
    </row>
    <row r="81" spans="2:32" x14ac:dyDescent="0.45">
      <c r="B81" t="s">
        <v>810</v>
      </c>
      <c r="C81" t="s">
        <v>652</v>
      </c>
      <c r="D81" s="4" t="s">
        <v>294</v>
      </c>
      <c r="I81" s="6" t="str">
        <f>entities[[#This Row],[domain]]&amp;"."&amp;entities[[#This Row],[object_id]]</f>
        <v>group.automation_statvac</v>
      </c>
      <c r="J81" s="6">
        <f>5-COUNTBLANK(entities[[#This Row],[hidden]:[icon]])</f>
        <v>1</v>
      </c>
      <c r="K81" s="6">
        <f>IF(entities[[#This Row],[Custom Attributes]]=0,"",
COUNTIFS(entities[Custom Attributes],"&gt;0",entities[entity_id],"&lt;="&amp;entities[[#This Row],[entity_id]]))</f>
        <v>57</v>
      </c>
      <c r="L81" s="6">
        <f t="array" aca="1" ref="L81" ca="1">IF(entities[[#This Row],[Custom Attributes]]&lt;1,"",
MATCH(FALSE, ISBLANK(OFFSET(entities[[#This Row],[hidden]],0,0,1,5)), 0))</f>
        <v>1</v>
      </c>
      <c r="M81" s="6" t="str">
        <f t="array" aca="1" ref="M81" ca="1">IF(entities[[#This Row],[Custom Attributes]]&lt;2,"",
IF(entities[[#This Row],[1]]=5-1,5,
MATCH(FALSE, ISBLANK(OFFSET(entities[[#This Row],[hidden]],0,entities[[#This Row],[1]],1,5-entities[[#This Row],[1]])), 0)+entities[[#This Row],[1]]))</f>
        <v/>
      </c>
      <c r="N81" s="6" t="str">
        <f t="array" aca="1" ref="N81" ca="1">IF(entities[[#This Row],[Custom Attributes]]&lt;3,"",
IF(entities[[#This Row],[2]]=5-1,5,
MATCH(FALSE, ISBLANK(OFFSET(entities[[#This Row],[hidden]],0,entities[[#This Row],[2]],1,5-entities[[#This Row],[2]])), 0)+entities[[#This Row],[2]]))</f>
        <v/>
      </c>
      <c r="O81" s="6" t="str">
        <f t="array" aca="1" ref="O81" ca="1">IF(entities[[#This Row],[Custom Attributes]]&lt;4,"",
IF(entities[[#This Row],[3]]=5-1,5,
MATCH(FALSE, ISBLANK(OFFSET(entities[[#This Row],[hidden]],0,entities[[#This Row],[3]],1,5-entities[[#This Row],[3]])), 0)+entities[[#This Row],[3]]))</f>
        <v/>
      </c>
      <c r="P81" s="14" t="str">
        <f ca="1">IF(entities[[#This Row],[1]]="","",
VLOOKUP(entities[[#This Row],[1]],Lookup!$B$5:$D$9,3,FALSE)  &amp;  INDEX(entities[[#This Row],[hidden]:[icon]],entities[[#This Row],[1]])
)</f>
        <v xml:space="preserve">  hidden: true</v>
      </c>
      <c r="Q81" s="6" t="str">
        <f ca="1">IF(entities[[#This Row],[2]]="","",
VLOOKUP(entities[[#This Row],[2]],Lookup!$B$5:$D$9,3,FALSE)  &amp;  INDEX(entities[[#This Row],[hidden]:[icon]],entities[[#This Row],[2]])
)</f>
        <v/>
      </c>
      <c r="R81" s="6" t="str">
        <f ca="1">IF(entities[[#This Row],[3]]="","",
VLOOKUP(entities[[#This Row],[3]],Lookup!$B$5:$D$9,3,FALSE)  &amp;  INDEX(entities[[#This Row],[hidden]:[icon]],entities[[#This Row],[3]])
)</f>
        <v/>
      </c>
      <c r="S81" s="6" t="str">
        <f ca="1">IF(entities[[#This Row],[4]]="","",
VLOOKUP(entities[[#This Row],[4]],Lookup!$B$5:$D$9,3,FALSE)  &amp;  INDEX(entities[[#This Row],[hidden]:[icon]],entities[[#This Row],[4]])
)</f>
        <v/>
      </c>
      <c r="T81" s="6" t="str">
        <f t="array" ref="T81">IFERROR(INDEX(cards[object_id],SMALL(IF(cards[[1]:[25]]=entities[[#This Row],[entity_id]],ROW(cards[])-7,99^99),1)),"")</f>
        <v/>
      </c>
      <c r="U81" s="6" t="str">
        <f>IF(entities[[#This Row],[In HA?]]&lt;&gt;"ok",  "Not in Home Assistant",
IF(entities[[#This Row],[hidden]]="true",  "Hidden",
IF(entities[[#This Row],[Card]]&lt;&gt;"",
INDEX(cards[name],MATCH(entities[[#This Row],[Card]],cards[object_id],0)),  "Badge / automatic card")))</f>
        <v>Hidden</v>
      </c>
      <c r="V81" s="6" t="str">
        <f>IF(entities[[#This Row],[Card]]&lt;&gt;"","group."&amp;entities[[#This Row],[Card]],"")</f>
        <v/>
      </c>
      <c r="W81" s="6" t="str">
        <f t="array" ref="W81">IFERROR(IF(entities[[#This Row],[Assigned Card]]="","",INDEX(views[object_id],SMALL(IF(views[[1]:[25]]=entities[[#This Row],[Assigned Card]],ROW(views[])-7,99^99),1))),"")</f>
        <v/>
      </c>
      <c r="X81" s="6" t="str">
        <f t="array" ref="X81">IFERROR(INDEX(views[object_id],SMALL(IF(views[[1]:[25]]=entities[[#This Row],[entity_id]],ROW(views[])-7,99^99),1)),"")</f>
        <v/>
      </c>
      <c r="Y81" s="6" t="str">
        <f>IF(entities[[#This Row],[View from card]]&lt;&gt;"",entities[[#This Row],[View from card]],entities[[#This Row],[View from entitiy]])</f>
        <v/>
      </c>
      <c r="Z81" s="6" t="str">
        <f>IF(entities[[#This Row],[In HA?]]&lt;&gt;"ok",  "Not in Home Assistant",
IF(entities[[#This Row],[hidden]]="true",  "Hidden",
IF(entities[[#This Row],[View]]&lt;&gt;"",
INDEX(views[name],MATCH(entities[[#This Row],[View]],views[object_id],0)),  "Default view")))</f>
        <v>Hidden</v>
      </c>
      <c r="AA81" s="6" t="str">
        <f>IF(entities[[#This Row],[View]]&lt;&gt;"","group."&amp;entities[[#This Row],[View]],"")</f>
        <v/>
      </c>
      <c r="AB81" s="6" t="str">
        <f>IF(COUNTIF(Table4[Entity],entities[[#This Row],[entity_id]]),"ok","Missing from States tab")</f>
        <v>ok</v>
      </c>
      <c r="AF81"/>
    </row>
    <row r="82" spans="2:32" x14ac:dyDescent="0.45">
      <c r="B82" t="s">
        <v>810</v>
      </c>
      <c r="C82" t="s">
        <v>653</v>
      </c>
      <c r="I82" s="6" t="str">
        <f>entities[[#This Row],[domain]]&amp;"."&amp;entities[[#This Row],[object_id]]</f>
        <v>group.bedroom</v>
      </c>
      <c r="J82" s="6">
        <f>5-COUNTBLANK(entities[[#This Row],[hidden]:[icon]])</f>
        <v>0</v>
      </c>
      <c r="K82" s="6" t="str">
        <f>IF(entities[[#This Row],[Custom Attributes]]=0,"",
COUNTIFS(entities[Custom Attributes],"&gt;0",entities[entity_id],"&lt;="&amp;entities[[#This Row],[entity_id]]))</f>
        <v/>
      </c>
      <c r="L82" s="6" t="str">
        <f t="array" aca="1" ref="L82" ca="1">IF(entities[[#This Row],[Custom Attributes]]&lt;1,"",
MATCH(FALSE, ISBLANK(OFFSET(entities[[#This Row],[hidden]],0,0,1,5)), 0))</f>
        <v/>
      </c>
      <c r="M82" s="6" t="str">
        <f t="array" aca="1" ref="M82" ca="1">IF(entities[[#This Row],[Custom Attributes]]&lt;2,"",
IF(entities[[#This Row],[1]]=5-1,5,
MATCH(FALSE, ISBLANK(OFFSET(entities[[#This Row],[hidden]],0,entities[[#This Row],[1]],1,5-entities[[#This Row],[1]])), 0)+entities[[#This Row],[1]]))</f>
        <v/>
      </c>
      <c r="N82" s="6" t="str">
        <f t="array" aca="1" ref="N82" ca="1">IF(entities[[#This Row],[Custom Attributes]]&lt;3,"",
IF(entities[[#This Row],[2]]=5-1,5,
MATCH(FALSE, ISBLANK(OFFSET(entities[[#This Row],[hidden]],0,entities[[#This Row],[2]],1,5-entities[[#This Row],[2]])), 0)+entities[[#This Row],[2]]))</f>
        <v/>
      </c>
      <c r="O82" s="6" t="str">
        <f t="array" aca="1" ref="O82" ca="1">IF(entities[[#This Row],[Custom Attributes]]&lt;4,"",
IF(entities[[#This Row],[3]]=5-1,5,
MATCH(FALSE, ISBLANK(OFFSET(entities[[#This Row],[hidden]],0,entities[[#This Row],[3]],1,5-entities[[#This Row],[3]])), 0)+entities[[#This Row],[3]]))</f>
        <v/>
      </c>
      <c r="P82" s="14" t="str">
        <f ca="1">IF(entities[[#This Row],[1]]="","",
VLOOKUP(entities[[#This Row],[1]],Lookup!$B$5:$D$9,3,FALSE)  &amp;  INDEX(entities[[#This Row],[hidden]:[icon]],entities[[#This Row],[1]])
)</f>
        <v/>
      </c>
      <c r="Q82" s="6" t="str">
        <f ca="1">IF(entities[[#This Row],[2]]="","",
VLOOKUP(entities[[#This Row],[2]],Lookup!$B$5:$D$9,3,FALSE)  &amp;  INDEX(entities[[#This Row],[hidden]:[icon]],entities[[#This Row],[2]])
)</f>
        <v/>
      </c>
      <c r="R82" s="6" t="str">
        <f ca="1">IF(entities[[#This Row],[3]]="","",
VLOOKUP(entities[[#This Row],[3]],Lookup!$B$5:$D$9,3,FALSE)  &amp;  INDEX(entities[[#This Row],[hidden]:[icon]],entities[[#This Row],[3]])
)</f>
        <v/>
      </c>
      <c r="S82" s="6" t="str">
        <f ca="1">IF(entities[[#This Row],[4]]="","",
VLOOKUP(entities[[#This Row],[4]],Lookup!$B$5:$D$9,3,FALSE)  &amp;  INDEX(entities[[#This Row],[hidden]:[icon]],entities[[#This Row],[4]])
)</f>
        <v/>
      </c>
      <c r="T82" s="6" t="str">
        <f t="array" ref="T82">IFERROR(INDEX(cards[object_id],SMALL(IF(cards[[1]:[25]]=entities[[#This Row],[entity_id]],ROW(cards[])-7,99^99),1)),"")</f>
        <v/>
      </c>
      <c r="U82" s="6" t="str">
        <f>IF(entities[[#This Row],[In HA?]]&lt;&gt;"ok",  "Not in Home Assistant",
IF(entities[[#This Row],[hidden]]="true",  "Hidden",
IF(entities[[#This Row],[Card]]&lt;&gt;"",
INDEX(cards[name],MATCH(entities[[#This Row],[Card]],cards[object_id],0)),  "Badge / automatic card")))</f>
        <v>Badge / automatic card</v>
      </c>
      <c r="V82" s="6" t="str">
        <f>IF(entities[[#This Row],[Card]]&lt;&gt;"","group."&amp;entities[[#This Row],[Card]],"")</f>
        <v/>
      </c>
      <c r="W82" s="6" t="str">
        <f t="array" ref="W82">IFERROR(IF(entities[[#This Row],[Assigned Card]]="","",INDEX(views[object_id],SMALL(IF(views[[1]:[25]]=entities[[#This Row],[Assigned Card]],ROW(views[])-7,99^99),1))),"")</f>
        <v/>
      </c>
      <c r="X82" s="6" t="str">
        <f t="array" ref="X82">IFERROR(INDEX(views[object_id],SMALL(IF(views[[1]:[25]]=entities[[#This Row],[entity_id]],ROW(views[])-7,99^99),1)),"")</f>
        <v>default_view</v>
      </c>
      <c r="Y82" s="6" t="str">
        <f>IF(entities[[#This Row],[View from card]]&lt;&gt;"",entities[[#This Row],[View from card]],entities[[#This Row],[View from entitiy]])</f>
        <v>default_view</v>
      </c>
      <c r="Z82" s="6">
        <f>IF(entities[[#This Row],[In HA?]]&lt;&gt;"ok",  "Not in Home Assistant",
IF(entities[[#This Row],[hidden]]="true",  "Hidden",
IF(entities[[#This Row],[View]]&lt;&gt;"",
INDEX(views[name],MATCH(entities[[#This Row],[View]],views[object_id],0)),  "Default view")))</f>
        <v>0</v>
      </c>
      <c r="AA82" s="6" t="str">
        <f>IF(entities[[#This Row],[View]]&lt;&gt;"","group."&amp;entities[[#This Row],[View]],"")</f>
        <v>group.default_view</v>
      </c>
      <c r="AB82" s="6" t="str">
        <f>IF(COUNTIF(Table4[Entity],entities[[#This Row],[entity_id]]),"ok","Missing from States tab")</f>
        <v>ok</v>
      </c>
      <c r="AF82"/>
    </row>
    <row r="83" spans="2:32" x14ac:dyDescent="0.45">
      <c r="B83" t="s">
        <v>810</v>
      </c>
      <c r="C83" t="s">
        <v>752</v>
      </c>
      <c r="I83" s="6" t="str">
        <f>entities[[#This Row],[domain]]&amp;"."&amp;entities[[#This Row],[object_id]]</f>
        <v>group.bedroom_devices</v>
      </c>
      <c r="J83" s="6">
        <f>5-COUNTBLANK(entities[[#This Row],[hidden]:[icon]])</f>
        <v>0</v>
      </c>
      <c r="K83" s="6" t="str">
        <f>IF(entities[[#This Row],[Custom Attributes]]=0,"",
COUNTIFS(entities[Custom Attributes],"&gt;0",entities[entity_id],"&lt;="&amp;entities[[#This Row],[entity_id]]))</f>
        <v/>
      </c>
      <c r="L83" s="6" t="str">
        <f t="array" aca="1" ref="L83" ca="1">IF(entities[[#This Row],[Custom Attributes]]&lt;1,"",
MATCH(FALSE, ISBLANK(OFFSET(entities[[#This Row],[hidden]],0,0,1,5)), 0))</f>
        <v/>
      </c>
      <c r="M83" s="6" t="str">
        <f t="array" aca="1" ref="M83" ca="1">IF(entities[[#This Row],[Custom Attributes]]&lt;2,"",
IF(entities[[#This Row],[1]]=5-1,5,
MATCH(FALSE, ISBLANK(OFFSET(entities[[#This Row],[hidden]],0,entities[[#This Row],[1]],1,5-entities[[#This Row],[1]])), 0)+entities[[#This Row],[1]]))</f>
        <v/>
      </c>
      <c r="N83" s="6" t="str">
        <f t="array" aca="1" ref="N83" ca="1">IF(entities[[#This Row],[Custom Attributes]]&lt;3,"",
IF(entities[[#This Row],[2]]=5-1,5,
MATCH(FALSE, ISBLANK(OFFSET(entities[[#This Row],[hidden]],0,entities[[#This Row],[2]],1,5-entities[[#This Row],[2]])), 0)+entities[[#This Row],[2]]))</f>
        <v/>
      </c>
      <c r="O83" s="6" t="str">
        <f t="array" aca="1" ref="O83" ca="1">IF(entities[[#This Row],[Custom Attributes]]&lt;4,"",
IF(entities[[#This Row],[3]]=5-1,5,
MATCH(FALSE, ISBLANK(OFFSET(entities[[#This Row],[hidden]],0,entities[[#This Row],[3]],1,5-entities[[#This Row],[3]])), 0)+entities[[#This Row],[3]]))</f>
        <v/>
      </c>
      <c r="P83" s="14" t="str">
        <f ca="1">IF(entities[[#This Row],[1]]="","",
VLOOKUP(entities[[#This Row],[1]],Lookup!$B$5:$D$9,3,FALSE)  &amp;  INDEX(entities[[#This Row],[hidden]:[icon]],entities[[#This Row],[1]])
)</f>
        <v/>
      </c>
      <c r="Q83" s="6" t="str">
        <f ca="1">IF(entities[[#This Row],[2]]="","",
VLOOKUP(entities[[#This Row],[2]],Lookup!$B$5:$D$9,3,FALSE)  &amp;  INDEX(entities[[#This Row],[hidden]:[icon]],entities[[#This Row],[2]])
)</f>
        <v/>
      </c>
      <c r="R83" s="6" t="str">
        <f ca="1">IF(entities[[#This Row],[3]]="","",
VLOOKUP(entities[[#This Row],[3]],Lookup!$B$5:$D$9,3,FALSE)  &amp;  INDEX(entities[[#This Row],[hidden]:[icon]],entities[[#This Row],[3]])
)</f>
        <v/>
      </c>
      <c r="S83" s="6" t="str">
        <f ca="1">IF(entities[[#This Row],[4]]="","",
VLOOKUP(entities[[#This Row],[4]],Lookup!$B$5:$D$9,3,FALSE)  &amp;  INDEX(entities[[#This Row],[hidden]:[icon]],entities[[#This Row],[4]])
)</f>
        <v/>
      </c>
      <c r="T83" s="6" t="str">
        <f t="array" ref="T83">IFERROR(INDEX(cards[object_id],SMALL(IF(cards[[1]:[25]]=entities[[#This Row],[entity_id]],ROW(cards[])-7,99^99),1)),"")</f>
        <v/>
      </c>
      <c r="U83" s="6" t="str">
        <f>IF(entities[[#This Row],[In HA?]]&lt;&gt;"ok",  "Not in Home Assistant",
IF(entities[[#This Row],[hidden]]="true",  "Hidden",
IF(entities[[#This Row],[Card]]&lt;&gt;"",
INDEX(cards[name],MATCH(entities[[#This Row],[Card]],cards[object_id],0)),  "Badge / automatic card")))</f>
        <v>Badge / automatic card</v>
      </c>
      <c r="V83" s="6" t="str">
        <f>IF(entities[[#This Row],[Card]]&lt;&gt;"","group."&amp;entities[[#This Row],[Card]],"")</f>
        <v/>
      </c>
      <c r="W83" s="6" t="str">
        <f t="array" ref="W83">IFERROR(IF(entities[[#This Row],[Assigned Card]]="","",INDEX(views[object_id],SMALL(IF(views[[1]:[25]]=entities[[#This Row],[Assigned Card]],ROW(views[])-7,99^99),1))),"")</f>
        <v/>
      </c>
      <c r="X83" s="6" t="str">
        <f t="array" ref="X83">IFERROR(INDEX(views[object_id],SMALL(IF(views[[1]:[25]]=entities[[#This Row],[entity_id]],ROW(views[])-7,99^99),1)),"")</f>
        <v>bedroom_view</v>
      </c>
      <c r="Y83" s="6" t="str">
        <f>IF(entities[[#This Row],[View from card]]&lt;&gt;"",entities[[#This Row],[View from card]],entities[[#This Row],[View from entitiy]])</f>
        <v>bedroom_view</v>
      </c>
      <c r="Z83" s="6" t="str">
        <f>IF(entities[[#This Row],[In HA?]]&lt;&gt;"ok",  "Not in Home Assistant",
IF(entities[[#This Row],[hidden]]="true",  "Hidden",
IF(entities[[#This Row],[View]]&lt;&gt;"",
INDEX(views[name],MATCH(entities[[#This Row],[View]],views[object_id],0)),  "Default view")))</f>
        <v>Bedroom</v>
      </c>
      <c r="AA83" s="6" t="str">
        <f>IF(entities[[#This Row],[View]]&lt;&gt;"","group."&amp;entities[[#This Row],[View]],"")</f>
        <v>group.bedroom_view</v>
      </c>
      <c r="AB83" s="6" t="str">
        <f>IF(COUNTIF(Table4[Entity],entities[[#This Row],[entity_id]]),"ok","Missing from States tab")</f>
        <v>ok</v>
      </c>
      <c r="AF83"/>
    </row>
    <row r="84" spans="2:32" x14ac:dyDescent="0.45">
      <c r="B84" t="s">
        <v>810</v>
      </c>
      <c r="C84" t="s">
        <v>654</v>
      </c>
      <c r="I84" s="6" t="str">
        <f>entities[[#This Row],[domain]]&amp;"."&amp;entities[[#This Row],[object_id]]</f>
        <v>group.bedroom_lights</v>
      </c>
      <c r="J84" s="6">
        <f>5-COUNTBLANK(entities[[#This Row],[hidden]:[icon]])</f>
        <v>0</v>
      </c>
      <c r="K84" s="6" t="str">
        <f>IF(entities[[#This Row],[Custom Attributes]]=0,"",
COUNTIFS(entities[Custom Attributes],"&gt;0",entities[entity_id],"&lt;="&amp;entities[[#This Row],[entity_id]]))</f>
        <v/>
      </c>
      <c r="L84" s="6" t="str">
        <f t="array" aca="1" ref="L84" ca="1">IF(entities[[#This Row],[Custom Attributes]]&lt;1,"",
MATCH(FALSE, ISBLANK(OFFSET(entities[[#This Row],[hidden]],0,0,1,5)), 0))</f>
        <v/>
      </c>
      <c r="M84" s="6" t="str">
        <f t="array" aca="1" ref="M84" ca="1">IF(entities[[#This Row],[Custom Attributes]]&lt;2,"",
IF(entities[[#This Row],[1]]=5-1,5,
MATCH(FALSE, ISBLANK(OFFSET(entities[[#This Row],[hidden]],0,entities[[#This Row],[1]],1,5-entities[[#This Row],[1]])), 0)+entities[[#This Row],[1]]))</f>
        <v/>
      </c>
      <c r="N84" s="6" t="str">
        <f t="array" aca="1" ref="N84" ca="1">IF(entities[[#This Row],[Custom Attributes]]&lt;3,"",
IF(entities[[#This Row],[2]]=5-1,5,
MATCH(FALSE, ISBLANK(OFFSET(entities[[#This Row],[hidden]],0,entities[[#This Row],[2]],1,5-entities[[#This Row],[2]])), 0)+entities[[#This Row],[2]]))</f>
        <v/>
      </c>
      <c r="O84" s="6" t="str">
        <f t="array" aca="1" ref="O84" ca="1">IF(entities[[#This Row],[Custom Attributes]]&lt;4,"",
IF(entities[[#This Row],[3]]=5-1,5,
MATCH(FALSE, ISBLANK(OFFSET(entities[[#This Row],[hidden]],0,entities[[#This Row],[3]],1,5-entities[[#This Row],[3]])), 0)+entities[[#This Row],[3]]))</f>
        <v/>
      </c>
      <c r="P84" s="14" t="str">
        <f ca="1">IF(entities[[#This Row],[1]]="","",
VLOOKUP(entities[[#This Row],[1]],Lookup!$B$5:$D$9,3,FALSE)  &amp;  INDEX(entities[[#This Row],[hidden]:[icon]],entities[[#This Row],[1]])
)</f>
        <v/>
      </c>
      <c r="Q84" s="6" t="str">
        <f ca="1">IF(entities[[#This Row],[2]]="","",
VLOOKUP(entities[[#This Row],[2]],Lookup!$B$5:$D$9,3,FALSE)  &amp;  INDEX(entities[[#This Row],[hidden]:[icon]],entities[[#This Row],[2]])
)</f>
        <v/>
      </c>
      <c r="R84" s="6" t="str">
        <f ca="1">IF(entities[[#This Row],[3]]="","",
VLOOKUP(entities[[#This Row],[3]],Lookup!$B$5:$D$9,3,FALSE)  &amp;  INDEX(entities[[#This Row],[hidden]:[icon]],entities[[#This Row],[3]])
)</f>
        <v/>
      </c>
      <c r="S84" s="6" t="str">
        <f ca="1">IF(entities[[#This Row],[4]]="","",
VLOOKUP(entities[[#This Row],[4]],Lookup!$B$5:$D$9,3,FALSE)  &amp;  INDEX(entities[[#This Row],[hidden]:[icon]],entities[[#This Row],[4]])
)</f>
        <v/>
      </c>
      <c r="T84" s="6" t="str">
        <f t="array" ref="T84">IFERROR(INDEX(cards[object_id],SMALL(IF(cards[[1]:[25]]=entities[[#This Row],[entity_id]],ROW(cards[])-7,99^99),1)),"")</f>
        <v>bedroom_devices</v>
      </c>
      <c r="U84" s="6" t="str">
        <f>IF(entities[[#This Row],[In HA?]]&lt;&gt;"ok",  "Not in Home Assistant",
IF(entities[[#This Row],[hidden]]="true",  "Hidden",
IF(entities[[#This Row],[Card]]&lt;&gt;"",
INDEX(cards[name],MATCH(entities[[#This Row],[Card]],cards[object_id],0)),  "Badge / automatic card")))</f>
        <v>Bedroom || Devices</v>
      </c>
      <c r="V84" s="6" t="str">
        <f>IF(entities[[#This Row],[Card]]&lt;&gt;"","group."&amp;entities[[#This Row],[Card]],"")</f>
        <v>group.bedroom_devices</v>
      </c>
      <c r="W84" s="6" t="str">
        <f t="array" ref="W84">IFERROR(IF(entities[[#This Row],[Assigned Card]]="","",INDEX(views[object_id],SMALL(IF(views[[1]:[25]]=entities[[#This Row],[Assigned Card]],ROW(views[])-7,99^99),1))),"")</f>
        <v>bedroom_view</v>
      </c>
      <c r="X84" s="6" t="str">
        <f t="array" ref="X84">IFERROR(INDEX(views[object_id],SMALL(IF(views[[1]:[25]]=entities[[#This Row],[entity_id]],ROW(views[])-7,99^99),1)),"")</f>
        <v/>
      </c>
      <c r="Y84" s="6" t="str">
        <f>IF(entities[[#This Row],[View from card]]&lt;&gt;"",entities[[#This Row],[View from card]],entities[[#This Row],[View from entitiy]])</f>
        <v>bedroom_view</v>
      </c>
      <c r="Z84" s="6" t="str">
        <f>IF(entities[[#This Row],[In HA?]]&lt;&gt;"ok",  "Not in Home Assistant",
IF(entities[[#This Row],[hidden]]="true",  "Hidden",
IF(entities[[#This Row],[View]]&lt;&gt;"",
INDEX(views[name],MATCH(entities[[#This Row],[View]],views[object_id],0)),  "Default view")))</f>
        <v>Bedroom</v>
      </c>
      <c r="AA84" s="6" t="str">
        <f>IF(entities[[#This Row],[View]]&lt;&gt;"","group."&amp;entities[[#This Row],[View]],"")</f>
        <v>group.bedroom_view</v>
      </c>
      <c r="AB84" s="6" t="str">
        <f>IF(COUNTIF(Table4[Entity],entities[[#This Row],[entity_id]]),"ok","Missing from States tab")</f>
        <v>ok</v>
      </c>
      <c r="AF84"/>
    </row>
    <row r="85" spans="2:32" x14ac:dyDescent="0.45">
      <c r="B85" t="s">
        <v>810</v>
      </c>
      <c r="C85" t="s">
        <v>408</v>
      </c>
      <c r="I85" s="6" t="str">
        <f>entities[[#This Row],[domain]]&amp;"."&amp;entities[[#This Row],[object_id]]</f>
        <v>group.bedroom_view</v>
      </c>
      <c r="J85" s="6">
        <f>5-COUNTBLANK(entities[[#This Row],[hidden]:[icon]])</f>
        <v>0</v>
      </c>
      <c r="K85" s="6" t="str">
        <f>IF(entities[[#This Row],[Custom Attributes]]=0,"",
COUNTIFS(entities[Custom Attributes],"&gt;0",entities[entity_id],"&lt;="&amp;entities[[#This Row],[entity_id]]))</f>
        <v/>
      </c>
      <c r="L85" s="6" t="str">
        <f t="array" aca="1" ref="L85" ca="1">IF(entities[[#This Row],[Custom Attributes]]&lt;1,"",
MATCH(FALSE, ISBLANK(OFFSET(entities[[#This Row],[hidden]],0,0,1,5)), 0))</f>
        <v/>
      </c>
      <c r="M85" s="6" t="str">
        <f t="array" aca="1" ref="M85" ca="1">IF(entities[[#This Row],[Custom Attributes]]&lt;2,"",
IF(entities[[#This Row],[1]]=5-1,5,
MATCH(FALSE, ISBLANK(OFFSET(entities[[#This Row],[hidden]],0,entities[[#This Row],[1]],1,5-entities[[#This Row],[1]])), 0)+entities[[#This Row],[1]]))</f>
        <v/>
      </c>
      <c r="N85" s="6" t="str">
        <f t="array" aca="1" ref="N85" ca="1">IF(entities[[#This Row],[Custom Attributes]]&lt;3,"",
IF(entities[[#This Row],[2]]=5-1,5,
MATCH(FALSE, ISBLANK(OFFSET(entities[[#This Row],[hidden]],0,entities[[#This Row],[2]],1,5-entities[[#This Row],[2]])), 0)+entities[[#This Row],[2]]))</f>
        <v/>
      </c>
      <c r="O85" s="6" t="str">
        <f t="array" aca="1" ref="O85" ca="1">IF(entities[[#This Row],[Custom Attributes]]&lt;4,"",
IF(entities[[#This Row],[3]]=5-1,5,
MATCH(FALSE, ISBLANK(OFFSET(entities[[#This Row],[hidden]],0,entities[[#This Row],[3]],1,5-entities[[#This Row],[3]])), 0)+entities[[#This Row],[3]]))</f>
        <v/>
      </c>
      <c r="P85" s="14" t="str">
        <f ca="1">IF(entities[[#This Row],[1]]="","",
VLOOKUP(entities[[#This Row],[1]],Lookup!$B$5:$D$9,3,FALSE)  &amp;  INDEX(entities[[#This Row],[hidden]:[icon]],entities[[#This Row],[1]])
)</f>
        <v/>
      </c>
      <c r="Q85" s="6" t="str">
        <f ca="1">IF(entities[[#This Row],[2]]="","",
VLOOKUP(entities[[#This Row],[2]],Lookup!$B$5:$D$9,3,FALSE)  &amp;  INDEX(entities[[#This Row],[hidden]:[icon]],entities[[#This Row],[2]])
)</f>
        <v/>
      </c>
      <c r="R85" s="6" t="str">
        <f ca="1">IF(entities[[#This Row],[3]]="","",
VLOOKUP(entities[[#This Row],[3]],Lookup!$B$5:$D$9,3,FALSE)  &amp;  INDEX(entities[[#This Row],[hidden]:[icon]],entities[[#This Row],[3]])
)</f>
        <v/>
      </c>
      <c r="S85" s="6" t="str">
        <f ca="1">IF(entities[[#This Row],[4]]="","",
VLOOKUP(entities[[#This Row],[4]],Lookup!$B$5:$D$9,3,FALSE)  &amp;  INDEX(entities[[#This Row],[hidden]:[icon]],entities[[#This Row],[4]])
)</f>
        <v/>
      </c>
      <c r="T85" s="6" t="str">
        <f t="array" ref="T85">IFERROR(INDEX(cards[object_id],SMALL(IF(cards[[1]:[25]]=entities[[#This Row],[entity_id]],ROW(cards[])-7,99^99),1)),"")</f>
        <v/>
      </c>
      <c r="U85" s="6" t="str">
        <f>IF(entities[[#This Row],[In HA?]]&lt;&gt;"ok",  "Not in Home Assistant",
IF(entities[[#This Row],[hidden]]="true",  "Hidden",
IF(entities[[#This Row],[Card]]&lt;&gt;"",
INDEX(cards[name],MATCH(entities[[#This Row],[Card]],cards[object_id],0)),  "Badge / automatic card")))</f>
        <v>Badge / automatic card</v>
      </c>
      <c r="V85" s="6" t="str">
        <f>IF(entities[[#This Row],[Card]]&lt;&gt;"","group."&amp;entities[[#This Row],[Card]],"")</f>
        <v/>
      </c>
      <c r="W85" s="6" t="str">
        <f t="array" ref="W85">IFERROR(IF(entities[[#This Row],[Assigned Card]]="","",INDEX(views[object_id],SMALL(IF(views[[1]:[25]]=entities[[#This Row],[Assigned Card]],ROW(views[])-7,99^99),1))),"")</f>
        <v/>
      </c>
      <c r="X85" s="6" t="str">
        <f t="array" ref="X85">IFERROR(INDEX(views[object_id],SMALL(IF(views[[1]:[25]]=entities[[#This Row],[entity_id]],ROW(views[])-7,99^99),1)),"")</f>
        <v/>
      </c>
      <c r="Y85" s="6" t="str">
        <f>IF(entities[[#This Row],[View from card]]&lt;&gt;"",entities[[#This Row],[View from card]],entities[[#This Row],[View from entitiy]])</f>
        <v/>
      </c>
      <c r="Z85" s="6" t="str">
        <f>IF(entities[[#This Row],[In HA?]]&lt;&gt;"ok",  "Not in Home Assistant",
IF(entities[[#This Row],[hidden]]="true",  "Hidden",
IF(entities[[#This Row],[View]]&lt;&gt;"",
INDEX(views[name],MATCH(entities[[#This Row],[View]],views[object_id],0)),  "Default view")))</f>
        <v>Default view</v>
      </c>
      <c r="AA85" s="6" t="str">
        <f>IF(entities[[#This Row],[View]]&lt;&gt;"","group."&amp;entities[[#This Row],[View]],"")</f>
        <v/>
      </c>
      <c r="AB85" s="6" t="str">
        <f>IF(COUNTIF(Table4[Entity],entities[[#This Row],[entity_id]]),"ok","Missing from States tab")</f>
        <v>ok</v>
      </c>
      <c r="AF85"/>
    </row>
    <row r="86" spans="2:32" x14ac:dyDescent="0.45">
      <c r="B86" t="s">
        <v>810</v>
      </c>
      <c r="C86" t="s">
        <v>739</v>
      </c>
      <c r="I86" s="6" t="str">
        <f>entities[[#This Row],[domain]]&amp;"."&amp;entities[[#This Row],[object_id]]</f>
        <v>group.default_view</v>
      </c>
      <c r="J86" s="6">
        <f>5-COUNTBLANK(entities[[#This Row],[hidden]:[icon]])</f>
        <v>0</v>
      </c>
      <c r="K86" s="6" t="str">
        <f>IF(entities[[#This Row],[Custom Attributes]]=0,"",
COUNTIFS(entities[Custom Attributes],"&gt;0",entities[entity_id],"&lt;="&amp;entities[[#This Row],[entity_id]]))</f>
        <v/>
      </c>
      <c r="L86" s="6" t="str">
        <f t="array" aca="1" ref="L86" ca="1">IF(entities[[#This Row],[Custom Attributes]]&lt;1,"",
MATCH(FALSE, ISBLANK(OFFSET(entities[[#This Row],[hidden]],0,0,1,5)), 0))</f>
        <v/>
      </c>
      <c r="M86" s="6" t="str">
        <f t="array" aca="1" ref="M86" ca="1">IF(entities[[#This Row],[Custom Attributes]]&lt;2,"",
IF(entities[[#This Row],[1]]=5-1,5,
MATCH(FALSE, ISBLANK(OFFSET(entities[[#This Row],[hidden]],0,entities[[#This Row],[1]],1,5-entities[[#This Row],[1]])), 0)+entities[[#This Row],[1]]))</f>
        <v/>
      </c>
      <c r="N86" s="6" t="str">
        <f t="array" aca="1" ref="N86" ca="1">IF(entities[[#This Row],[Custom Attributes]]&lt;3,"",
IF(entities[[#This Row],[2]]=5-1,5,
MATCH(FALSE, ISBLANK(OFFSET(entities[[#This Row],[hidden]],0,entities[[#This Row],[2]],1,5-entities[[#This Row],[2]])), 0)+entities[[#This Row],[2]]))</f>
        <v/>
      </c>
      <c r="O86" s="6" t="str">
        <f t="array" aca="1" ref="O86" ca="1">IF(entities[[#This Row],[Custom Attributes]]&lt;4,"",
IF(entities[[#This Row],[3]]=5-1,5,
MATCH(FALSE, ISBLANK(OFFSET(entities[[#This Row],[hidden]],0,entities[[#This Row],[3]],1,5-entities[[#This Row],[3]])), 0)+entities[[#This Row],[3]]))</f>
        <v/>
      </c>
      <c r="P86" s="14" t="str">
        <f ca="1">IF(entities[[#This Row],[1]]="","",
VLOOKUP(entities[[#This Row],[1]],Lookup!$B$5:$D$9,3,FALSE)  &amp;  INDEX(entities[[#This Row],[hidden]:[icon]],entities[[#This Row],[1]])
)</f>
        <v/>
      </c>
      <c r="Q86" s="6" t="str">
        <f ca="1">IF(entities[[#This Row],[2]]="","",
VLOOKUP(entities[[#This Row],[2]],Lookup!$B$5:$D$9,3,FALSE)  &amp;  INDEX(entities[[#This Row],[hidden]:[icon]],entities[[#This Row],[2]])
)</f>
        <v/>
      </c>
      <c r="R86" s="6" t="str">
        <f ca="1">IF(entities[[#This Row],[3]]="","",
VLOOKUP(entities[[#This Row],[3]],Lookup!$B$5:$D$9,3,FALSE)  &amp;  INDEX(entities[[#This Row],[hidden]:[icon]],entities[[#This Row],[3]])
)</f>
        <v/>
      </c>
      <c r="S86" s="6" t="str">
        <f ca="1">IF(entities[[#This Row],[4]]="","",
VLOOKUP(entities[[#This Row],[4]],Lookup!$B$5:$D$9,3,FALSE)  &amp;  INDEX(entities[[#This Row],[hidden]:[icon]],entities[[#This Row],[4]])
)</f>
        <v/>
      </c>
      <c r="T86" s="6" t="str">
        <f t="array" ref="T86">IFERROR(INDEX(cards[object_id],SMALL(IF(cards[[1]:[25]]=entities[[#This Row],[entity_id]],ROW(cards[])-7,99^99),1)),"")</f>
        <v/>
      </c>
      <c r="U86" s="6" t="str">
        <f>IF(entities[[#This Row],[In HA?]]&lt;&gt;"ok",  "Not in Home Assistant",
IF(entities[[#This Row],[hidden]]="true",  "Hidden",
IF(entities[[#This Row],[Card]]&lt;&gt;"",
INDEX(cards[name],MATCH(entities[[#This Row],[Card]],cards[object_id],0)),  "Badge / automatic card")))</f>
        <v>Badge / automatic card</v>
      </c>
      <c r="V86" s="6" t="str">
        <f>IF(entities[[#This Row],[Card]]&lt;&gt;"","group."&amp;entities[[#This Row],[Card]],"")</f>
        <v/>
      </c>
      <c r="W86" s="6" t="str">
        <f t="array" ref="W86">IFERROR(IF(entities[[#This Row],[Assigned Card]]="","",INDEX(views[object_id],SMALL(IF(views[[1]:[25]]=entities[[#This Row],[Assigned Card]],ROW(views[])-7,99^99),1))),"")</f>
        <v/>
      </c>
      <c r="X86" s="6" t="str">
        <f t="array" ref="X86">IFERROR(INDEX(views[object_id],SMALL(IF(views[[1]:[25]]=entities[[#This Row],[entity_id]],ROW(views[])-7,99^99),1)),"")</f>
        <v/>
      </c>
      <c r="Y86" s="6" t="str">
        <f>IF(entities[[#This Row],[View from card]]&lt;&gt;"",entities[[#This Row],[View from card]],entities[[#This Row],[View from entitiy]])</f>
        <v/>
      </c>
      <c r="Z86" s="6" t="str">
        <f>IF(entities[[#This Row],[In HA?]]&lt;&gt;"ok",  "Not in Home Assistant",
IF(entities[[#This Row],[hidden]]="true",  "Hidden",
IF(entities[[#This Row],[View]]&lt;&gt;"",
INDEX(views[name],MATCH(entities[[#This Row],[View]],views[object_id],0)),  "Default view")))</f>
        <v>Default view</v>
      </c>
      <c r="AA86" s="6" t="str">
        <f>IF(entities[[#This Row],[View]]&lt;&gt;"","group."&amp;entities[[#This Row],[View]],"")</f>
        <v/>
      </c>
      <c r="AB86" s="6" t="str">
        <f>IF(COUNTIF(Table4[Entity],entities[[#This Row],[entity_id]]),"ok","Missing from States tab")</f>
        <v>ok</v>
      </c>
      <c r="AF86"/>
    </row>
    <row r="87" spans="2:32" x14ac:dyDescent="0.45">
      <c r="B87" t="s">
        <v>810</v>
      </c>
      <c r="C87" t="s">
        <v>656</v>
      </c>
      <c r="I87" s="6" t="str">
        <f>entities[[#This Row],[domain]]&amp;"."&amp;entities[[#This Row],[object_id]]</f>
        <v>group.environment</v>
      </c>
      <c r="J87" s="6">
        <f>5-COUNTBLANK(entities[[#This Row],[hidden]:[icon]])</f>
        <v>0</v>
      </c>
      <c r="K87" s="6" t="str">
        <f>IF(entities[[#This Row],[Custom Attributes]]=0,"",
COUNTIFS(entities[Custom Attributes],"&gt;0",entities[entity_id],"&lt;="&amp;entities[[#This Row],[entity_id]]))</f>
        <v/>
      </c>
      <c r="L87" s="6" t="str">
        <f t="array" aca="1" ref="L87" ca="1">IF(entities[[#This Row],[Custom Attributes]]&lt;1,"",
MATCH(FALSE, ISBLANK(OFFSET(entities[[#This Row],[hidden]],0,0,1,5)), 0))</f>
        <v/>
      </c>
      <c r="M87" s="6" t="str">
        <f t="array" aca="1" ref="M87" ca="1">IF(entities[[#This Row],[Custom Attributes]]&lt;2,"",
IF(entities[[#This Row],[1]]=5-1,5,
MATCH(FALSE, ISBLANK(OFFSET(entities[[#This Row],[hidden]],0,entities[[#This Row],[1]],1,5-entities[[#This Row],[1]])), 0)+entities[[#This Row],[1]]))</f>
        <v/>
      </c>
      <c r="N87" s="6" t="str">
        <f t="array" aca="1" ref="N87" ca="1">IF(entities[[#This Row],[Custom Attributes]]&lt;3,"",
IF(entities[[#This Row],[2]]=5-1,5,
MATCH(FALSE, ISBLANK(OFFSET(entities[[#This Row],[hidden]],0,entities[[#This Row],[2]],1,5-entities[[#This Row],[2]])), 0)+entities[[#This Row],[2]]))</f>
        <v/>
      </c>
      <c r="O87" s="6" t="str">
        <f t="array" aca="1" ref="O87" ca="1">IF(entities[[#This Row],[Custom Attributes]]&lt;4,"",
IF(entities[[#This Row],[3]]=5-1,5,
MATCH(FALSE, ISBLANK(OFFSET(entities[[#This Row],[hidden]],0,entities[[#This Row],[3]],1,5-entities[[#This Row],[3]])), 0)+entities[[#This Row],[3]]))</f>
        <v/>
      </c>
      <c r="P87" s="14" t="str">
        <f ca="1">IF(entities[[#This Row],[1]]="","",
VLOOKUP(entities[[#This Row],[1]],Lookup!$B$5:$D$9,3,FALSE)  &amp;  INDEX(entities[[#This Row],[hidden]:[icon]],entities[[#This Row],[1]])
)</f>
        <v/>
      </c>
      <c r="Q87" s="6" t="str">
        <f ca="1">IF(entities[[#This Row],[2]]="","",
VLOOKUP(entities[[#This Row],[2]],Lookup!$B$5:$D$9,3,FALSE)  &amp;  INDEX(entities[[#This Row],[hidden]:[icon]],entities[[#This Row],[2]])
)</f>
        <v/>
      </c>
      <c r="R87" s="6" t="str">
        <f ca="1">IF(entities[[#This Row],[3]]="","",
VLOOKUP(entities[[#This Row],[3]],Lookup!$B$5:$D$9,3,FALSE)  &amp;  INDEX(entities[[#This Row],[hidden]:[icon]],entities[[#This Row],[3]])
)</f>
        <v/>
      </c>
      <c r="S87" s="6" t="str">
        <f ca="1">IF(entities[[#This Row],[4]]="","",
VLOOKUP(entities[[#This Row],[4]],Lookup!$B$5:$D$9,3,FALSE)  &amp;  INDEX(entities[[#This Row],[hidden]:[icon]],entities[[#This Row],[4]])
)</f>
        <v/>
      </c>
      <c r="T87" s="6" t="str">
        <f t="array" ref="T87">IFERROR(INDEX(cards[object_id],SMALL(IF(cards[[1]:[25]]=entities[[#This Row],[entity_id]],ROW(cards[])-7,99^99),1)),"")</f>
        <v/>
      </c>
      <c r="U87" s="6" t="str">
        <f>IF(entities[[#This Row],[In HA?]]&lt;&gt;"ok",  "Not in Home Assistant",
IF(entities[[#This Row],[hidden]]="true",  "Hidden",
IF(entities[[#This Row],[Card]]&lt;&gt;"",
INDEX(cards[name],MATCH(entities[[#This Row],[Card]],cards[object_id],0)),  "Badge / automatic card")))</f>
        <v>Badge / automatic card</v>
      </c>
      <c r="V87" s="6" t="str">
        <f>IF(entities[[#This Row],[Card]]&lt;&gt;"","group."&amp;entities[[#This Row],[Card]],"")</f>
        <v/>
      </c>
      <c r="W87" s="6" t="str">
        <f t="array" ref="W87">IFERROR(IF(entities[[#This Row],[Assigned Card]]="","",INDEX(views[object_id],SMALL(IF(views[[1]:[25]]=entities[[#This Row],[Assigned Card]],ROW(views[])-7,99^99),1))),"")</f>
        <v/>
      </c>
      <c r="X87" s="6" t="str">
        <f t="array" ref="X87">IFERROR(INDEX(views[object_id],SMALL(IF(views[[1]:[25]]=entities[[#This Row],[entity_id]],ROW(views[])-7,99^99),1)),"")</f>
        <v>environment_view</v>
      </c>
      <c r="Y87" s="6" t="str">
        <f>IF(entities[[#This Row],[View from card]]&lt;&gt;"",entities[[#This Row],[View from card]],entities[[#This Row],[View from entitiy]])</f>
        <v>environment_view</v>
      </c>
      <c r="Z87" s="6" t="str">
        <f>IF(entities[[#This Row],[In HA?]]&lt;&gt;"ok",  "Not in Home Assistant",
IF(entities[[#This Row],[hidden]]="true",  "Hidden",
IF(entities[[#This Row],[View]]&lt;&gt;"",
INDEX(views[name],MATCH(entities[[#This Row],[View]],views[object_id],0)),  "Default view")))</f>
        <v>Environment</v>
      </c>
      <c r="AA87" s="6" t="str">
        <f>IF(entities[[#This Row],[View]]&lt;&gt;"","group."&amp;entities[[#This Row],[View]],"")</f>
        <v>group.environment_view</v>
      </c>
      <c r="AB87" s="6" t="str">
        <f>IF(COUNTIF(Table4[Entity],entities[[#This Row],[entity_id]]),"ok","Missing from States tab")</f>
        <v>ok</v>
      </c>
      <c r="AF87"/>
    </row>
    <row r="88" spans="2:32" x14ac:dyDescent="0.45">
      <c r="B88" t="s">
        <v>810</v>
      </c>
      <c r="C88" t="s">
        <v>657</v>
      </c>
      <c r="I88" s="6" t="str">
        <f>entities[[#This Row],[domain]]&amp;"."&amp;entities[[#This Row],[object_id]]</f>
        <v>group.environment_detail</v>
      </c>
      <c r="J88" s="6">
        <f>5-COUNTBLANK(entities[[#This Row],[hidden]:[icon]])</f>
        <v>0</v>
      </c>
      <c r="K88" s="6" t="str">
        <f>IF(entities[[#This Row],[Custom Attributes]]=0,"",
COUNTIFS(entities[Custom Attributes],"&gt;0",entities[entity_id],"&lt;="&amp;entities[[#This Row],[entity_id]]))</f>
        <v/>
      </c>
      <c r="L88" s="6" t="str">
        <f t="array" aca="1" ref="L88" ca="1">IF(entities[[#This Row],[Custom Attributes]]&lt;1,"",
MATCH(FALSE, ISBLANK(OFFSET(entities[[#This Row],[hidden]],0,0,1,5)), 0))</f>
        <v/>
      </c>
      <c r="M88" s="6" t="str">
        <f t="array" aca="1" ref="M88" ca="1">IF(entities[[#This Row],[Custom Attributes]]&lt;2,"",
IF(entities[[#This Row],[1]]=5-1,5,
MATCH(FALSE, ISBLANK(OFFSET(entities[[#This Row],[hidden]],0,entities[[#This Row],[1]],1,5-entities[[#This Row],[1]])), 0)+entities[[#This Row],[1]]))</f>
        <v/>
      </c>
      <c r="N88" s="6" t="str">
        <f t="array" aca="1" ref="N88" ca="1">IF(entities[[#This Row],[Custom Attributes]]&lt;3,"",
IF(entities[[#This Row],[2]]=5-1,5,
MATCH(FALSE, ISBLANK(OFFSET(entities[[#This Row],[hidden]],0,entities[[#This Row],[2]],1,5-entities[[#This Row],[2]])), 0)+entities[[#This Row],[2]]))</f>
        <v/>
      </c>
      <c r="O88" s="6" t="str">
        <f t="array" aca="1" ref="O88" ca="1">IF(entities[[#This Row],[Custom Attributes]]&lt;4,"",
IF(entities[[#This Row],[3]]=5-1,5,
MATCH(FALSE, ISBLANK(OFFSET(entities[[#This Row],[hidden]],0,entities[[#This Row],[3]],1,5-entities[[#This Row],[3]])), 0)+entities[[#This Row],[3]]))</f>
        <v/>
      </c>
      <c r="P88" s="14" t="str">
        <f ca="1">IF(entities[[#This Row],[1]]="","",
VLOOKUP(entities[[#This Row],[1]],Lookup!$B$5:$D$9,3,FALSE)  &amp;  INDEX(entities[[#This Row],[hidden]:[icon]],entities[[#This Row],[1]])
)</f>
        <v/>
      </c>
      <c r="Q88" s="6" t="str">
        <f ca="1">IF(entities[[#This Row],[2]]="","",
VLOOKUP(entities[[#This Row],[2]],Lookup!$B$5:$D$9,3,FALSE)  &amp;  INDEX(entities[[#This Row],[hidden]:[icon]],entities[[#This Row],[2]])
)</f>
        <v/>
      </c>
      <c r="R88" s="6" t="str">
        <f ca="1">IF(entities[[#This Row],[3]]="","",
VLOOKUP(entities[[#This Row],[3]],Lookup!$B$5:$D$9,3,FALSE)  &amp;  INDEX(entities[[#This Row],[hidden]:[icon]],entities[[#This Row],[3]])
)</f>
        <v/>
      </c>
      <c r="S88" s="6" t="str">
        <f ca="1">IF(entities[[#This Row],[4]]="","",
VLOOKUP(entities[[#This Row],[4]],Lookup!$B$5:$D$9,3,FALSE)  &amp;  INDEX(entities[[#This Row],[hidden]:[icon]],entities[[#This Row],[4]])
)</f>
        <v/>
      </c>
      <c r="T88" s="6" t="str">
        <f t="array" ref="T88">IFERROR(INDEX(cards[object_id],SMALL(IF(cards[[1]:[25]]=entities[[#This Row],[entity_id]],ROW(cards[])-7,99^99),1)),"")</f>
        <v/>
      </c>
      <c r="U88" s="6" t="str">
        <f>IF(entities[[#This Row],[In HA?]]&lt;&gt;"ok",  "Not in Home Assistant",
IF(entities[[#This Row],[hidden]]="true",  "Hidden",
IF(entities[[#This Row],[Card]]&lt;&gt;"",
INDEX(cards[name],MATCH(entities[[#This Row],[Card]],cards[object_id],0)),  "Badge / automatic card")))</f>
        <v>Badge / automatic card</v>
      </c>
      <c r="V88" s="6" t="str">
        <f>IF(entities[[#This Row],[Card]]&lt;&gt;"","group."&amp;entities[[#This Row],[Card]],"")</f>
        <v/>
      </c>
      <c r="W88" s="6" t="str">
        <f t="array" ref="W88">IFERROR(IF(entities[[#This Row],[Assigned Card]]="","",INDEX(views[object_id],SMALL(IF(views[[1]:[25]]=entities[[#This Row],[Assigned Card]],ROW(views[])-7,99^99),1))),"")</f>
        <v/>
      </c>
      <c r="X88" s="6" t="str">
        <f t="array" ref="X88">IFERROR(INDEX(views[object_id],SMALL(IF(views[[1]:[25]]=entities[[#This Row],[entity_id]],ROW(views[])-7,99^99),1)),"")</f>
        <v/>
      </c>
      <c r="Y88" s="6" t="str">
        <f>IF(entities[[#This Row],[View from card]]&lt;&gt;"",entities[[#This Row],[View from card]],entities[[#This Row],[View from entitiy]])</f>
        <v/>
      </c>
      <c r="Z88" s="6" t="str">
        <f>IF(entities[[#This Row],[In HA?]]&lt;&gt;"ok",  "Not in Home Assistant",
IF(entities[[#This Row],[hidden]]="true",  "Hidden",
IF(entities[[#This Row],[View]]&lt;&gt;"",
INDEX(views[name],MATCH(entities[[#This Row],[View]],views[object_id],0)),  "Default view")))</f>
        <v>Default view</v>
      </c>
      <c r="AA88" s="6" t="str">
        <f>IF(entities[[#This Row],[View]]&lt;&gt;"","group."&amp;entities[[#This Row],[View]],"")</f>
        <v/>
      </c>
      <c r="AB88" s="6" t="str">
        <f>IF(COUNTIF(Table4[Entity],entities[[#This Row],[entity_id]]),"ok","Missing from States tab")</f>
        <v>ok</v>
      </c>
      <c r="AF88"/>
    </row>
    <row r="89" spans="2:32" x14ac:dyDescent="0.45">
      <c r="B89" t="s">
        <v>810</v>
      </c>
      <c r="C89" t="s">
        <v>818</v>
      </c>
      <c r="I89" s="6" t="str">
        <f>entities[[#This Row],[domain]]&amp;"."&amp;entities[[#This Row],[object_id]]</f>
        <v>group.environment_living_room</v>
      </c>
      <c r="J89" s="6">
        <f>5-COUNTBLANK(entities[[#This Row],[hidden]:[icon]])</f>
        <v>0</v>
      </c>
      <c r="K89" s="6" t="str">
        <f>IF(entities[[#This Row],[Custom Attributes]]=0,"",
COUNTIFS(entities[Custom Attributes],"&gt;0",entities[entity_id],"&lt;="&amp;entities[[#This Row],[entity_id]]))</f>
        <v/>
      </c>
      <c r="L89" s="6" t="str">
        <f t="array" aca="1" ref="L89" ca="1">IF(entities[[#This Row],[Custom Attributes]]&lt;1,"",
MATCH(FALSE, ISBLANK(OFFSET(entities[[#This Row],[hidden]],0,0,1,5)), 0))</f>
        <v/>
      </c>
      <c r="M89" s="6" t="str">
        <f t="array" aca="1" ref="M89" ca="1">IF(entities[[#This Row],[Custom Attributes]]&lt;2,"",
IF(entities[[#This Row],[1]]=5-1,5,
MATCH(FALSE, ISBLANK(OFFSET(entities[[#This Row],[hidden]],0,entities[[#This Row],[1]],1,5-entities[[#This Row],[1]])), 0)+entities[[#This Row],[1]]))</f>
        <v/>
      </c>
      <c r="N89" s="6" t="str">
        <f t="array" aca="1" ref="N89" ca="1">IF(entities[[#This Row],[Custom Attributes]]&lt;3,"",
IF(entities[[#This Row],[2]]=5-1,5,
MATCH(FALSE, ISBLANK(OFFSET(entities[[#This Row],[hidden]],0,entities[[#This Row],[2]],1,5-entities[[#This Row],[2]])), 0)+entities[[#This Row],[2]]))</f>
        <v/>
      </c>
      <c r="O89" s="6" t="str">
        <f t="array" aca="1" ref="O89" ca="1">IF(entities[[#This Row],[Custom Attributes]]&lt;4,"",
IF(entities[[#This Row],[3]]=5-1,5,
MATCH(FALSE, ISBLANK(OFFSET(entities[[#This Row],[hidden]],0,entities[[#This Row],[3]],1,5-entities[[#This Row],[3]])), 0)+entities[[#This Row],[3]]))</f>
        <v/>
      </c>
      <c r="P89" s="14" t="str">
        <f ca="1">IF(entities[[#This Row],[1]]="","",
VLOOKUP(entities[[#This Row],[1]],Lookup!$B$5:$D$9,3,FALSE)  &amp;  INDEX(entities[[#This Row],[hidden]:[icon]],entities[[#This Row],[1]])
)</f>
        <v/>
      </c>
      <c r="Q89" s="6" t="str">
        <f ca="1">IF(entities[[#This Row],[2]]="","",
VLOOKUP(entities[[#This Row],[2]],Lookup!$B$5:$D$9,3,FALSE)  &amp;  INDEX(entities[[#This Row],[hidden]:[icon]],entities[[#This Row],[2]])
)</f>
        <v/>
      </c>
      <c r="R89" s="6" t="str">
        <f ca="1">IF(entities[[#This Row],[3]]="","",
VLOOKUP(entities[[#This Row],[3]],Lookup!$B$5:$D$9,3,FALSE)  &amp;  INDEX(entities[[#This Row],[hidden]:[icon]],entities[[#This Row],[3]])
)</f>
        <v/>
      </c>
      <c r="S89" s="6" t="str">
        <f ca="1">IF(entities[[#This Row],[4]]="","",
VLOOKUP(entities[[#This Row],[4]],Lookup!$B$5:$D$9,3,FALSE)  &amp;  INDEX(entities[[#This Row],[hidden]:[icon]],entities[[#This Row],[4]])
)</f>
        <v/>
      </c>
      <c r="T89" s="6" t="str">
        <f t="array" ref="T89">IFERROR(INDEX(cards[object_id],SMALL(IF(cards[[1]:[25]]=entities[[#This Row],[entity_id]],ROW(cards[])-7,99^99),1)),"")</f>
        <v/>
      </c>
      <c r="U89" s="6" t="str">
        <f>IF(entities[[#This Row],[In HA?]]&lt;&gt;"ok",  "Not in Home Assistant",
IF(entities[[#This Row],[hidden]]="true",  "Hidden",
IF(entities[[#This Row],[Card]]&lt;&gt;"",
INDEX(cards[name],MATCH(entities[[#This Row],[Card]],cards[object_id],0)),  "Badge / automatic card")))</f>
        <v>Badge / automatic card</v>
      </c>
      <c r="V89" s="6" t="str">
        <f>IF(entities[[#This Row],[Card]]&lt;&gt;"","group."&amp;entities[[#This Row],[Card]],"")</f>
        <v/>
      </c>
      <c r="W89" s="6" t="str">
        <f t="array" ref="W89">IFERROR(IF(entities[[#This Row],[Assigned Card]]="","",INDEX(views[object_id],SMALL(IF(views[[1]:[25]]=entities[[#This Row],[Assigned Card]],ROW(views[])-7,99^99),1))),"")</f>
        <v/>
      </c>
      <c r="X89" s="6" t="str">
        <f t="array" ref="X89">IFERROR(INDEX(views[object_id],SMALL(IF(views[[1]:[25]]=entities[[#This Row],[entity_id]],ROW(views[])-7,99^99),1)),"")</f>
        <v>environment_view</v>
      </c>
      <c r="Y89" s="6" t="str">
        <f>IF(entities[[#This Row],[View from card]]&lt;&gt;"",entities[[#This Row],[View from card]],entities[[#This Row],[View from entitiy]])</f>
        <v>environment_view</v>
      </c>
      <c r="Z89" s="6" t="str">
        <f>IF(entities[[#This Row],[In HA?]]&lt;&gt;"ok",  "Not in Home Assistant",
IF(entities[[#This Row],[hidden]]="true",  "Hidden",
IF(entities[[#This Row],[View]]&lt;&gt;"",
INDEX(views[name],MATCH(entities[[#This Row],[View]],views[object_id],0)),  "Default view")))</f>
        <v>Environment</v>
      </c>
      <c r="AA89" s="6" t="str">
        <f>IF(entities[[#This Row],[View]]&lt;&gt;"","group."&amp;entities[[#This Row],[View]],"")</f>
        <v>group.environment_view</v>
      </c>
      <c r="AB89" s="6" t="str">
        <f>IF(COUNTIF(Table4[Entity],entities[[#This Row],[entity_id]]),"ok","Missing from States tab")</f>
        <v>ok</v>
      </c>
      <c r="AF89"/>
    </row>
    <row r="90" spans="2:32" x14ac:dyDescent="0.45">
      <c r="B90" t="s">
        <v>810</v>
      </c>
      <c r="C90" t="s">
        <v>409</v>
      </c>
      <c r="I90" s="6" t="str">
        <f>entities[[#This Row],[domain]]&amp;"."&amp;entities[[#This Row],[object_id]]</f>
        <v>group.environment_view</v>
      </c>
      <c r="J90" s="6">
        <f>5-COUNTBLANK(entities[[#This Row],[hidden]:[icon]])</f>
        <v>0</v>
      </c>
      <c r="K90" s="6" t="str">
        <f>IF(entities[[#This Row],[Custom Attributes]]=0,"",
COUNTIFS(entities[Custom Attributes],"&gt;0",entities[entity_id],"&lt;="&amp;entities[[#This Row],[entity_id]]))</f>
        <v/>
      </c>
      <c r="L90" s="6" t="str">
        <f t="array" aca="1" ref="L90" ca="1">IF(entities[[#This Row],[Custom Attributes]]&lt;1,"",
MATCH(FALSE, ISBLANK(OFFSET(entities[[#This Row],[hidden]],0,0,1,5)), 0))</f>
        <v/>
      </c>
      <c r="M90" s="6" t="str">
        <f t="array" aca="1" ref="M90" ca="1">IF(entities[[#This Row],[Custom Attributes]]&lt;2,"",
IF(entities[[#This Row],[1]]=5-1,5,
MATCH(FALSE, ISBLANK(OFFSET(entities[[#This Row],[hidden]],0,entities[[#This Row],[1]],1,5-entities[[#This Row],[1]])), 0)+entities[[#This Row],[1]]))</f>
        <v/>
      </c>
      <c r="N90" s="6" t="str">
        <f t="array" aca="1" ref="N90" ca="1">IF(entities[[#This Row],[Custom Attributes]]&lt;3,"",
IF(entities[[#This Row],[2]]=5-1,5,
MATCH(FALSE, ISBLANK(OFFSET(entities[[#This Row],[hidden]],0,entities[[#This Row],[2]],1,5-entities[[#This Row],[2]])), 0)+entities[[#This Row],[2]]))</f>
        <v/>
      </c>
      <c r="O90" s="6" t="str">
        <f t="array" aca="1" ref="O90" ca="1">IF(entities[[#This Row],[Custom Attributes]]&lt;4,"",
IF(entities[[#This Row],[3]]=5-1,5,
MATCH(FALSE, ISBLANK(OFFSET(entities[[#This Row],[hidden]],0,entities[[#This Row],[3]],1,5-entities[[#This Row],[3]])), 0)+entities[[#This Row],[3]]))</f>
        <v/>
      </c>
      <c r="P90" s="14" t="str">
        <f ca="1">IF(entities[[#This Row],[1]]="","",
VLOOKUP(entities[[#This Row],[1]],Lookup!$B$5:$D$9,3,FALSE)  &amp;  INDEX(entities[[#This Row],[hidden]:[icon]],entities[[#This Row],[1]])
)</f>
        <v/>
      </c>
      <c r="Q90" s="6" t="str">
        <f ca="1">IF(entities[[#This Row],[2]]="","",
VLOOKUP(entities[[#This Row],[2]],Lookup!$B$5:$D$9,3,FALSE)  &amp;  INDEX(entities[[#This Row],[hidden]:[icon]],entities[[#This Row],[2]])
)</f>
        <v/>
      </c>
      <c r="R90" s="6" t="str">
        <f ca="1">IF(entities[[#This Row],[3]]="","",
VLOOKUP(entities[[#This Row],[3]],Lookup!$B$5:$D$9,3,FALSE)  &amp;  INDEX(entities[[#This Row],[hidden]:[icon]],entities[[#This Row],[3]])
)</f>
        <v/>
      </c>
      <c r="S90" s="6" t="str">
        <f ca="1">IF(entities[[#This Row],[4]]="","",
VLOOKUP(entities[[#This Row],[4]],Lookup!$B$5:$D$9,3,FALSE)  &amp;  INDEX(entities[[#This Row],[hidden]:[icon]],entities[[#This Row],[4]])
)</f>
        <v/>
      </c>
      <c r="T90" s="6" t="str">
        <f t="array" ref="T90">IFERROR(INDEX(cards[object_id],SMALL(IF(cards[[1]:[25]]=entities[[#This Row],[entity_id]],ROW(cards[])-7,99^99),1)),"")</f>
        <v/>
      </c>
      <c r="U90" s="6" t="str">
        <f>IF(entities[[#This Row],[In HA?]]&lt;&gt;"ok",  "Not in Home Assistant",
IF(entities[[#This Row],[hidden]]="true",  "Hidden",
IF(entities[[#This Row],[Card]]&lt;&gt;"",
INDEX(cards[name],MATCH(entities[[#This Row],[Card]],cards[object_id],0)),  "Badge / automatic card")))</f>
        <v>Badge / automatic card</v>
      </c>
      <c r="V90" s="6" t="str">
        <f>IF(entities[[#This Row],[Card]]&lt;&gt;"","group."&amp;entities[[#This Row],[Card]],"")</f>
        <v/>
      </c>
      <c r="W90" s="6" t="str">
        <f t="array" ref="W90">IFERROR(IF(entities[[#This Row],[Assigned Card]]="","",INDEX(views[object_id],SMALL(IF(views[[1]:[25]]=entities[[#This Row],[Assigned Card]],ROW(views[])-7,99^99),1))),"")</f>
        <v/>
      </c>
      <c r="X90" s="6" t="str">
        <f t="array" ref="X90">IFERROR(INDEX(views[object_id],SMALL(IF(views[[1]:[25]]=entities[[#This Row],[entity_id]],ROW(views[])-7,99^99),1)),"")</f>
        <v/>
      </c>
      <c r="Y90" s="6" t="str">
        <f>IF(entities[[#This Row],[View from card]]&lt;&gt;"",entities[[#This Row],[View from card]],entities[[#This Row],[View from entitiy]])</f>
        <v/>
      </c>
      <c r="Z90" s="6" t="str">
        <f>IF(entities[[#This Row],[In HA?]]&lt;&gt;"ok",  "Not in Home Assistant",
IF(entities[[#This Row],[hidden]]="true",  "Hidden",
IF(entities[[#This Row],[View]]&lt;&gt;"",
INDEX(views[name],MATCH(entities[[#This Row],[View]],views[object_id],0)),  "Default view")))</f>
        <v>Default view</v>
      </c>
      <c r="AA90" s="6" t="str">
        <f>IF(entities[[#This Row],[View]]&lt;&gt;"","group."&amp;entities[[#This Row],[View]],"")</f>
        <v/>
      </c>
      <c r="AB90" s="6" t="str">
        <f>IF(COUNTIF(Table4[Entity],entities[[#This Row],[entity_id]]),"ok","Missing from States tab")</f>
        <v>ok</v>
      </c>
      <c r="AF90"/>
    </row>
    <row r="91" spans="2:32" x14ac:dyDescent="0.45">
      <c r="B91" t="s">
        <v>810</v>
      </c>
      <c r="C91" t="s">
        <v>663</v>
      </c>
      <c r="I91" s="6" t="str">
        <f>entities[[#This Row],[domain]]&amp;"."&amp;entities[[#This Row],[object_id]]</f>
        <v>group.host_device</v>
      </c>
      <c r="J91" s="6">
        <f>5-COUNTBLANK(entities[[#This Row],[hidden]:[icon]])</f>
        <v>0</v>
      </c>
      <c r="K91" s="6" t="str">
        <f>IF(entities[[#This Row],[Custom Attributes]]=0,"",
COUNTIFS(entities[Custom Attributes],"&gt;0",entities[entity_id],"&lt;="&amp;entities[[#This Row],[entity_id]]))</f>
        <v/>
      </c>
      <c r="L91" s="6" t="str">
        <f t="array" aca="1" ref="L91" ca="1">IF(entities[[#This Row],[Custom Attributes]]&lt;1,"",
MATCH(FALSE, ISBLANK(OFFSET(entities[[#This Row],[hidden]],0,0,1,5)), 0))</f>
        <v/>
      </c>
      <c r="M91" s="6" t="str">
        <f t="array" aca="1" ref="M91" ca="1">IF(entities[[#This Row],[Custom Attributes]]&lt;2,"",
IF(entities[[#This Row],[1]]=5-1,5,
MATCH(FALSE, ISBLANK(OFFSET(entities[[#This Row],[hidden]],0,entities[[#This Row],[1]],1,5-entities[[#This Row],[1]])), 0)+entities[[#This Row],[1]]))</f>
        <v/>
      </c>
      <c r="N91" s="6" t="str">
        <f t="array" aca="1" ref="N91" ca="1">IF(entities[[#This Row],[Custom Attributes]]&lt;3,"",
IF(entities[[#This Row],[2]]=5-1,5,
MATCH(FALSE, ISBLANK(OFFSET(entities[[#This Row],[hidden]],0,entities[[#This Row],[2]],1,5-entities[[#This Row],[2]])), 0)+entities[[#This Row],[2]]))</f>
        <v/>
      </c>
      <c r="O91" s="6" t="str">
        <f t="array" aca="1" ref="O91" ca="1">IF(entities[[#This Row],[Custom Attributes]]&lt;4,"",
IF(entities[[#This Row],[3]]=5-1,5,
MATCH(FALSE, ISBLANK(OFFSET(entities[[#This Row],[hidden]],0,entities[[#This Row],[3]],1,5-entities[[#This Row],[3]])), 0)+entities[[#This Row],[3]]))</f>
        <v/>
      </c>
      <c r="P91" s="14" t="str">
        <f ca="1">IF(entities[[#This Row],[1]]="","",
VLOOKUP(entities[[#This Row],[1]],Lookup!$B$5:$D$9,3,FALSE)  &amp;  INDEX(entities[[#This Row],[hidden]:[icon]],entities[[#This Row],[1]])
)</f>
        <v/>
      </c>
      <c r="Q91" s="6" t="str">
        <f ca="1">IF(entities[[#This Row],[2]]="","",
VLOOKUP(entities[[#This Row],[2]],Lookup!$B$5:$D$9,3,FALSE)  &amp;  INDEX(entities[[#This Row],[hidden]:[icon]],entities[[#This Row],[2]])
)</f>
        <v/>
      </c>
      <c r="R91" s="6" t="str">
        <f ca="1">IF(entities[[#This Row],[3]]="","",
VLOOKUP(entities[[#This Row],[3]],Lookup!$B$5:$D$9,3,FALSE)  &amp;  INDEX(entities[[#This Row],[hidden]:[icon]],entities[[#This Row],[3]])
)</f>
        <v/>
      </c>
      <c r="S91" s="6" t="str">
        <f ca="1">IF(entities[[#This Row],[4]]="","",
VLOOKUP(entities[[#This Row],[4]],Lookup!$B$5:$D$9,3,FALSE)  &amp;  INDEX(entities[[#This Row],[hidden]:[icon]],entities[[#This Row],[4]])
)</f>
        <v/>
      </c>
      <c r="T91" s="6" t="str">
        <f t="array" ref="T91">IFERROR(INDEX(cards[object_id],SMALL(IF(cards[[1]:[25]]=entities[[#This Row],[entity_id]],ROW(cards[])-7,99^99),1)),"")</f>
        <v/>
      </c>
      <c r="U91" s="6" t="str">
        <f>IF(entities[[#This Row],[In HA?]]&lt;&gt;"ok",  "Not in Home Assistant",
IF(entities[[#This Row],[hidden]]="true",  "Hidden",
IF(entities[[#This Row],[Card]]&lt;&gt;"",
INDEX(cards[name],MATCH(entities[[#This Row],[Card]],cards[object_id],0)),  "Badge / automatic card")))</f>
        <v>Badge / automatic card</v>
      </c>
      <c r="V91" s="6" t="str">
        <f>IF(entities[[#This Row],[Card]]&lt;&gt;"","group."&amp;entities[[#This Row],[Card]],"")</f>
        <v/>
      </c>
      <c r="W91" s="6" t="str">
        <f t="array" ref="W91">IFERROR(IF(entities[[#This Row],[Assigned Card]]="","",INDEX(views[object_id],SMALL(IF(views[[1]:[25]]=entities[[#This Row],[Assigned Card]],ROW(views[])-7,99^99),1))),"")</f>
        <v/>
      </c>
      <c r="X91" s="6" t="str">
        <f t="array" ref="X91">IFERROR(INDEX(views[object_id],SMALL(IF(views[[1]:[25]]=entities[[#This Row],[entity_id]],ROW(views[])-7,99^99),1)),"")</f>
        <v>network_view</v>
      </c>
      <c r="Y91" s="6" t="str">
        <f>IF(entities[[#This Row],[View from card]]&lt;&gt;"",entities[[#This Row],[View from card]],entities[[#This Row],[View from entitiy]])</f>
        <v>network_view</v>
      </c>
      <c r="Z91" s="6" t="str">
        <f>IF(entities[[#This Row],[In HA?]]&lt;&gt;"ok",  "Not in Home Assistant",
IF(entities[[#This Row],[hidden]]="true",  "Hidden",
IF(entities[[#This Row],[View]]&lt;&gt;"",
INDEX(views[name],MATCH(entities[[#This Row],[View]],views[object_id],0)),  "Default view")))</f>
        <v>Network</v>
      </c>
      <c r="AA91" s="6" t="str">
        <f>IF(entities[[#This Row],[View]]&lt;&gt;"","group."&amp;entities[[#This Row],[View]],"")</f>
        <v>group.network_view</v>
      </c>
      <c r="AB91" s="6" t="str">
        <f>IF(COUNTIF(Table4[Entity],entities[[#This Row],[entity_id]]),"ok","Missing from States tab")</f>
        <v>ok</v>
      </c>
      <c r="AF91"/>
    </row>
    <row r="92" spans="2:32" x14ac:dyDescent="0.45">
      <c r="B92" t="s">
        <v>810</v>
      </c>
      <c r="C92" t="s">
        <v>662</v>
      </c>
      <c r="I92" s="6" t="str">
        <f>entities[[#This Row],[domain]]&amp;"."&amp;entities[[#This Row],[object_id]]</f>
        <v>group.iot_devices</v>
      </c>
      <c r="J92" s="6">
        <f>5-COUNTBLANK(entities[[#This Row],[hidden]:[icon]])</f>
        <v>0</v>
      </c>
      <c r="K92" s="6" t="str">
        <f>IF(entities[[#This Row],[Custom Attributes]]=0,"",
COUNTIFS(entities[Custom Attributes],"&gt;0",entities[entity_id],"&lt;="&amp;entities[[#This Row],[entity_id]]))</f>
        <v/>
      </c>
      <c r="L92" s="6" t="str">
        <f t="array" aca="1" ref="L92" ca="1">IF(entities[[#This Row],[Custom Attributes]]&lt;1,"",
MATCH(FALSE, ISBLANK(OFFSET(entities[[#This Row],[hidden]],0,0,1,5)), 0))</f>
        <v/>
      </c>
      <c r="M92" s="6" t="str">
        <f t="array" aca="1" ref="M92" ca="1">IF(entities[[#This Row],[Custom Attributes]]&lt;2,"",
IF(entities[[#This Row],[1]]=5-1,5,
MATCH(FALSE, ISBLANK(OFFSET(entities[[#This Row],[hidden]],0,entities[[#This Row],[1]],1,5-entities[[#This Row],[1]])), 0)+entities[[#This Row],[1]]))</f>
        <v/>
      </c>
      <c r="N92" s="6" t="str">
        <f t="array" aca="1" ref="N92" ca="1">IF(entities[[#This Row],[Custom Attributes]]&lt;3,"",
IF(entities[[#This Row],[2]]=5-1,5,
MATCH(FALSE, ISBLANK(OFFSET(entities[[#This Row],[hidden]],0,entities[[#This Row],[2]],1,5-entities[[#This Row],[2]])), 0)+entities[[#This Row],[2]]))</f>
        <v/>
      </c>
      <c r="O92" s="6" t="str">
        <f t="array" aca="1" ref="O92" ca="1">IF(entities[[#This Row],[Custom Attributes]]&lt;4,"",
IF(entities[[#This Row],[3]]=5-1,5,
MATCH(FALSE, ISBLANK(OFFSET(entities[[#This Row],[hidden]],0,entities[[#This Row],[3]],1,5-entities[[#This Row],[3]])), 0)+entities[[#This Row],[3]]))</f>
        <v/>
      </c>
      <c r="P92" s="14" t="str">
        <f ca="1">IF(entities[[#This Row],[1]]="","",
VLOOKUP(entities[[#This Row],[1]],Lookup!$B$5:$D$9,3,FALSE)  &amp;  INDEX(entities[[#This Row],[hidden]:[icon]],entities[[#This Row],[1]])
)</f>
        <v/>
      </c>
      <c r="Q92" s="6" t="str">
        <f ca="1">IF(entities[[#This Row],[2]]="","",
VLOOKUP(entities[[#This Row],[2]],Lookup!$B$5:$D$9,3,FALSE)  &amp;  INDEX(entities[[#This Row],[hidden]:[icon]],entities[[#This Row],[2]])
)</f>
        <v/>
      </c>
      <c r="R92" s="6" t="str">
        <f ca="1">IF(entities[[#This Row],[3]]="","",
VLOOKUP(entities[[#This Row],[3]],Lookup!$B$5:$D$9,3,FALSE)  &amp;  INDEX(entities[[#This Row],[hidden]:[icon]],entities[[#This Row],[3]])
)</f>
        <v/>
      </c>
      <c r="S92" s="6" t="str">
        <f ca="1">IF(entities[[#This Row],[4]]="","",
VLOOKUP(entities[[#This Row],[4]],Lookup!$B$5:$D$9,3,FALSE)  &amp;  INDEX(entities[[#This Row],[hidden]:[icon]],entities[[#This Row],[4]])
)</f>
        <v/>
      </c>
      <c r="T92" s="6" t="str">
        <f t="array" ref="T92">IFERROR(INDEX(cards[object_id],SMALL(IF(cards[[1]:[25]]=entities[[#This Row],[entity_id]],ROW(cards[])-7,99^99),1)),"")</f>
        <v/>
      </c>
      <c r="U92" s="6" t="str">
        <f>IF(entities[[#This Row],[In HA?]]&lt;&gt;"ok",  "Not in Home Assistant",
IF(entities[[#This Row],[hidden]]="true",  "Hidden",
IF(entities[[#This Row],[Card]]&lt;&gt;"",
INDEX(cards[name],MATCH(entities[[#This Row],[Card]],cards[object_id],0)),  "Badge / automatic card")))</f>
        <v>Badge / automatic card</v>
      </c>
      <c r="V92" s="6" t="str">
        <f>IF(entities[[#This Row],[Card]]&lt;&gt;"","group."&amp;entities[[#This Row],[Card]],"")</f>
        <v/>
      </c>
      <c r="W92" s="6" t="str">
        <f t="array" ref="W92">IFERROR(IF(entities[[#This Row],[Assigned Card]]="","",INDEX(views[object_id],SMALL(IF(views[[1]:[25]]=entities[[#This Row],[Assigned Card]],ROW(views[])-7,99^99),1))),"")</f>
        <v/>
      </c>
      <c r="X92" s="6" t="str">
        <f t="array" ref="X92">IFERROR(INDEX(views[object_id],SMALL(IF(views[[1]:[25]]=entities[[#This Row],[entity_id]],ROW(views[])-7,99^99),1)),"")</f>
        <v>network_view</v>
      </c>
      <c r="Y92" s="6" t="str">
        <f>IF(entities[[#This Row],[View from card]]&lt;&gt;"",entities[[#This Row],[View from card]],entities[[#This Row],[View from entitiy]])</f>
        <v>network_view</v>
      </c>
      <c r="Z92" s="6" t="str">
        <f>IF(entities[[#This Row],[In HA?]]&lt;&gt;"ok",  "Not in Home Assistant",
IF(entities[[#This Row],[hidden]]="true",  "Hidden",
IF(entities[[#This Row],[View]]&lt;&gt;"",
INDEX(views[name],MATCH(entities[[#This Row],[View]],views[object_id],0)),  "Default view")))</f>
        <v>Network</v>
      </c>
      <c r="AA92" s="6" t="str">
        <f>IF(entities[[#This Row],[View]]&lt;&gt;"","group."&amp;entities[[#This Row],[View]],"")</f>
        <v>group.network_view</v>
      </c>
      <c r="AB92" s="6" t="str">
        <f>IF(COUNTIF(Table4[Entity],entities[[#This Row],[entity_id]]),"ok","Missing from States tab")</f>
        <v>ok</v>
      </c>
      <c r="AF92"/>
    </row>
    <row r="93" spans="2:32" x14ac:dyDescent="0.45">
      <c r="B93" t="s">
        <v>810</v>
      </c>
      <c r="C93" t="s">
        <v>781</v>
      </c>
      <c r="I93" s="6" t="str">
        <f>entities[[#This Row],[domain]]&amp;"."&amp;entities[[#This Row],[object_id]]</f>
        <v>group.living_room</v>
      </c>
      <c r="J93" s="6">
        <f>5-COUNTBLANK(entities[[#This Row],[hidden]:[icon]])</f>
        <v>0</v>
      </c>
      <c r="K93" s="6" t="str">
        <f>IF(entities[[#This Row],[Custom Attributes]]=0,"",
COUNTIFS(entities[Custom Attributes],"&gt;0",entities[entity_id],"&lt;="&amp;entities[[#This Row],[entity_id]]))</f>
        <v/>
      </c>
      <c r="L93" s="6" t="str">
        <f t="array" aca="1" ref="L93" ca="1">IF(entities[[#This Row],[Custom Attributes]]&lt;1,"",
MATCH(FALSE, ISBLANK(OFFSET(entities[[#This Row],[hidden]],0,0,1,5)), 0))</f>
        <v/>
      </c>
      <c r="M93" s="6" t="str">
        <f t="array" aca="1" ref="M93" ca="1">IF(entities[[#This Row],[Custom Attributes]]&lt;2,"",
IF(entities[[#This Row],[1]]=5-1,5,
MATCH(FALSE, ISBLANK(OFFSET(entities[[#This Row],[hidden]],0,entities[[#This Row],[1]],1,5-entities[[#This Row],[1]])), 0)+entities[[#This Row],[1]]))</f>
        <v/>
      </c>
      <c r="N93" s="6" t="str">
        <f t="array" aca="1" ref="N93" ca="1">IF(entities[[#This Row],[Custom Attributes]]&lt;3,"",
IF(entities[[#This Row],[2]]=5-1,5,
MATCH(FALSE, ISBLANK(OFFSET(entities[[#This Row],[hidden]],0,entities[[#This Row],[2]],1,5-entities[[#This Row],[2]])), 0)+entities[[#This Row],[2]]))</f>
        <v/>
      </c>
      <c r="O93" s="6" t="str">
        <f t="array" aca="1" ref="O93" ca="1">IF(entities[[#This Row],[Custom Attributes]]&lt;4,"",
IF(entities[[#This Row],[3]]=5-1,5,
MATCH(FALSE, ISBLANK(OFFSET(entities[[#This Row],[hidden]],0,entities[[#This Row],[3]],1,5-entities[[#This Row],[3]])), 0)+entities[[#This Row],[3]]))</f>
        <v/>
      </c>
      <c r="P93" s="14" t="str">
        <f ca="1">IF(entities[[#This Row],[1]]="","",
VLOOKUP(entities[[#This Row],[1]],Lookup!$B$5:$D$9,3,FALSE)  &amp;  INDEX(entities[[#This Row],[hidden]:[icon]],entities[[#This Row],[1]])
)</f>
        <v/>
      </c>
      <c r="Q93" s="6" t="str">
        <f ca="1">IF(entities[[#This Row],[2]]="","",
VLOOKUP(entities[[#This Row],[2]],Lookup!$B$5:$D$9,3,FALSE)  &amp;  INDEX(entities[[#This Row],[hidden]:[icon]],entities[[#This Row],[2]])
)</f>
        <v/>
      </c>
      <c r="R93" s="6" t="str">
        <f ca="1">IF(entities[[#This Row],[3]]="","",
VLOOKUP(entities[[#This Row],[3]],Lookup!$B$5:$D$9,3,FALSE)  &amp;  INDEX(entities[[#This Row],[hidden]:[icon]],entities[[#This Row],[3]])
)</f>
        <v/>
      </c>
      <c r="S93" s="6" t="str">
        <f ca="1">IF(entities[[#This Row],[4]]="","",
VLOOKUP(entities[[#This Row],[4]],Lookup!$B$5:$D$9,3,FALSE)  &amp;  INDEX(entities[[#This Row],[hidden]:[icon]],entities[[#This Row],[4]])
)</f>
        <v/>
      </c>
      <c r="T93" s="6" t="str">
        <f t="array" ref="T93">IFERROR(INDEX(cards[object_id],SMALL(IF(cards[[1]:[25]]=entities[[#This Row],[entity_id]],ROW(cards[])-7,99^99),1)),"")</f>
        <v/>
      </c>
      <c r="U93" s="6" t="str">
        <f>IF(entities[[#This Row],[In HA?]]&lt;&gt;"ok",  "Not in Home Assistant",
IF(entities[[#This Row],[hidden]]="true",  "Hidden",
IF(entities[[#This Row],[Card]]&lt;&gt;"",
INDEX(cards[name],MATCH(entities[[#This Row],[Card]],cards[object_id],0)),  "Badge / automatic card")))</f>
        <v>Badge / automatic card</v>
      </c>
      <c r="V93" s="6" t="str">
        <f>IF(entities[[#This Row],[Card]]&lt;&gt;"","group."&amp;entities[[#This Row],[Card]],"")</f>
        <v/>
      </c>
      <c r="W93" s="6" t="str">
        <f t="array" ref="W93">IFERROR(IF(entities[[#This Row],[Assigned Card]]="","",INDEX(views[object_id],SMALL(IF(views[[1]:[25]]=entities[[#This Row],[Assigned Card]],ROW(views[])-7,99^99),1))),"")</f>
        <v/>
      </c>
      <c r="X93" s="6" t="str">
        <f t="array" ref="X93">IFERROR(INDEX(views[object_id],SMALL(IF(views[[1]:[25]]=entities[[#This Row],[entity_id]],ROW(views[])-7,99^99),1)),"")</f>
        <v>default_view</v>
      </c>
      <c r="Y93" s="6" t="str">
        <f>IF(entities[[#This Row],[View from card]]&lt;&gt;"",entities[[#This Row],[View from card]],entities[[#This Row],[View from entitiy]])</f>
        <v>default_view</v>
      </c>
      <c r="Z93" s="6">
        <f>IF(entities[[#This Row],[In HA?]]&lt;&gt;"ok",  "Not in Home Assistant",
IF(entities[[#This Row],[hidden]]="true",  "Hidden",
IF(entities[[#This Row],[View]]&lt;&gt;"",
INDEX(views[name],MATCH(entities[[#This Row],[View]],views[object_id],0)),  "Default view")))</f>
        <v>0</v>
      </c>
      <c r="AA93" s="6" t="str">
        <f>IF(entities[[#This Row],[View]]&lt;&gt;"","group."&amp;entities[[#This Row],[View]],"")</f>
        <v>group.default_view</v>
      </c>
      <c r="AB93" s="6" t="str">
        <f>IF(COUNTIF(Table4[Entity],entities[[#This Row],[entity_id]]),"ok","Missing from States tab")</f>
        <v>ok</v>
      </c>
      <c r="AF93"/>
    </row>
    <row r="94" spans="2:32" x14ac:dyDescent="0.45">
      <c r="B94" t="s">
        <v>810</v>
      </c>
      <c r="C94" t="s">
        <v>820</v>
      </c>
      <c r="I94" s="6" t="str">
        <f>entities[[#This Row],[domain]]&amp;"."&amp;entities[[#This Row],[object_id]]</f>
        <v>group.living_room_view</v>
      </c>
      <c r="J94" s="6">
        <f>5-COUNTBLANK(entities[[#This Row],[hidden]:[icon]])</f>
        <v>0</v>
      </c>
      <c r="K94" s="6" t="str">
        <f>IF(entities[[#This Row],[Custom Attributes]]=0,"",
COUNTIFS(entities[Custom Attributes],"&gt;0",entities[entity_id],"&lt;="&amp;entities[[#This Row],[entity_id]]))</f>
        <v/>
      </c>
      <c r="L94" s="6" t="str">
        <f t="array" aca="1" ref="L94" ca="1">IF(entities[[#This Row],[Custom Attributes]]&lt;1,"",
MATCH(FALSE, ISBLANK(OFFSET(entities[[#This Row],[hidden]],0,0,1,5)), 0))</f>
        <v/>
      </c>
      <c r="M94" s="6" t="str">
        <f t="array" aca="1" ref="M94" ca="1">IF(entities[[#This Row],[Custom Attributes]]&lt;2,"",
IF(entities[[#This Row],[1]]=5-1,5,
MATCH(FALSE, ISBLANK(OFFSET(entities[[#This Row],[hidden]],0,entities[[#This Row],[1]],1,5-entities[[#This Row],[1]])), 0)+entities[[#This Row],[1]]))</f>
        <v/>
      </c>
      <c r="N94" s="6" t="str">
        <f t="array" aca="1" ref="N94" ca="1">IF(entities[[#This Row],[Custom Attributes]]&lt;3,"",
IF(entities[[#This Row],[2]]=5-1,5,
MATCH(FALSE, ISBLANK(OFFSET(entities[[#This Row],[hidden]],0,entities[[#This Row],[2]],1,5-entities[[#This Row],[2]])), 0)+entities[[#This Row],[2]]))</f>
        <v/>
      </c>
      <c r="O94" s="6" t="str">
        <f t="array" aca="1" ref="O94" ca="1">IF(entities[[#This Row],[Custom Attributes]]&lt;4,"",
IF(entities[[#This Row],[3]]=5-1,5,
MATCH(FALSE, ISBLANK(OFFSET(entities[[#This Row],[hidden]],0,entities[[#This Row],[3]],1,5-entities[[#This Row],[3]])), 0)+entities[[#This Row],[3]]))</f>
        <v/>
      </c>
      <c r="P94" s="14" t="str">
        <f ca="1">IF(entities[[#This Row],[1]]="","",
VLOOKUP(entities[[#This Row],[1]],Lookup!$B$5:$D$9,3,FALSE)  &amp;  INDEX(entities[[#This Row],[hidden]:[icon]],entities[[#This Row],[1]])
)</f>
        <v/>
      </c>
      <c r="Q94" s="6" t="str">
        <f ca="1">IF(entities[[#This Row],[2]]="","",
VLOOKUP(entities[[#This Row],[2]],Lookup!$B$5:$D$9,3,FALSE)  &amp;  INDEX(entities[[#This Row],[hidden]:[icon]],entities[[#This Row],[2]])
)</f>
        <v/>
      </c>
      <c r="R94" s="6" t="str">
        <f ca="1">IF(entities[[#This Row],[3]]="","",
VLOOKUP(entities[[#This Row],[3]],Lookup!$B$5:$D$9,3,FALSE)  &amp;  INDEX(entities[[#This Row],[hidden]:[icon]],entities[[#This Row],[3]])
)</f>
        <v/>
      </c>
      <c r="S94" s="6" t="str">
        <f ca="1">IF(entities[[#This Row],[4]]="","",
VLOOKUP(entities[[#This Row],[4]],Lookup!$B$5:$D$9,3,FALSE)  &amp;  INDEX(entities[[#This Row],[hidden]:[icon]],entities[[#This Row],[4]])
)</f>
        <v/>
      </c>
      <c r="T94" s="6" t="str">
        <f t="array" ref="T94">IFERROR(INDEX(cards[object_id],SMALL(IF(cards[[1]:[25]]=entities[[#This Row],[entity_id]],ROW(cards[])-7,99^99),1)),"")</f>
        <v/>
      </c>
      <c r="U94" s="6" t="str">
        <f>IF(entities[[#This Row],[In HA?]]&lt;&gt;"ok",  "Not in Home Assistant",
IF(entities[[#This Row],[hidden]]="true",  "Hidden",
IF(entities[[#This Row],[Card]]&lt;&gt;"",
INDEX(cards[name],MATCH(entities[[#This Row],[Card]],cards[object_id],0)),  "Badge / automatic card")))</f>
        <v>Badge / automatic card</v>
      </c>
      <c r="V94" s="6" t="str">
        <f>IF(entities[[#This Row],[Card]]&lt;&gt;"","group."&amp;entities[[#This Row],[Card]],"")</f>
        <v/>
      </c>
      <c r="W94" s="6" t="str">
        <f t="array" ref="W94">IFERROR(IF(entities[[#This Row],[Assigned Card]]="","",INDEX(views[object_id],SMALL(IF(views[[1]:[25]]=entities[[#This Row],[Assigned Card]],ROW(views[])-7,99^99),1))),"")</f>
        <v/>
      </c>
      <c r="X94" s="6" t="str">
        <f t="array" ref="X94">IFERROR(INDEX(views[object_id],SMALL(IF(views[[1]:[25]]=entities[[#This Row],[entity_id]],ROW(views[])-7,99^99),1)),"")</f>
        <v/>
      </c>
      <c r="Y94" s="6" t="str">
        <f>IF(entities[[#This Row],[View from card]]&lt;&gt;"",entities[[#This Row],[View from card]],entities[[#This Row],[View from entitiy]])</f>
        <v/>
      </c>
      <c r="Z94" s="6" t="str">
        <f>IF(entities[[#This Row],[In HA?]]&lt;&gt;"ok",  "Not in Home Assistant",
IF(entities[[#This Row],[hidden]]="true",  "Hidden",
IF(entities[[#This Row],[View]]&lt;&gt;"",
INDEX(views[name],MATCH(entities[[#This Row],[View]],views[object_id],0)),  "Default view")))</f>
        <v>Default view</v>
      </c>
      <c r="AA94" s="6" t="str">
        <f>IF(entities[[#This Row],[View]]&lt;&gt;"","group."&amp;entities[[#This Row],[View]],"")</f>
        <v/>
      </c>
      <c r="AB94" s="6" t="str">
        <f>IF(COUNTIF(Table4[Entity],entities[[#This Row],[entity_id]]),"ok","Missing from States tab")</f>
        <v>ok</v>
      </c>
      <c r="AF94"/>
    </row>
    <row r="95" spans="2:32" x14ac:dyDescent="0.45">
      <c r="B95" t="s">
        <v>810</v>
      </c>
      <c r="C95" t="s">
        <v>758</v>
      </c>
      <c r="I95" s="6" t="str">
        <f>entities[[#This Row],[domain]]&amp;"."&amp;entities[[#This Row],[object_id]]</f>
        <v>group.misc_devices</v>
      </c>
      <c r="J95" s="6">
        <f>5-COUNTBLANK(entities[[#This Row],[hidden]:[icon]])</f>
        <v>0</v>
      </c>
      <c r="K95" s="6" t="str">
        <f>IF(entities[[#This Row],[Custom Attributes]]=0,"",
COUNTIFS(entities[Custom Attributes],"&gt;0",entities[entity_id],"&lt;="&amp;entities[[#This Row],[entity_id]]))</f>
        <v/>
      </c>
      <c r="L95" s="6" t="str">
        <f t="array" aca="1" ref="L95" ca="1">IF(entities[[#This Row],[Custom Attributes]]&lt;1,"",
MATCH(FALSE, ISBLANK(OFFSET(entities[[#This Row],[hidden]],0,0,1,5)), 0))</f>
        <v/>
      </c>
      <c r="M95" s="6" t="str">
        <f t="array" aca="1" ref="M95" ca="1">IF(entities[[#This Row],[Custom Attributes]]&lt;2,"",
IF(entities[[#This Row],[1]]=5-1,5,
MATCH(FALSE, ISBLANK(OFFSET(entities[[#This Row],[hidden]],0,entities[[#This Row],[1]],1,5-entities[[#This Row],[1]])), 0)+entities[[#This Row],[1]]))</f>
        <v/>
      </c>
      <c r="N95" s="6" t="str">
        <f t="array" aca="1" ref="N95" ca="1">IF(entities[[#This Row],[Custom Attributes]]&lt;3,"",
IF(entities[[#This Row],[2]]=5-1,5,
MATCH(FALSE, ISBLANK(OFFSET(entities[[#This Row],[hidden]],0,entities[[#This Row],[2]],1,5-entities[[#This Row],[2]])), 0)+entities[[#This Row],[2]]))</f>
        <v/>
      </c>
      <c r="O95" s="6" t="str">
        <f t="array" aca="1" ref="O95" ca="1">IF(entities[[#This Row],[Custom Attributes]]&lt;4,"",
IF(entities[[#This Row],[3]]=5-1,5,
MATCH(FALSE, ISBLANK(OFFSET(entities[[#This Row],[hidden]],0,entities[[#This Row],[3]],1,5-entities[[#This Row],[3]])), 0)+entities[[#This Row],[3]]))</f>
        <v/>
      </c>
      <c r="P95" s="14" t="str">
        <f ca="1">IF(entities[[#This Row],[1]]="","",
VLOOKUP(entities[[#This Row],[1]],Lookup!$B$5:$D$9,3,FALSE)  &amp;  INDEX(entities[[#This Row],[hidden]:[icon]],entities[[#This Row],[1]])
)</f>
        <v/>
      </c>
      <c r="Q95" s="6" t="str">
        <f ca="1">IF(entities[[#This Row],[2]]="","",
VLOOKUP(entities[[#This Row],[2]],Lookup!$B$5:$D$9,3,FALSE)  &amp;  INDEX(entities[[#This Row],[hidden]:[icon]],entities[[#This Row],[2]])
)</f>
        <v/>
      </c>
      <c r="R95" s="6" t="str">
        <f ca="1">IF(entities[[#This Row],[3]]="","",
VLOOKUP(entities[[#This Row],[3]],Lookup!$B$5:$D$9,3,FALSE)  &amp;  INDEX(entities[[#This Row],[hidden]:[icon]],entities[[#This Row],[3]])
)</f>
        <v/>
      </c>
      <c r="S95" s="6" t="str">
        <f ca="1">IF(entities[[#This Row],[4]]="","",
VLOOKUP(entities[[#This Row],[4]],Lookup!$B$5:$D$9,3,FALSE)  &amp;  INDEX(entities[[#This Row],[hidden]:[icon]],entities[[#This Row],[4]])
)</f>
        <v/>
      </c>
      <c r="T95" s="6" t="str">
        <f t="array" ref="T95">IFERROR(INDEX(cards[object_id],SMALL(IF(cards[[1]:[25]]=entities[[#This Row],[entity_id]],ROW(cards[])-7,99^99),1)),"")</f>
        <v/>
      </c>
      <c r="U95" s="6" t="str">
        <f>IF(entities[[#This Row],[In HA?]]&lt;&gt;"ok",  "Not in Home Assistant",
IF(entities[[#This Row],[hidden]]="true",  "Hidden",
IF(entities[[#This Row],[Card]]&lt;&gt;"",
INDEX(cards[name],MATCH(entities[[#This Row],[Card]],cards[object_id],0)),  "Badge / automatic card")))</f>
        <v>Badge / automatic card</v>
      </c>
      <c r="V95" s="6" t="str">
        <f>IF(entities[[#This Row],[Card]]&lt;&gt;"","group."&amp;entities[[#This Row],[Card]],"")</f>
        <v/>
      </c>
      <c r="W95" s="6" t="str">
        <f t="array" ref="W95">IFERROR(IF(entities[[#This Row],[Assigned Card]]="","",INDEX(views[object_id],SMALL(IF(views[[1]:[25]]=entities[[#This Row],[Assigned Card]],ROW(views[])-7,99^99),1))),"")</f>
        <v/>
      </c>
      <c r="X95" s="6" t="str">
        <f t="array" ref="X95">IFERROR(INDEX(views[object_id],SMALL(IF(views[[1]:[25]]=entities[[#This Row],[entity_id]],ROW(views[])-7,99^99),1)),"")</f>
        <v/>
      </c>
      <c r="Y95" s="6" t="str">
        <f>IF(entities[[#This Row],[View from card]]&lt;&gt;"",entities[[#This Row],[View from card]],entities[[#This Row],[View from entitiy]])</f>
        <v/>
      </c>
      <c r="Z95" s="6" t="str">
        <f>IF(entities[[#This Row],[In HA?]]&lt;&gt;"ok",  "Not in Home Assistant",
IF(entities[[#This Row],[hidden]]="true",  "Hidden",
IF(entities[[#This Row],[View]]&lt;&gt;"",
INDEX(views[name],MATCH(entities[[#This Row],[View]],views[object_id],0)),  "Default view")))</f>
        <v>Default view</v>
      </c>
      <c r="AA95" s="6" t="str">
        <f>IF(entities[[#This Row],[View]]&lt;&gt;"","group."&amp;entities[[#This Row],[View]],"")</f>
        <v/>
      </c>
      <c r="AB95" s="6" t="str">
        <f>IF(COUNTIF(Table4[Entity],entities[[#This Row],[entity_id]]),"ok","Missing from States tab")</f>
        <v>ok</v>
      </c>
      <c r="AF95"/>
    </row>
    <row r="96" spans="2:32" x14ac:dyDescent="0.45">
      <c r="B96" t="s">
        <v>810</v>
      </c>
      <c r="C96" t="s">
        <v>659</v>
      </c>
      <c r="I96" s="6" t="str">
        <f>entities[[#This Row],[domain]]&amp;"."&amp;entities[[#This Row],[object_id]]</f>
        <v>group.network</v>
      </c>
      <c r="J96" s="6">
        <f>5-COUNTBLANK(entities[[#This Row],[hidden]:[icon]])</f>
        <v>0</v>
      </c>
      <c r="K96" s="6" t="str">
        <f>IF(entities[[#This Row],[Custom Attributes]]=0,"",
COUNTIFS(entities[Custom Attributes],"&gt;0",entities[entity_id],"&lt;="&amp;entities[[#This Row],[entity_id]]))</f>
        <v/>
      </c>
      <c r="L96" s="6" t="str">
        <f t="array" aca="1" ref="L96" ca="1">IF(entities[[#This Row],[Custom Attributes]]&lt;1,"",
MATCH(FALSE, ISBLANK(OFFSET(entities[[#This Row],[hidden]],0,0,1,5)), 0))</f>
        <v/>
      </c>
      <c r="M96" s="6" t="str">
        <f t="array" aca="1" ref="M96" ca="1">IF(entities[[#This Row],[Custom Attributes]]&lt;2,"",
IF(entities[[#This Row],[1]]=5-1,5,
MATCH(FALSE, ISBLANK(OFFSET(entities[[#This Row],[hidden]],0,entities[[#This Row],[1]],1,5-entities[[#This Row],[1]])), 0)+entities[[#This Row],[1]]))</f>
        <v/>
      </c>
      <c r="N96" s="6" t="str">
        <f t="array" aca="1" ref="N96" ca="1">IF(entities[[#This Row],[Custom Attributes]]&lt;3,"",
IF(entities[[#This Row],[2]]=5-1,5,
MATCH(FALSE, ISBLANK(OFFSET(entities[[#This Row],[hidden]],0,entities[[#This Row],[2]],1,5-entities[[#This Row],[2]])), 0)+entities[[#This Row],[2]]))</f>
        <v/>
      </c>
      <c r="O96" s="6" t="str">
        <f t="array" aca="1" ref="O96" ca="1">IF(entities[[#This Row],[Custom Attributes]]&lt;4,"",
IF(entities[[#This Row],[3]]=5-1,5,
MATCH(FALSE, ISBLANK(OFFSET(entities[[#This Row],[hidden]],0,entities[[#This Row],[3]],1,5-entities[[#This Row],[3]])), 0)+entities[[#This Row],[3]]))</f>
        <v/>
      </c>
      <c r="P96" s="14" t="str">
        <f ca="1">IF(entities[[#This Row],[1]]="","",
VLOOKUP(entities[[#This Row],[1]],Lookup!$B$5:$D$9,3,FALSE)  &amp;  INDEX(entities[[#This Row],[hidden]:[icon]],entities[[#This Row],[1]])
)</f>
        <v/>
      </c>
      <c r="Q96" s="6" t="str">
        <f ca="1">IF(entities[[#This Row],[2]]="","",
VLOOKUP(entities[[#This Row],[2]],Lookup!$B$5:$D$9,3,FALSE)  &amp;  INDEX(entities[[#This Row],[hidden]:[icon]],entities[[#This Row],[2]])
)</f>
        <v/>
      </c>
      <c r="R96" s="6" t="str">
        <f ca="1">IF(entities[[#This Row],[3]]="","",
VLOOKUP(entities[[#This Row],[3]],Lookup!$B$5:$D$9,3,FALSE)  &amp;  INDEX(entities[[#This Row],[hidden]:[icon]],entities[[#This Row],[3]])
)</f>
        <v/>
      </c>
      <c r="S96" s="6" t="str">
        <f ca="1">IF(entities[[#This Row],[4]]="","",
VLOOKUP(entities[[#This Row],[4]],Lookup!$B$5:$D$9,3,FALSE)  &amp;  INDEX(entities[[#This Row],[hidden]:[icon]],entities[[#This Row],[4]])
)</f>
        <v/>
      </c>
      <c r="T96" s="6" t="str">
        <f t="array" ref="T96">IFERROR(INDEX(cards[object_id],SMALL(IF(cards[[1]:[25]]=entities[[#This Row],[entity_id]],ROW(cards[])-7,99^99),1)),"")</f>
        <v/>
      </c>
      <c r="U96" s="6" t="str">
        <f>IF(entities[[#This Row],[In HA?]]&lt;&gt;"ok",  "Not in Home Assistant",
IF(entities[[#This Row],[hidden]]="true",  "Hidden",
IF(entities[[#This Row],[Card]]&lt;&gt;"",
INDEX(cards[name],MATCH(entities[[#This Row],[Card]],cards[object_id],0)),  "Badge / automatic card")))</f>
        <v>Badge / automatic card</v>
      </c>
      <c r="V96" s="6" t="str">
        <f>IF(entities[[#This Row],[Card]]&lt;&gt;"","group."&amp;entities[[#This Row],[Card]],"")</f>
        <v/>
      </c>
      <c r="W96" s="6" t="str">
        <f t="array" ref="W96">IFERROR(IF(entities[[#This Row],[Assigned Card]]="","",INDEX(views[object_id],SMALL(IF(views[[1]:[25]]=entities[[#This Row],[Assigned Card]],ROW(views[])-7,99^99),1))),"")</f>
        <v/>
      </c>
      <c r="X96" s="6" t="str">
        <f t="array" ref="X96">IFERROR(INDEX(views[object_id],SMALL(IF(views[[1]:[25]]=entities[[#This Row],[entity_id]],ROW(views[])-7,99^99),1)),"")</f>
        <v>network_view</v>
      </c>
      <c r="Y96" s="6" t="str">
        <f>IF(entities[[#This Row],[View from card]]&lt;&gt;"",entities[[#This Row],[View from card]],entities[[#This Row],[View from entitiy]])</f>
        <v>network_view</v>
      </c>
      <c r="Z96" s="6" t="str">
        <f>IF(entities[[#This Row],[In HA?]]&lt;&gt;"ok",  "Not in Home Assistant",
IF(entities[[#This Row],[hidden]]="true",  "Hidden",
IF(entities[[#This Row],[View]]&lt;&gt;"",
INDEX(views[name],MATCH(entities[[#This Row],[View]],views[object_id],0)),  "Default view")))</f>
        <v>Network</v>
      </c>
      <c r="AA96" s="6" t="str">
        <f>IF(entities[[#This Row],[View]]&lt;&gt;"","group."&amp;entities[[#This Row],[View]],"")</f>
        <v>group.network_view</v>
      </c>
      <c r="AB96" s="6" t="str">
        <f>IF(COUNTIF(Table4[Entity],entities[[#This Row],[entity_id]]),"ok","Missing from States tab")</f>
        <v>ok</v>
      </c>
      <c r="AF96"/>
    </row>
    <row r="97" spans="2:32" x14ac:dyDescent="0.45">
      <c r="B97" t="s">
        <v>810</v>
      </c>
      <c r="C97" t="s">
        <v>410</v>
      </c>
      <c r="I97" s="6" t="str">
        <f>entities[[#This Row],[domain]]&amp;"."&amp;entities[[#This Row],[object_id]]</f>
        <v>group.network_view</v>
      </c>
      <c r="J97" s="6">
        <f>5-COUNTBLANK(entities[[#This Row],[hidden]:[icon]])</f>
        <v>0</v>
      </c>
      <c r="K97" s="6" t="str">
        <f>IF(entities[[#This Row],[Custom Attributes]]=0,"",
COUNTIFS(entities[Custom Attributes],"&gt;0",entities[entity_id],"&lt;="&amp;entities[[#This Row],[entity_id]]))</f>
        <v/>
      </c>
      <c r="L97" s="6" t="str">
        <f t="array" aca="1" ref="L97" ca="1">IF(entities[[#This Row],[Custom Attributes]]&lt;1,"",
MATCH(FALSE, ISBLANK(OFFSET(entities[[#This Row],[hidden]],0,0,1,5)), 0))</f>
        <v/>
      </c>
      <c r="M97" s="6" t="str">
        <f t="array" aca="1" ref="M97" ca="1">IF(entities[[#This Row],[Custom Attributes]]&lt;2,"",
IF(entities[[#This Row],[1]]=5-1,5,
MATCH(FALSE, ISBLANK(OFFSET(entities[[#This Row],[hidden]],0,entities[[#This Row],[1]],1,5-entities[[#This Row],[1]])), 0)+entities[[#This Row],[1]]))</f>
        <v/>
      </c>
      <c r="N97" s="6" t="str">
        <f t="array" aca="1" ref="N97" ca="1">IF(entities[[#This Row],[Custom Attributes]]&lt;3,"",
IF(entities[[#This Row],[2]]=5-1,5,
MATCH(FALSE, ISBLANK(OFFSET(entities[[#This Row],[hidden]],0,entities[[#This Row],[2]],1,5-entities[[#This Row],[2]])), 0)+entities[[#This Row],[2]]))</f>
        <v/>
      </c>
      <c r="O97" s="6" t="str">
        <f t="array" aca="1" ref="O97" ca="1">IF(entities[[#This Row],[Custom Attributes]]&lt;4,"",
IF(entities[[#This Row],[3]]=5-1,5,
MATCH(FALSE, ISBLANK(OFFSET(entities[[#This Row],[hidden]],0,entities[[#This Row],[3]],1,5-entities[[#This Row],[3]])), 0)+entities[[#This Row],[3]]))</f>
        <v/>
      </c>
      <c r="P97" s="14" t="str">
        <f ca="1">IF(entities[[#This Row],[1]]="","",
VLOOKUP(entities[[#This Row],[1]],Lookup!$B$5:$D$9,3,FALSE)  &amp;  INDEX(entities[[#This Row],[hidden]:[icon]],entities[[#This Row],[1]])
)</f>
        <v/>
      </c>
      <c r="Q97" s="6" t="str">
        <f ca="1">IF(entities[[#This Row],[2]]="","",
VLOOKUP(entities[[#This Row],[2]],Lookup!$B$5:$D$9,3,FALSE)  &amp;  INDEX(entities[[#This Row],[hidden]:[icon]],entities[[#This Row],[2]])
)</f>
        <v/>
      </c>
      <c r="R97" s="6" t="str">
        <f ca="1">IF(entities[[#This Row],[3]]="","",
VLOOKUP(entities[[#This Row],[3]],Lookup!$B$5:$D$9,3,FALSE)  &amp;  INDEX(entities[[#This Row],[hidden]:[icon]],entities[[#This Row],[3]])
)</f>
        <v/>
      </c>
      <c r="S97" s="6" t="str">
        <f ca="1">IF(entities[[#This Row],[4]]="","",
VLOOKUP(entities[[#This Row],[4]],Lookup!$B$5:$D$9,3,FALSE)  &amp;  INDEX(entities[[#This Row],[hidden]:[icon]],entities[[#This Row],[4]])
)</f>
        <v/>
      </c>
      <c r="T97" s="6" t="str">
        <f t="array" ref="T97">IFERROR(INDEX(cards[object_id],SMALL(IF(cards[[1]:[25]]=entities[[#This Row],[entity_id]],ROW(cards[])-7,99^99),1)),"")</f>
        <v/>
      </c>
      <c r="U97" s="6" t="str">
        <f>IF(entities[[#This Row],[In HA?]]&lt;&gt;"ok",  "Not in Home Assistant",
IF(entities[[#This Row],[hidden]]="true",  "Hidden",
IF(entities[[#This Row],[Card]]&lt;&gt;"",
INDEX(cards[name],MATCH(entities[[#This Row],[Card]],cards[object_id],0)),  "Badge / automatic card")))</f>
        <v>Badge / automatic card</v>
      </c>
      <c r="V97" s="6" t="str">
        <f>IF(entities[[#This Row],[Card]]&lt;&gt;"","group."&amp;entities[[#This Row],[Card]],"")</f>
        <v/>
      </c>
      <c r="W97" s="6" t="str">
        <f t="array" ref="W97">IFERROR(IF(entities[[#This Row],[Assigned Card]]="","",INDEX(views[object_id],SMALL(IF(views[[1]:[25]]=entities[[#This Row],[Assigned Card]],ROW(views[])-7,99^99),1))),"")</f>
        <v/>
      </c>
      <c r="X97" s="6" t="str">
        <f t="array" ref="X97">IFERROR(INDEX(views[object_id],SMALL(IF(views[[1]:[25]]=entities[[#This Row],[entity_id]],ROW(views[])-7,99^99),1)),"")</f>
        <v/>
      </c>
      <c r="Y97" s="6" t="str">
        <f>IF(entities[[#This Row],[View from card]]&lt;&gt;"",entities[[#This Row],[View from card]],entities[[#This Row],[View from entitiy]])</f>
        <v/>
      </c>
      <c r="Z97" s="6" t="str">
        <f>IF(entities[[#This Row],[In HA?]]&lt;&gt;"ok",  "Not in Home Assistant",
IF(entities[[#This Row],[hidden]]="true",  "Hidden",
IF(entities[[#This Row],[View]]&lt;&gt;"",
INDEX(views[name],MATCH(entities[[#This Row],[View]],views[object_id],0)),  "Default view")))</f>
        <v>Default view</v>
      </c>
      <c r="AA97" s="6" t="str">
        <f>IF(entities[[#This Row],[View]]&lt;&gt;"","group."&amp;entities[[#This Row],[View]],"")</f>
        <v/>
      </c>
      <c r="AB97" s="6" t="str">
        <f>IF(COUNTIF(Table4[Entity],entities[[#This Row],[entity_id]]),"ok","Missing from States tab")</f>
        <v>ok</v>
      </c>
      <c r="AF97"/>
    </row>
    <row r="98" spans="2:32" x14ac:dyDescent="0.45">
      <c r="B98" t="s">
        <v>810</v>
      </c>
      <c r="C98" t="s">
        <v>661</v>
      </c>
      <c r="I98" s="6" t="str">
        <f>entities[[#This Row],[domain]]&amp;"."&amp;entities[[#This Row],[object_id]]</f>
        <v>group.personal_devices</v>
      </c>
      <c r="J98" s="6">
        <f>5-COUNTBLANK(entities[[#This Row],[hidden]:[icon]])</f>
        <v>0</v>
      </c>
      <c r="K98" s="6" t="str">
        <f>IF(entities[[#This Row],[Custom Attributes]]=0,"",
COUNTIFS(entities[Custom Attributes],"&gt;0",entities[entity_id],"&lt;="&amp;entities[[#This Row],[entity_id]]))</f>
        <v/>
      </c>
      <c r="L98" s="6" t="str">
        <f t="array" aca="1" ref="L98" ca="1">IF(entities[[#This Row],[Custom Attributes]]&lt;1,"",
MATCH(FALSE, ISBLANK(OFFSET(entities[[#This Row],[hidden]],0,0,1,5)), 0))</f>
        <v/>
      </c>
      <c r="M98" s="6" t="str">
        <f t="array" aca="1" ref="M98" ca="1">IF(entities[[#This Row],[Custom Attributes]]&lt;2,"",
IF(entities[[#This Row],[1]]=5-1,5,
MATCH(FALSE, ISBLANK(OFFSET(entities[[#This Row],[hidden]],0,entities[[#This Row],[1]],1,5-entities[[#This Row],[1]])), 0)+entities[[#This Row],[1]]))</f>
        <v/>
      </c>
      <c r="N98" s="6" t="str">
        <f t="array" aca="1" ref="N98" ca="1">IF(entities[[#This Row],[Custom Attributes]]&lt;3,"",
IF(entities[[#This Row],[2]]=5-1,5,
MATCH(FALSE, ISBLANK(OFFSET(entities[[#This Row],[hidden]],0,entities[[#This Row],[2]],1,5-entities[[#This Row],[2]])), 0)+entities[[#This Row],[2]]))</f>
        <v/>
      </c>
      <c r="O98" s="6" t="str">
        <f t="array" aca="1" ref="O98" ca="1">IF(entities[[#This Row],[Custom Attributes]]&lt;4,"",
IF(entities[[#This Row],[3]]=5-1,5,
MATCH(FALSE, ISBLANK(OFFSET(entities[[#This Row],[hidden]],0,entities[[#This Row],[3]],1,5-entities[[#This Row],[3]])), 0)+entities[[#This Row],[3]]))</f>
        <v/>
      </c>
      <c r="P98" s="14" t="str">
        <f ca="1">IF(entities[[#This Row],[1]]="","",
VLOOKUP(entities[[#This Row],[1]],Lookup!$B$5:$D$9,3,FALSE)  &amp;  INDEX(entities[[#This Row],[hidden]:[icon]],entities[[#This Row],[1]])
)</f>
        <v/>
      </c>
      <c r="Q98" s="6" t="str">
        <f ca="1">IF(entities[[#This Row],[2]]="","",
VLOOKUP(entities[[#This Row],[2]],Lookup!$B$5:$D$9,3,FALSE)  &amp;  INDEX(entities[[#This Row],[hidden]:[icon]],entities[[#This Row],[2]])
)</f>
        <v/>
      </c>
      <c r="R98" s="6" t="str">
        <f ca="1">IF(entities[[#This Row],[3]]="","",
VLOOKUP(entities[[#This Row],[3]],Lookup!$B$5:$D$9,3,FALSE)  &amp;  INDEX(entities[[#This Row],[hidden]:[icon]],entities[[#This Row],[3]])
)</f>
        <v/>
      </c>
      <c r="S98" s="6" t="str">
        <f ca="1">IF(entities[[#This Row],[4]]="","",
VLOOKUP(entities[[#This Row],[4]],Lookup!$B$5:$D$9,3,FALSE)  &amp;  INDEX(entities[[#This Row],[hidden]:[icon]],entities[[#This Row],[4]])
)</f>
        <v/>
      </c>
      <c r="T98" s="6" t="str">
        <f t="array" ref="T98">IFERROR(INDEX(cards[object_id],SMALL(IF(cards[[1]:[25]]=entities[[#This Row],[entity_id]],ROW(cards[])-7,99^99),1)),"")</f>
        <v/>
      </c>
      <c r="U98" s="6" t="str">
        <f>IF(entities[[#This Row],[In HA?]]&lt;&gt;"ok",  "Not in Home Assistant",
IF(entities[[#This Row],[hidden]]="true",  "Hidden",
IF(entities[[#This Row],[Card]]&lt;&gt;"",
INDEX(cards[name],MATCH(entities[[#This Row],[Card]],cards[object_id],0)),  "Badge / automatic card")))</f>
        <v>Badge / automatic card</v>
      </c>
      <c r="V98" s="6" t="str">
        <f>IF(entities[[#This Row],[Card]]&lt;&gt;"","group."&amp;entities[[#This Row],[Card]],"")</f>
        <v/>
      </c>
      <c r="W98" s="6" t="str">
        <f t="array" ref="W98">IFERROR(IF(entities[[#This Row],[Assigned Card]]="","",INDEX(views[object_id],SMALL(IF(views[[1]:[25]]=entities[[#This Row],[Assigned Card]],ROW(views[])-7,99^99),1))),"")</f>
        <v/>
      </c>
      <c r="X98" s="6" t="str">
        <f t="array" ref="X98">IFERROR(INDEX(views[object_id],SMALL(IF(views[[1]:[25]]=entities[[#This Row],[entity_id]],ROW(views[])-7,99^99),1)),"")</f>
        <v>network_view</v>
      </c>
      <c r="Y98" s="6" t="str">
        <f>IF(entities[[#This Row],[View from card]]&lt;&gt;"",entities[[#This Row],[View from card]],entities[[#This Row],[View from entitiy]])</f>
        <v>network_view</v>
      </c>
      <c r="Z98" s="6" t="str">
        <f>IF(entities[[#This Row],[In HA?]]&lt;&gt;"ok",  "Not in Home Assistant",
IF(entities[[#This Row],[hidden]]="true",  "Hidden",
IF(entities[[#This Row],[View]]&lt;&gt;"",
INDEX(views[name],MATCH(entities[[#This Row],[View]],views[object_id],0)),  "Default view")))</f>
        <v>Network</v>
      </c>
      <c r="AA98" s="6" t="str">
        <f>IF(entities[[#This Row],[View]]&lt;&gt;"","group."&amp;entities[[#This Row],[View]],"")</f>
        <v>group.network_view</v>
      </c>
      <c r="AB98" s="6" t="str">
        <f>IF(COUNTIF(Table4[Entity],entities[[#This Row],[entity_id]]),"ok","Missing from States tab")</f>
        <v>ok</v>
      </c>
      <c r="AF98"/>
    </row>
    <row r="99" spans="2:32" x14ac:dyDescent="0.45">
      <c r="B99" t="s">
        <v>810</v>
      </c>
      <c r="C99" t="s">
        <v>660</v>
      </c>
      <c r="I99" s="6" t="str">
        <f>entities[[#This Row],[domain]]&amp;"."&amp;entities[[#This Row],[object_id]]</f>
        <v>group.phones</v>
      </c>
      <c r="J99" s="6">
        <f>5-COUNTBLANK(entities[[#This Row],[hidden]:[icon]])</f>
        <v>0</v>
      </c>
      <c r="K99" s="6" t="str">
        <f>IF(entities[[#This Row],[Custom Attributes]]=0,"",
COUNTIFS(entities[Custom Attributes],"&gt;0",entities[entity_id],"&lt;="&amp;entities[[#This Row],[entity_id]]))</f>
        <v/>
      </c>
      <c r="L99" s="6" t="str">
        <f t="array" aca="1" ref="L99" ca="1">IF(entities[[#This Row],[Custom Attributes]]&lt;1,"",
MATCH(FALSE, ISBLANK(OFFSET(entities[[#This Row],[hidden]],0,0,1,5)), 0))</f>
        <v/>
      </c>
      <c r="M99" s="6" t="str">
        <f t="array" aca="1" ref="M99" ca="1">IF(entities[[#This Row],[Custom Attributes]]&lt;2,"",
IF(entities[[#This Row],[1]]=5-1,5,
MATCH(FALSE, ISBLANK(OFFSET(entities[[#This Row],[hidden]],0,entities[[#This Row],[1]],1,5-entities[[#This Row],[1]])), 0)+entities[[#This Row],[1]]))</f>
        <v/>
      </c>
      <c r="N99" s="6" t="str">
        <f t="array" aca="1" ref="N99" ca="1">IF(entities[[#This Row],[Custom Attributes]]&lt;3,"",
IF(entities[[#This Row],[2]]=5-1,5,
MATCH(FALSE, ISBLANK(OFFSET(entities[[#This Row],[hidden]],0,entities[[#This Row],[2]],1,5-entities[[#This Row],[2]])), 0)+entities[[#This Row],[2]]))</f>
        <v/>
      </c>
      <c r="O99" s="6" t="str">
        <f t="array" aca="1" ref="O99" ca="1">IF(entities[[#This Row],[Custom Attributes]]&lt;4,"",
IF(entities[[#This Row],[3]]=5-1,5,
MATCH(FALSE, ISBLANK(OFFSET(entities[[#This Row],[hidden]],0,entities[[#This Row],[3]],1,5-entities[[#This Row],[3]])), 0)+entities[[#This Row],[3]]))</f>
        <v/>
      </c>
      <c r="P99" s="14" t="str">
        <f ca="1">IF(entities[[#This Row],[1]]="","",
VLOOKUP(entities[[#This Row],[1]],Lookup!$B$5:$D$9,3,FALSE)  &amp;  INDEX(entities[[#This Row],[hidden]:[icon]],entities[[#This Row],[1]])
)</f>
        <v/>
      </c>
      <c r="Q99" s="6" t="str">
        <f ca="1">IF(entities[[#This Row],[2]]="","",
VLOOKUP(entities[[#This Row],[2]],Lookup!$B$5:$D$9,3,FALSE)  &amp;  INDEX(entities[[#This Row],[hidden]:[icon]],entities[[#This Row],[2]])
)</f>
        <v/>
      </c>
      <c r="R99" s="6" t="str">
        <f ca="1">IF(entities[[#This Row],[3]]="","",
VLOOKUP(entities[[#This Row],[3]],Lookup!$B$5:$D$9,3,FALSE)  &amp;  INDEX(entities[[#This Row],[hidden]:[icon]],entities[[#This Row],[3]])
)</f>
        <v/>
      </c>
      <c r="S99" s="6" t="str">
        <f ca="1">IF(entities[[#This Row],[4]]="","",
VLOOKUP(entities[[#This Row],[4]],Lookup!$B$5:$D$9,3,FALSE)  &amp;  INDEX(entities[[#This Row],[hidden]:[icon]],entities[[#This Row],[4]])
)</f>
        <v/>
      </c>
      <c r="T99" s="6" t="str">
        <f t="array" ref="T99">IFERROR(INDEX(cards[object_id],SMALL(IF(cards[[1]:[25]]=entities[[#This Row],[entity_id]],ROW(cards[])-7,99^99),1)),"")</f>
        <v/>
      </c>
      <c r="U99" s="6" t="str">
        <f>IF(entities[[#This Row],[In HA?]]&lt;&gt;"ok",  "Not in Home Assistant",
IF(entities[[#This Row],[hidden]]="true",  "Hidden",
IF(entities[[#This Row],[Card]]&lt;&gt;"",
INDEX(cards[name],MATCH(entities[[#This Row],[Card]],cards[object_id],0)),  "Badge / automatic card")))</f>
        <v>Badge / automatic card</v>
      </c>
      <c r="V99" s="6" t="str">
        <f>IF(entities[[#This Row],[Card]]&lt;&gt;"","group."&amp;entities[[#This Row],[Card]],"")</f>
        <v/>
      </c>
      <c r="W99" s="6" t="str">
        <f t="array" ref="W99">IFERROR(IF(entities[[#This Row],[Assigned Card]]="","",INDEX(views[object_id],SMALL(IF(views[[1]:[25]]=entities[[#This Row],[Assigned Card]],ROW(views[])-7,99^99),1))),"")</f>
        <v/>
      </c>
      <c r="X99" s="6" t="str">
        <f t="array" ref="X99">IFERROR(INDEX(views[object_id],SMALL(IF(views[[1]:[25]]=entities[[#This Row],[entity_id]],ROW(views[])-7,99^99),1)),"")</f>
        <v>network_view</v>
      </c>
      <c r="Y99" s="6" t="str">
        <f>IF(entities[[#This Row],[View from card]]&lt;&gt;"",entities[[#This Row],[View from card]],entities[[#This Row],[View from entitiy]])</f>
        <v>network_view</v>
      </c>
      <c r="Z99" s="6" t="str">
        <f>IF(entities[[#This Row],[In HA?]]&lt;&gt;"ok",  "Not in Home Assistant",
IF(entities[[#This Row],[hidden]]="true",  "Hidden",
IF(entities[[#This Row],[View]]&lt;&gt;"",
INDEX(views[name],MATCH(entities[[#This Row],[View]],views[object_id],0)),  "Default view")))</f>
        <v>Network</v>
      </c>
      <c r="AA99" s="6" t="str">
        <f>IF(entities[[#This Row],[View]]&lt;&gt;"","group."&amp;entities[[#This Row],[View]],"")</f>
        <v>group.network_view</v>
      </c>
      <c r="AB99" s="6" t="str">
        <f>IF(COUNTIF(Table4[Entity],entities[[#This Row],[entity_id]]),"ok","Missing from States tab")</f>
        <v>ok</v>
      </c>
      <c r="AF99"/>
    </row>
    <row r="100" spans="2:32" x14ac:dyDescent="0.45">
      <c r="B100" t="s">
        <v>810</v>
      </c>
      <c r="C100" t="s">
        <v>658</v>
      </c>
      <c r="I100" s="6" t="str">
        <f>entities[[#This Row],[domain]]&amp;"."&amp;entities[[#This Row],[object_id]]</f>
        <v>group.status</v>
      </c>
      <c r="J100" s="6">
        <f>5-COUNTBLANK(entities[[#This Row],[hidden]:[icon]])</f>
        <v>0</v>
      </c>
      <c r="K100" s="6" t="str">
        <f>IF(entities[[#This Row],[Custom Attributes]]=0,"",
COUNTIFS(entities[Custom Attributes],"&gt;0",entities[entity_id],"&lt;="&amp;entities[[#This Row],[entity_id]]))</f>
        <v/>
      </c>
      <c r="L100" s="6" t="str">
        <f t="array" aca="1" ref="L100" ca="1">IF(entities[[#This Row],[Custom Attributes]]&lt;1,"",
MATCH(FALSE, ISBLANK(OFFSET(entities[[#This Row],[hidden]],0,0,1,5)), 0))</f>
        <v/>
      </c>
      <c r="M100" s="6" t="str">
        <f t="array" aca="1" ref="M100" ca="1">IF(entities[[#This Row],[Custom Attributes]]&lt;2,"",
IF(entities[[#This Row],[1]]=5-1,5,
MATCH(FALSE, ISBLANK(OFFSET(entities[[#This Row],[hidden]],0,entities[[#This Row],[1]],1,5-entities[[#This Row],[1]])), 0)+entities[[#This Row],[1]]))</f>
        <v/>
      </c>
      <c r="N100" s="6" t="str">
        <f t="array" aca="1" ref="N100" ca="1">IF(entities[[#This Row],[Custom Attributes]]&lt;3,"",
IF(entities[[#This Row],[2]]=5-1,5,
MATCH(FALSE, ISBLANK(OFFSET(entities[[#This Row],[hidden]],0,entities[[#This Row],[2]],1,5-entities[[#This Row],[2]])), 0)+entities[[#This Row],[2]]))</f>
        <v/>
      </c>
      <c r="O100" s="6" t="str">
        <f t="array" aca="1" ref="O100" ca="1">IF(entities[[#This Row],[Custom Attributes]]&lt;4,"",
IF(entities[[#This Row],[3]]=5-1,5,
MATCH(FALSE, ISBLANK(OFFSET(entities[[#This Row],[hidden]],0,entities[[#This Row],[3]],1,5-entities[[#This Row],[3]])), 0)+entities[[#This Row],[3]]))</f>
        <v/>
      </c>
      <c r="P100" s="14" t="str">
        <f ca="1">IF(entities[[#This Row],[1]]="","",
VLOOKUP(entities[[#This Row],[1]],Lookup!$B$5:$D$9,3,FALSE)  &amp;  INDEX(entities[[#This Row],[hidden]:[icon]],entities[[#This Row],[1]])
)</f>
        <v/>
      </c>
      <c r="Q100" s="6" t="str">
        <f ca="1">IF(entities[[#This Row],[2]]="","",
VLOOKUP(entities[[#This Row],[2]],Lookup!$B$5:$D$9,3,FALSE)  &amp;  INDEX(entities[[#This Row],[hidden]:[icon]],entities[[#This Row],[2]])
)</f>
        <v/>
      </c>
      <c r="R100" s="6" t="str">
        <f ca="1">IF(entities[[#This Row],[3]]="","",
VLOOKUP(entities[[#This Row],[3]],Lookup!$B$5:$D$9,3,FALSE)  &amp;  INDEX(entities[[#This Row],[hidden]:[icon]],entities[[#This Row],[3]])
)</f>
        <v/>
      </c>
      <c r="S100" s="6" t="str">
        <f ca="1">IF(entities[[#This Row],[4]]="","",
VLOOKUP(entities[[#This Row],[4]],Lookup!$B$5:$D$9,3,FALSE)  &amp;  INDEX(entities[[#This Row],[hidden]:[icon]],entities[[#This Row],[4]])
)</f>
        <v/>
      </c>
      <c r="T100" s="6" t="str">
        <f t="array" ref="T100">IFERROR(INDEX(cards[object_id],SMALL(IF(cards[[1]:[25]]=entities[[#This Row],[entity_id]],ROW(cards[])-7,99^99),1)),"")</f>
        <v/>
      </c>
      <c r="U100" s="6" t="str">
        <f>IF(entities[[#This Row],[In HA?]]&lt;&gt;"ok",  "Not in Home Assistant",
IF(entities[[#This Row],[hidden]]="true",  "Hidden",
IF(entities[[#This Row],[Card]]&lt;&gt;"",
INDEX(cards[name],MATCH(entities[[#This Row],[Card]],cards[object_id],0)),  "Badge / automatic card")))</f>
        <v>Badge / automatic card</v>
      </c>
      <c r="V100" s="6" t="str">
        <f>IF(entities[[#This Row],[Card]]&lt;&gt;"","group."&amp;entities[[#This Row],[Card]],"")</f>
        <v/>
      </c>
      <c r="W100" s="6" t="str">
        <f t="array" ref="W100">IFERROR(IF(entities[[#This Row],[Assigned Card]]="","",INDEX(views[object_id],SMALL(IF(views[[1]:[25]]=entities[[#This Row],[Assigned Card]],ROW(views[])-7,99^99),1))),"")</f>
        <v/>
      </c>
      <c r="X100" s="6" t="str">
        <f t="array" ref="X100">IFERROR(INDEX(views[object_id],SMALL(IF(views[[1]:[25]]=entities[[#This Row],[entity_id]],ROW(views[])-7,99^99),1)),"")</f>
        <v>default_view</v>
      </c>
      <c r="Y100" s="6" t="str">
        <f>IF(entities[[#This Row],[View from card]]&lt;&gt;"",entities[[#This Row],[View from card]],entities[[#This Row],[View from entitiy]])</f>
        <v>default_view</v>
      </c>
      <c r="Z100" s="6">
        <f>IF(entities[[#This Row],[In HA?]]&lt;&gt;"ok",  "Not in Home Assistant",
IF(entities[[#This Row],[hidden]]="true",  "Hidden",
IF(entities[[#This Row],[View]]&lt;&gt;"",
INDEX(views[name],MATCH(entities[[#This Row],[View]],views[object_id],0)),  "Default view")))</f>
        <v>0</v>
      </c>
      <c r="AA100" s="6" t="str">
        <f>IF(entities[[#This Row],[View]]&lt;&gt;"","group."&amp;entities[[#This Row],[View]],"")</f>
        <v>group.default_view</v>
      </c>
      <c r="AB100" s="6" t="str">
        <f>IF(COUNTIF(Table4[Entity],entities[[#This Row],[entity_id]]),"ok","Missing from States tab")</f>
        <v>ok</v>
      </c>
      <c r="AF100"/>
    </row>
    <row r="101" spans="2:32" x14ac:dyDescent="0.45">
      <c r="B101" t="s">
        <v>235</v>
      </c>
      <c r="C101" t="s">
        <v>236</v>
      </c>
      <c r="E101" t="s">
        <v>314</v>
      </c>
      <c r="H101" t="s">
        <v>313</v>
      </c>
      <c r="I101" t="str">
        <f>entities[[#This Row],[domain]]&amp;"."&amp;entities[[#This Row],[object_id]]</f>
        <v>input_boolean.alarm_clock_status</v>
      </c>
      <c r="J101">
        <f>5-COUNTBLANK(entities[[#This Row],[hidden]:[icon]])</f>
        <v>2</v>
      </c>
      <c r="K101">
        <f>IF(entities[[#This Row],[Custom Attributes]]=0,"",
COUNTIFS(entities[Custom Attributes],"&gt;0",entities[entity_id],"&lt;="&amp;entities[[#This Row],[entity_id]]))</f>
        <v>58</v>
      </c>
      <c r="L101" s="6">
        <f t="array" aca="1" ref="L101" ca="1">IF(entities[[#This Row],[Custom Attributes]]&lt;1,"",
MATCH(FALSE, ISBLANK(OFFSET(entities[[#This Row],[hidden]],0,0,1,5)), 0))</f>
        <v>2</v>
      </c>
      <c r="M101" s="6">
        <f t="array" aca="1" ref="M101" ca="1">IF(entities[[#This Row],[Custom Attributes]]&lt;2,"",
IF(entities[[#This Row],[1]]=5-1,5,
MATCH(FALSE, ISBLANK(OFFSET(entities[[#This Row],[hidden]],0,entities[[#This Row],[1]],1,5-entities[[#This Row],[1]])), 0)+entities[[#This Row],[1]]))</f>
        <v>5</v>
      </c>
      <c r="N101" s="6" t="str">
        <f t="array" aca="1" ref="N101" ca="1">IF(entities[[#This Row],[Custom Attributes]]&lt;3,"",
IF(entities[[#This Row],[2]]=5-1,5,
MATCH(FALSE, ISBLANK(OFFSET(entities[[#This Row],[hidden]],0,entities[[#This Row],[2]],1,5-entities[[#This Row],[2]])), 0)+entities[[#This Row],[2]]))</f>
        <v/>
      </c>
      <c r="O101" s="6" t="str">
        <f t="array" aca="1" ref="O101" ca="1">IF(entities[[#This Row],[Custom Attributes]]&lt;4,"",
IF(entities[[#This Row],[3]]=5-1,5,
MATCH(FALSE, ISBLANK(OFFSET(entities[[#This Row],[hidden]],0,entities[[#This Row],[3]],1,5-entities[[#This Row],[3]])), 0)+entities[[#This Row],[3]]))</f>
        <v/>
      </c>
      <c r="P101" s="14" t="str">
        <f ca="1">IF(entities[[#This Row],[1]]="","",
VLOOKUP(entities[[#This Row],[1]],Lookup!$B$5:$D$9,3,FALSE)  &amp;  INDEX(entities[[#This Row],[hidden]:[icon]],entities[[#This Row],[1]])
)</f>
        <v xml:space="preserve">  friendly_name: Alarm Clock Status</v>
      </c>
      <c r="Q101" s="6" t="str">
        <f ca="1">IF(entities[[#This Row],[2]]="","",
VLOOKUP(entities[[#This Row],[2]],Lookup!$B$5:$D$9,3,FALSE)  &amp;  INDEX(entities[[#This Row],[hidden]:[icon]],entities[[#This Row],[2]])
)</f>
        <v xml:space="preserve">  icon: mdi:alarm-check</v>
      </c>
      <c r="R101" s="6" t="str">
        <f ca="1">IF(entities[[#This Row],[3]]="","",
VLOOKUP(entities[[#This Row],[3]],Lookup!$B$5:$D$9,3,FALSE)  &amp;  INDEX(entities[[#This Row],[hidden]:[icon]],entities[[#This Row],[3]])
)</f>
        <v/>
      </c>
      <c r="S101" s="6" t="str">
        <f ca="1">IF(entities[[#This Row],[4]]="","",
VLOOKUP(entities[[#This Row],[4]],Lookup!$B$5:$D$9,3,FALSE)  &amp;  INDEX(entities[[#This Row],[hidden]:[icon]],entities[[#This Row],[4]])
)</f>
        <v/>
      </c>
      <c r="T101" t="str">
        <f t="array" ref="T101">IFERROR(INDEX(cards[object_id],SMALL(IF(cards[[1]:[25]]=entities[[#This Row],[entity_id]],ROW(cards[])-7,99^99),1)),"")</f>
        <v>alarm_clock</v>
      </c>
      <c r="U101" t="str">
        <f>IF(entities[[#This Row],[In HA?]]&lt;&gt;"ok",  "Not in Home Assistant",
IF(entities[[#This Row],[hidden]]="true",  "Hidden",
IF(entities[[#This Row],[Card]]&lt;&gt;"",
INDEX(cards[name],MATCH(entities[[#This Row],[Card]],cards[object_id],0)),  "Badge / automatic card")))</f>
        <v>Alarm Clock</v>
      </c>
      <c r="V101" t="str">
        <f>IF(entities[[#This Row],[Card]]&lt;&gt;"","group."&amp;entities[[#This Row],[Card]],"")</f>
        <v>group.alarm_clock</v>
      </c>
      <c r="W101" t="str">
        <f t="array" ref="W101">IFERROR(IF(entities[[#This Row],[Assigned Card]]="","",INDEX(views[object_id],SMALL(IF(views[[1]:[25]]=entities[[#This Row],[Assigned Card]],ROW(views[])-7,99^99),1))),"")</f>
        <v>default_view</v>
      </c>
      <c r="X101" t="str">
        <f t="array" ref="X101">IFERROR(INDEX(views[object_id],SMALL(IF(views[[1]:[25]]=entities[[#This Row],[entity_id]],ROW(views[])-7,99^99),1)),"")</f>
        <v/>
      </c>
      <c r="Y101" t="str">
        <f>IF(entities[[#This Row],[View from card]]&lt;&gt;"",entities[[#This Row],[View from card]],entities[[#This Row],[View from entitiy]])</f>
        <v>default_view</v>
      </c>
      <c r="Z101">
        <f>IF(entities[[#This Row],[In HA?]]&lt;&gt;"ok",  "Not in Home Assistant",
IF(entities[[#This Row],[hidden]]="true",  "Hidden",
IF(entities[[#This Row],[View]]&lt;&gt;"",
INDEX(views[name],MATCH(entities[[#This Row],[View]],views[object_id],0)),  "Default view")))</f>
        <v>0</v>
      </c>
      <c r="AA101" t="str">
        <f>IF(entities[[#This Row],[View]]&lt;&gt;"","group."&amp;entities[[#This Row],[View]],"")</f>
        <v>group.default_view</v>
      </c>
      <c r="AB101" s="6" t="str">
        <f>IF(COUNTIF(Table4[Entity],entities[[#This Row],[entity_id]]),"ok","Missing from States tab")</f>
        <v>ok</v>
      </c>
      <c r="AF101"/>
    </row>
    <row r="102" spans="2:32" x14ac:dyDescent="0.45">
      <c r="B102" t="s">
        <v>235</v>
      </c>
      <c r="C102" t="s">
        <v>237</v>
      </c>
      <c r="I102" t="str">
        <f>entities[[#This Row],[domain]]&amp;"."&amp;entities[[#This Row],[object_id]]</f>
        <v>input_boolean.friend_visiting</v>
      </c>
      <c r="J102">
        <f>5-COUNTBLANK(entities[[#This Row],[hidden]:[icon]])</f>
        <v>0</v>
      </c>
      <c r="K102" t="str">
        <f>IF(entities[[#This Row],[Custom Attributes]]=0,"",
COUNTIFS(entities[Custom Attributes],"&gt;0",entities[entity_id],"&lt;="&amp;entities[[#This Row],[entity_id]]))</f>
        <v/>
      </c>
      <c r="L102" s="6" t="str">
        <f t="array" aca="1" ref="L102" ca="1">IF(entities[[#This Row],[Custom Attributes]]&lt;1,"",
MATCH(FALSE, ISBLANK(OFFSET(entities[[#This Row],[hidden]],0,0,1,5)), 0))</f>
        <v/>
      </c>
      <c r="M102" s="6" t="str">
        <f t="array" aca="1" ref="M102" ca="1">IF(entities[[#This Row],[Custom Attributes]]&lt;2,"",
IF(entities[[#This Row],[1]]=5-1,5,
MATCH(FALSE, ISBLANK(OFFSET(entities[[#This Row],[hidden]],0,entities[[#This Row],[1]],1,5-entities[[#This Row],[1]])), 0)+entities[[#This Row],[1]]))</f>
        <v/>
      </c>
      <c r="N102" s="6" t="str">
        <f t="array" aca="1" ref="N102" ca="1">IF(entities[[#This Row],[Custom Attributes]]&lt;3,"",
IF(entities[[#This Row],[2]]=5-1,5,
MATCH(FALSE, ISBLANK(OFFSET(entities[[#This Row],[hidden]],0,entities[[#This Row],[2]],1,5-entities[[#This Row],[2]])), 0)+entities[[#This Row],[2]]))</f>
        <v/>
      </c>
      <c r="O102" s="6" t="str">
        <f t="array" aca="1" ref="O102" ca="1">IF(entities[[#This Row],[Custom Attributes]]&lt;4,"",
IF(entities[[#This Row],[3]]=5-1,5,
MATCH(FALSE, ISBLANK(OFFSET(entities[[#This Row],[hidden]],0,entities[[#This Row],[3]],1,5-entities[[#This Row],[3]])), 0)+entities[[#This Row],[3]]))</f>
        <v/>
      </c>
      <c r="P102" s="14" t="str">
        <f ca="1">IF(entities[[#This Row],[1]]="","",
VLOOKUP(entities[[#This Row],[1]],Lookup!$B$5:$D$9,3,FALSE)  &amp;  INDEX(entities[[#This Row],[hidden]:[icon]],entities[[#This Row],[1]])
)</f>
        <v/>
      </c>
      <c r="Q102" s="6" t="str">
        <f ca="1">IF(entities[[#This Row],[2]]="","",
VLOOKUP(entities[[#This Row],[2]],Lookup!$B$5:$D$9,3,FALSE)  &amp;  INDEX(entities[[#This Row],[hidden]:[icon]],entities[[#This Row],[2]])
)</f>
        <v/>
      </c>
      <c r="R102" s="6" t="str">
        <f ca="1">IF(entities[[#This Row],[3]]="","",
VLOOKUP(entities[[#This Row],[3]],Lookup!$B$5:$D$9,3,FALSE)  &amp;  INDEX(entities[[#This Row],[hidden]:[icon]],entities[[#This Row],[3]])
)</f>
        <v/>
      </c>
      <c r="S102" s="6" t="str">
        <f ca="1">IF(entities[[#This Row],[4]]="","",
VLOOKUP(entities[[#This Row],[4]],Lookup!$B$5:$D$9,3,FALSE)  &amp;  INDEX(entities[[#This Row],[hidden]:[icon]],entities[[#This Row],[4]])
)</f>
        <v/>
      </c>
      <c r="T102" t="str">
        <f t="array" ref="T102">IFERROR(INDEX(cards[object_id],SMALL(IF(cards[[1]:[25]]=entities[[#This Row],[entity_id]],ROW(cards[])-7,99^99),1)),"")</f>
        <v>status</v>
      </c>
      <c r="U102" t="str">
        <f>IF(entities[[#This Row],[In HA?]]&lt;&gt;"ok",  "Not in Home Assistant",
IF(entities[[#This Row],[hidden]]="true",  "Hidden",
IF(entities[[#This Row],[Card]]&lt;&gt;"",
INDEX(cards[name],MATCH(entities[[#This Row],[Card]],cards[object_id],0)),  "Badge / automatic card")))</f>
        <v>Status</v>
      </c>
      <c r="V102" t="str">
        <f>IF(entities[[#This Row],[Card]]&lt;&gt;"","group."&amp;entities[[#This Row],[Card]],"")</f>
        <v>group.status</v>
      </c>
      <c r="W102" t="str">
        <f t="array" ref="W102">IFERROR(IF(entities[[#This Row],[Assigned Card]]="","",INDEX(views[object_id],SMALL(IF(views[[1]:[25]]=entities[[#This Row],[Assigned Card]],ROW(views[])-7,99^99),1))),"")</f>
        <v>default_view</v>
      </c>
      <c r="X102" t="str">
        <f t="array" ref="X102">IFERROR(INDEX(views[object_id],SMALL(IF(views[[1]:[25]]=entities[[#This Row],[entity_id]],ROW(views[])-7,99^99),1)),"")</f>
        <v/>
      </c>
      <c r="Y102" t="str">
        <f>IF(entities[[#This Row],[View from card]]&lt;&gt;"",entities[[#This Row],[View from card]],entities[[#This Row],[View from entitiy]])</f>
        <v>default_view</v>
      </c>
      <c r="Z102">
        <f>IF(entities[[#This Row],[In HA?]]&lt;&gt;"ok",  "Not in Home Assistant",
IF(entities[[#This Row],[hidden]]="true",  "Hidden",
IF(entities[[#This Row],[View]]&lt;&gt;"",
INDEX(views[name],MATCH(entities[[#This Row],[View]],views[object_id],0)),  "Default view")))</f>
        <v>0</v>
      </c>
      <c r="AA102" t="str">
        <f>IF(entities[[#This Row],[View]]&lt;&gt;"","group."&amp;entities[[#This Row],[View]],"")</f>
        <v>group.default_view</v>
      </c>
      <c r="AB102" s="6" t="str">
        <f>IF(COUNTIF(Table4[Entity],entities[[#This Row],[entity_id]]),"ok","Missing from States tab")</f>
        <v>ok</v>
      </c>
      <c r="AF102"/>
    </row>
    <row r="103" spans="2:32" x14ac:dyDescent="0.45">
      <c r="B103" t="s">
        <v>235</v>
      </c>
      <c r="C103" t="s">
        <v>238</v>
      </c>
      <c r="I103" t="str">
        <f>entities[[#This Row],[domain]]&amp;"."&amp;entities[[#This Row],[object_id]]</f>
        <v>input_boolean.vacation_mode</v>
      </c>
      <c r="J103">
        <f>5-COUNTBLANK(entities[[#This Row],[hidden]:[icon]])</f>
        <v>0</v>
      </c>
      <c r="K103" t="str">
        <f>IF(entities[[#This Row],[Custom Attributes]]=0,"",
COUNTIFS(entities[Custom Attributes],"&gt;0",entities[entity_id],"&lt;="&amp;entities[[#This Row],[entity_id]]))</f>
        <v/>
      </c>
      <c r="L103" s="6" t="str">
        <f t="array" aca="1" ref="L103" ca="1">IF(entities[[#This Row],[Custom Attributes]]&lt;1,"",
MATCH(FALSE, ISBLANK(OFFSET(entities[[#This Row],[hidden]],0,0,1,5)), 0))</f>
        <v/>
      </c>
      <c r="M103" s="6" t="str">
        <f t="array" aca="1" ref="M103" ca="1">IF(entities[[#This Row],[Custom Attributes]]&lt;2,"",
IF(entities[[#This Row],[1]]=5-1,5,
MATCH(FALSE, ISBLANK(OFFSET(entities[[#This Row],[hidden]],0,entities[[#This Row],[1]],1,5-entities[[#This Row],[1]])), 0)+entities[[#This Row],[1]]))</f>
        <v/>
      </c>
      <c r="N103" s="6" t="str">
        <f t="array" aca="1" ref="N103" ca="1">IF(entities[[#This Row],[Custom Attributes]]&lt;3,"",
IF(entities[[#This Row],[2]]=5-1,5,
MATCH(FALSE, ISBLANK(OFFSET(entities[[#This Row],[hidden]],0,entities[[#This Row],[2]],1,5-entities[[#This Row],[2]])), 0)+entities[[#This Row],[2]]))</f>
        <v/>
      </c>
      <c r="O103" s="6" t="str">
        <f t="array" aca="1" ref="O103" ca="1">IF(entities[[#This Row],[Custom Attributes]]&lt;4,"",
IF(entities[[#This Row],[3]]=5-1,5,
MATCH(FALSE, ISBLANK(OFFSET(entities[[#This Row],[hidden]],0,entities[[#This Row],[3]],1,5-entities[[#This Row],[3]])), 0)+entities[[#This Row],[3]]))</f>
        <v/>
      </c>
      <c r="P103" s="14" t="str">
        <f ca="1">IF(entities[[#This Row],[1]]="","",
VLOOKUP(entities[[#This Row],[1]],Lookup!$B$5:$D$9,3,FALSE)  &amp;  INDEX(entities[[#This Row],[hidden]:[icon]],entities[[#This Row],[1]])
)</f>
        <v/>
      </c>
      <c r="Q103" s="6" t="str">
        <f ca="1">IF(entities[[#This Row],[2]]="","",
VLOOKUP(entities[[#This Row],[2]],Lookup!$B$5:$D$9,3,FALSE)  &amp;  INDEX(entities[[#This Row],[hidden]:[icon]],entities[[#This Row],[2]])
)</f>
        <v/>
      </c>
      <c r="R103" s="6" t="str">
        <f ca="1">IF(entities[[#This Row],[3]]="","",
VLOOKUP(entities[[#This Row],[3]],Lookup!$B$5:$D$9,3,FALSE)  &amp;  INDEX(entities[[#This Row],[hidden]:[icon]],entities[[#This Row],[3]])
)</f>
        <v/>
      </c>
      <c r="S103" s="6" t="str">
        <f ca="1">IF(entities[[#This Row],[4]]="","",
VLOOKUP(entities[[#This Row],[4]],Lookup!$B$5:$D$9,3,FALSE)  &amp;  INDEX(entities[[#This Row],[hidden]:[icon]],entities[[#This Row],[4]])
)</f>
        <v/>
      </c>
      <c r="T103" t="str">
        <f t="array" ref="T103">IFERROR(INDEX(cards[object_id],SMALL(IF(cards[[1]:[25]]=entities[[#This Row],[entity_id]],ROW(cards[])-7,99^99),1)),"")</f>
        <v>status</v>
      </c>
      <c r="U103" t="str">
        <f>IF(entities[[#This Row],[In HA?]]&lt;&gt;"ok",  "Not in Home Assistant",
IF(entities[[#This Row],[hidden]]="true",  "Hidden",
IF(entities[[#This Row],[Card]]&lt;&gt;"",
INDEX(cards[name],MATCH(entities[[#This Row],[Card]],cards[object_id],0)),  "Badge / automatic card")))</f>
        <v>Status</v>
      </c>
      <c r="V103" t="str">
        <f>IF(entities[[#This Row],[Card]]&lt;&gt;"","group."&amp;entities[[#This Row],[Card]],"")</f>
        <v>group.status</v>
      </c>
      <c r="W103" t="str">
        <f t="array" ref="W103">IFERROR(IF(entities[[#This Row],[Assigned Card]]="","",INDEX(views[object_id],SMALL(IF(views[[1]:[25]]=entities[[#This Row],[Assigned Card]],ROW(views[])-7,99^99),1))),"")</f>
        <v>default_view</v>
      </c>
      <c r="X103" t="str">
        <f t="array" ref="X103">IFERROR(INDEX(views[object_id],SMALL(IF(views[[1]:[25]]=entities[[#This Row],[entity_id]],ROW(views[])-7,99^99),1)),"")</f>
        <v/>
      </c>
      <c r="Y103" t="str">
        <f>IF(entities[[#This Row],[View from card]]&lt;&gt;"",entities[[#This Row],[View from card]],entities[[#This Row],[View from entitiy]])</f>
        <v>default_view</v>
      </c>
      <c r="Z103">
        <f>IF(entities[[#This Row],[In HA?]]&lt;&gt;"ok",  "Not in Home Assistant",
IF(entities[[#This Row],[hidden]]="true",  "Hidden",
IF(entities[[#This Row],[View]]&lt;&gt;"",
INDEX(views[name],MATCH(entities[[#This Row],[View]],views[object_id],0)),  "Default view")))</f>
        <v>0</v>
      </c>
      <c r="AA103" t="str">
        <f>IF(entities[[#This Row],[View]]&lt;&gt;"","group."&amp;entities[[#This Row],[View]],"")</f>
        <v>group.default_view</v>
      </c>
      <c r="AB103" s="6" t="str">
        <f>IF(COUNTIF(Table4[Entity],entities[[#This Row],[entity_id]]),"ok","Missing from States tab")</f>
        <v>ok</v>
      </c>
      <c r="AF103"/>
    </row>
    <row r="104" spans="2:32" x14ac:dyDescent="0.45">
      <c r="B104" t="s">
        <v>239</v>
      </c>
      <c r="C104" t="s">
        <v>240</v>
      </c>
      <c r="I104" t="str">
        <f>entities[[#This Row],[domain]]&amp;"."&amp;entities[[#This Row],[object_id]]</f>
        <v>input_select.ron_status</v>
      </c>
      <c r="J104">
        <f>5-COUNTBLANK(entities[[#This Row],[hidden]:[icon]])</f>
        <v>0</v>
      </c>
      <c r="K104" t="str">
        <f>IF(entities[[#This Row],[Custom Attributes]]=0,"",
COUNTIFS(entities[Custom Attributes],"&gt;0",entities[entity_id],"&lt;="&amp;entities[[#This Row],[entity_id]]))</f>
        <v/>
      </c>
      <c r="L104" s="6" t="str">
        <f t="array" aca="1" ref="L104" ca="1">IF(entities[[#This Row],[Custom Attributes]]&lt;1,"",
MATCH(FALSE, ISBLANK(OFFSET(entities[[#This Row],[hidden]],0,0,1,5)), 0))</f>
        <v/>
      </c>
      <c r="M104" s="6" t="str">
        <f t="array" aca="1" ref="M104" ca="1">IF(entities[[#This Row],[Custom Attributes]]&lt;2,"",
IF(entities[[#This Row],[1]]=5-1,5,
MATCH(FALSE, ISBLANK(OFFSET(entities[[#This Row],[hidden]],0,entities[[#This Row],[1]],1,5-entities[[#This Row],[1]])), 0)+entities[[#This Row],[1]]))</f>
        <v/>
      </c>
      <c r="N104" s="6" t="str">
        <f t="array" aca="1" ref="N104" ca="1">IF(entities[[#This Row],[Custom Attributes]]&lt;3,"",
IF(entities[[#This Row],[2]]=5-1,5,
MATCH(FALSE, ISBLANK(OFFSET(entities[[#This Row],[hidden]],0,entities[[#This Row],[2]],1,5-entities[[#This Row],[2]])), 0)+entities[[#This Row],[2]]))</f>
        <v/>
      </c>
      <c r="O104" s="6" t="str">
        <f t="array" aca="1" ref="O104" ca="1">IF(entities[[#This Row],[Custom Attributes]]&lt;4,"",
IF(entities[[#This Row],[3]]=5-1,5,
MATCH(FALSE, ISBLANK(OFFSET(entities[[#This Row],[hidden]],0,entities[[#This Row],[3]],1,5-entities[[#This Row],[3]])), 0)+entities[[#This Row],[3]]))</f>
        <v/>
      </c>
      <c r="P104" s="14" t="str">
        <f ca="1">IF(entities[[#This Row],[1]]="","",
VLOOKUP(entities[[#This Row],[1]],Lookup!$B$5:$D$9,3,FALSE)  &amp;  INDEX(entities[[#This Row],[hidden]:[icon]],entities[[#This Row],[1]])
)</f>
        <v/>
      </c>
      <c r="Q104" s="6" t="str">
        <f ca="1">IF(entities[[#This Row],[2]]="","",
VLOOKUP(entities[[#This Row],[2]],Lookup!$B$5:$D$9,3,FALSE)  &amp;  INDEX(entities[[#This Row],[hidden]:[icon]],entities[[#This Row],[2]])
)</f>
        <v/>
      </c>
      <c r="R104" s="6" t="str">
        <f ca="1">IF(entities[[#This Row],[3]]="","",
VLOOKUP(entities[[#This Row],[3]],Lookup!$B$5:$D$9,3,FALSE)  &amp;  INDEX(entities[[#This Row],[hidden]:[icon]],entities[[#This Row],[3]])
)</f>
        <v/>
      </c>
      <c r="S104" s="6" t="str">
        <f ca="1">IF(entities[[#This Row],[4]]="","",
VLOOKUP(entities[[#This Row],[4]],Lookup!$B$5:$D$9,3,FALSE)  &amp;  INDEX(entities[[#This Row],[hidden]:[icon]],entities[[#This Row],[4]])
)</f>
        <v/>
      </c>
      <c r="T104" t="str">
        <f t="array" ref="T104">IFERROR(INDEX(cards[object_id],SMALL(IF(cards[[1]:[25]]=entities[[#This Row],[entity_id]],ROW(cards[])-7,99^99),1)),"")</f>
        <v>status</v>
      </c>
      <c r="U104" t="str">
        <f>IF(entities[[#This Row],[In HA?]]&lt;&gt;"ok",  "Not in Home Assistant",
IF(entities[[#This Row],[hidden]]="true",  "Hidden",
IF(entities[[#This Row],[Card]]&lt;&gt;"",
INDEX(cards[name],MATCH(entities[[#This Row],[Card]],cards[object_id],0)),  "Badge / automatic card")))</f>
        <v>Status</v>
      </c>
      <c r="V104" t="str">
        <f>IF(entities[[#This Row],[Card]]&lt;&gt;"","group."&amp;entities[[#This Row],[Card]],"")</f>
        <v>group.status</v>
      </c>
      <c r="W104" t="str">
        <f t="array" ref="W104">IFERROR(IF(entities[[#This Row],[Assigned Card]]="","",INDEX(views[object_id],SMALL(IF(views[[1]:[25]]=entities[[#This Row],[Assigned Card]],ROW(views[])-7,99^99),1))),"")</f>
        <v>default_view</v>
      </c>
      <c r="X104" t="str">
        <f t="array" ref="X104">IFERROR(INDEX(views[object_id],SMALL(IF(views[[1]:[25]]=entities[[#This Row],[entity_id]],ROW(views[])-7,99^99),1)),"")</f>
        <v/>
      </c>
      <c r="Y104" t="str">
        <f>IF(entities[[#This Row],[View from card]]&lt;&gt;"",entities[[#This Row],[View from card]],entities[[#This Row],[View from entitiy]])</f>
        <v>default_view</v>
      </c>
      <c r="Z104">
        <f>IF(entities[[#This Row],[In HA?]]&lt;&gt;"ok",  "Not in Home Assistant",
IF(entities[[#This Row],[hidden]]="true",  "Hidden",
IF(entities[[#This Row],[View]]&lt;&gt;"",
INDEX(views[name],MATCH(entities[[#This Row],[View]],views[object_id],0)),  "Default view")))</f>
        <v>0</v>
      </c>
      <c r="AA104" t="str">
        <f>IF(entities[[#This Row],[View]]&lt;&gt;"","group."&amp;entities[[#This Row],[View]],"")</f>
        <v>group.default_view</v>
      </c>
      <c r="AB104" s="6" t="str">
        <f>IF(COUNTIF(Table4[Entity],entities[[#This Row],[entity_id]]),"ok","Missing from States tab")</f>
        <v>ok</v>
      </c>
      <c r="AF104"/>
    </row>
    <row r="105" spans="2:32" x14ac:dyDescent="0.45">
      <c r="B105" t="s">
        <v>241</v>
      </c>
      <c r="C105" t="s">
        <v>242</v>
      </c>
      <c r="E105" t="s">
        <v>340</v>
      </c>
      <c r="H105" t="s">
        <v>373</v>
      </c>
      <c r="I105" t="str">
        <f>entities[[#This Row],[domain]]&amp;"."&amp;entities[[#This Row],[object_id]]</f>
        <v>input_slider.alarm_clock_hour</v>
      </c>
      <c r="J105">
        <f>5-COUNTBLANK(entities[[#This Row],[hidden]:[icon]])</f>
        <v>2</v>
      </c>
      <c r="K105">
        <f>IF(entities[[#This Row],[Custom Attributes]]=0,"",
COUNTIFS(entities[Custom Attributes],"&gt;0",entities[entity_id],"&lt;="&amp;entities[[#This Row],[entity_id]]))</f>
        <v>59</v>
      </c>
      <c r="L105" s="6">
        <f t="array" aca="1" ref="L105" ca="1">IF(entities[[#This Row],[Custom Attributes]]&lt;1,"",
MATCH(FALSE, ISBLANK(OFFSET(entities[[#This Row],[hidden]],0,0,1,5)), 0))</f>
        <v>2</v>
      </c>
      <c r="M105" s="6">
        <f t="array" aca="1" ref="M105" ca="1">IF(entities[[#This Row],[Custom Attributes]]&lt;2,"",
IF(entities[[#This Row],[1]]=5-1,5,
MATCH(FALSE, ISBLANK(OFFSET(entities[[#This Row],[hidden]],0,entities[[#This Row],[1]],1,5-entities[[#This Row],[1]])), 0)+entities[[#This Row],[1]]))</f>
        <v>5</v>
      </c>
      <c r="N105" s="6" t="str">
        <f t="array" aca="1" ref="N105" ca="1">IF(entities[[#This Row],[Custom Attributes]]&lt;3,"",
IF(entities[[#This Row],[2]]=5-1,5,
MATCH(FALSE, ISBLANK(OFFSET(entities[[#This Row],[hidden]],0,entities[[#This Row],[2]],1,5-entities[[#This Row],[2]])), 0)+entities[[#This Row],[2]]))</f>
        <v/>
      </c>
      <c r="O105" s="6" t="str">
        <f t="array" aca="1" ref="O105" ca="1">IF(entities[[#This Row],[Custom Attributes]]&lt;4,"",
IF(entities[[#This Row],[3]]=5-1,5,
MATCH(FALSE, ISBLANK(OFFSET(entities[[#This Row],[hidden]],0,entities[[#This Row],[3]],1,5-entities[[#This Row],[3]])), 0)+entities[[#This Row],[3]]))</f>
        <v/>
      </c>
      <c r="P105" s="14" t="str">
        <f ca="1">IF(entities[[#This Row],[1]]="","",
VLOOKUP(entities[[#This Row],[1]],Lookup!$B$5:$D$9,3,FALSE)  &amp;  INDEX(entities[[#This Row],[hidden]:[icon]],entities[[#This Row],[1]])
)</f>
        <v xml:space="preserve">  friendly_name: Hour</v>
      </c>
      <c r="Q105" s="6" t="str">
        <f ca="1">IF(entities[[#This Row],[2]]="","",
VLOOKUP(entities[[#This Row],[2]],Lookup!$B$5:$D$9,3,FALSE)  &amp;  INDEX(entities[[#This Row],[hidden]:[icon]],entities[[#This Row],[2]])
)</f>
        <v xml:space="preserve">  icon: mdi:timer</v>
      </c>
      <c r="R105" s="6" t="str">
        <f ca="1">IF(entities[[#This Row],[3]]="","",
VLOOKUP(entities[[#This Row],[3]],Lookup!$B$5:$D$9,3,FALSE)  &amp;  INDEX(entities[[#This Row],[hidden]:[icon]],entities[[#This Row],[3]])
)</f>
        <v/>
      </c>
      <c r="S105" s="6" t="str">
        <f ca="1">IF(entities[[#This Row],[4]]="","",
VLOOKUP(entities[[#This Row],[4]],Lookup!$B$5:$D$9,3,FALSE)  &amp;  INDEX(entities[[#This Row],[hidden]:[icon]],entities[[#This Row],[4]])
)</f>
        <v/>
      </c>
      <c r="T105" t="str">
        <f t="array" ref="T105">IFERROR(INDEX(cards[object_id],SMALL(IF(cards[[1]:[25]]=entities[[#This Row],[entity_id]],ROW(cards[])-7,99^99),1)),"")</f>
        <v>alarm_clock</v>
      </c>
      <c r="U105" t="str">
        <f>IF(entities[[#This Row],[In HA?]]&lt;&gt;"ok",  "Not in Home Assistant",
IF(entities[[#This Row],[hidden]]="true",  "Hidden",
IF(entities[[#This Row],[Card]]&lt;&gt;"",
INDEX(cards[name],MATCH(entities[[#This Row],[Card]],cards[object_id],0)),  "Badge / automatic card")))</f>
        <v>Alarm Clock</v>
      </c>
      <c r="V105" t="str">
        <f>IF(entities[[#This Row],[Card]]&lt;&gt;"","group."&amp;entities[[#This Row],[Card]],"")</f>
        <v>group.alarm_clock</v>
      </c>
      <c r="W105" t="str">
        <f t="array" ref="W105">IFERROR(IF(entities[[#This Row],[Assigned Card]]="","",INDEX(views[object_id],SMALL(IF(views[[1]:[25]]=entities[[#This Row],[Assigned Card]],ROW(views[])-7,99^99),1))),"")</f>
        <v>default_view</v>
      </c>
      <c r="X105" t="str">
        <f t="array" ref="X105">IFERROR(INDEX(views[object_id],SMALL(IF(views[[1]:[25]]=entities[[#This Row],[entity_id]],ROW(views[])-7,99^99),1)),"")</f>
        <v/>
      </c>
      <c r="Y105" t="str">
        <f>IF(entities[[#This Row],[View from card]]&lt;&gt;"",entities[[#This Row],[View from card]],entities[[#This Row],[View from entitiy]])</f>
        <v>default_view</v>
      </c>
      <c r="Z105">
        <f>IF(entities[[#This Row],[In HA?]]&lt;&gt;"ok",  "Not in Home Assistant",
IF(entities[[#This Row],[hidden]]="true",  "Hidden",
IF(entities[[#This Row],[View]]&lt;&gt;"",
INDEX(views[name],MATCH(entities[[#This Row],[View]],views[object_id],0)),  "Default view")))</f>
        <v>0</v>
      </c>
      <c r="AA105" t="str">
        <f>IF(entities[[#This Row],[View]]&lt;&gt;"","group."&amp;entities[[#This Row],[View]],"")</f>
        <v>group.default_view</v>
      </c>
      <c r="AB105" s="6" t="str">
        <f>IF(COUNTIF(Table4[Entity],entities[[#This Row],[entity_id]]),"ok","Missing from States tab")</f>
        <v>ok</v>
      </c>
      <c r="AF105"/>
    </row>
    <row r="106" spans="2:32" x14ac:dyDescent="0.45">
      <c r="B106" t="s">
        <v>241</v>
      </c>
      <c r="C106" t="s">
        <v>243</v>
      </c>
      <c r="E106" t="s">
        <v>341</v>
      </c>
      <c r="H106" t="s">
        <v>373</v>
      </c>
      <c r="I106" t="str">
        <f>entities[[#This Row],[domain]]&amp;"."&amp;entities[[#This Row],[object_id]]</f>
        <v>input_slider.alarm_clock_minute</v>
      </c>
      <c r="J106">
        <f>5-COUNTBLANK(entities[[#This Row],[hidden]:[icon]])</f>
        <v>2</v>
      </c>
      <c r="K106">
        <f>IF(entities[[#This Row],[Custom Attributes]]=0,"",
COUNTIFS(entities[Custom Attributes],"&gt;0",entities[entity_id],"&lt;="&amp;entities[[#This Row],[entity_id]]))</f>
        <v>60</v>
      </c>
      <c r="L106" s="6">
        <f t="array" aca="1" ref="L106" ca="1">IF(entities[[#This Row],[Custom Attributes]]&lt;1,"",
MATCH(FALSE, ISBLANK(OFFSET(entities[[#This Row],[hidden]],0,0,1,5)), 0))</f>
        <v>2</v>
      </c>
      <c r="M106" s="6">
        <f t="array" aca="1" ref="M106" ca="1">IF(entities[[#This Row],[Custom Attributes]]&lt;2,"",
IF(entities[[#This Row],[1]]=5-1,5,
MATCH(FALSE, ISBLANK(OFFSET(entities[[#This Row],[hidden]],0,entities[[#This Row],[1]],1,5-entities[[#This Row],[1]])), 0)+entities[[#This Row],[1]]))</f>
        <v>5</v>
      </c>
      <c r="N106" s="6" t="str">
        <f t="array" aca="1" ref="N106" ca="1">IF(entities[[#This Row],[Custom Attributes]]&lt;3,"",
IF(entities[[#This Row],[2]]=5-1,5,
MATCH(FALSE, ISBLANK(OFFSET(entities[[#This Row],[hidden]],0,entities[[#This Row],[2]],1,5-entities[[#This Row],[2]])), 0)+entities[[#This Row],[2]]))</f>
        <v/>
      </c>
      <c r="O106" s="6" t="str">
        <f t="array" aca="1" ref="O106" ca="1">IF(entities[[#This Row],[Custom Attributes]]&lt;4,"",
IF(entities[[#This Row],[3]]=5-1,5,
MATCH(FALSE, ISBLANK(OFFSET(entities[[#This Row],[hidden]],0,entities[[#This Row],[3]],1,5-entities[[#This Row],[3]])), 0)+entities[[#This Row],[3]]))</f>
        <v/>
      </c>
      <c r="P106" s="14" t="str">
        <f ca="1">IF(entities[[#This Row],[1]]="","",
VLOOKUP(entities[[#This Row],[1]],Lookup!$B$5:$D$9,3,FALSE)  &amp;  INDEX(entities[[#This Row],[hidden]:[icon]],entities[[#This Row],[1]])
)</f>
        <v xml:space="preserve">  friendly_name: Minute</v>
      </c>
      <c r="Q106" s="6" t="str">
        <f ca="1">IF(entities[[#This Row],[2]]="","",
VLOOKUP(entities[[#This Row],[2]],Lookup!$B$5:$D$9,3,FALSE)  &amp;  INDEX(entities[[#This Row],[hidden]:[icon]],entities[[#This Row],[2]])
)</f>
        <v xml:space="preserve">  icon: mdi:timer</v>
      </c>
      <c r="R106" s="6" t="str">
        <f ca="1">IF(entities[[#This Row],[3]]="","",
VLOOKUP(entities[[#This Row],[3]],Lookup!$B$5:$D$9,3,FALSE)  &amp;  INDEX(entities[[#This Row],[hidden]:[icon]],entities[[#This Row],[3]])
)</f>
        <v/>
      </c>
      <c r="S106" s="6" t="str">
        <f ca="1">IF(entities[[#This Row],[4]]="","",
VLOOKUP(entities[[#This Row],[4]],Lookup!$B$5:$D$9,3,FALSE)  &amp;  INDEX(entities[[#This Row],[hidden]:[icon]],entities[[#This Row],[4]])
)</f>
        <v/>
      </c>
      <c r="T106" t="str">
        <f t="array" ref="T106">IFERROR(INDEX(cards[object_id],SMALL(IF(cards[[1]:[25]]=entities[[#This Row],[entity_id]],ROW(cards[])-7,99^99),1)),"")</f>
        <v>alarm_clock</v>
      </c>
      <c r="U106" t="str">
        <f>IF(entities[[#This Row],[In HA?]]&lt;&gt;"ok",  "Not in Home Assistant",
IF(entities[[#This Row],[hidden]]="true",  "Hidden",
IF(entities[[#This Row],[Card]]&lt;&gt;"",
INDEX(cards[name],MATCH(entities[[#This Row],[Card]],cards[object_id],0)),  "Badge / automatic card")))</f>
        <v>Alarm Clock</v>
      </c>
      <c r="V106" t="str">
        <f>IF(entities[[#This Row],[Card]]&lt;&gt;"","group."&amp;entities[[#This Row],[Card]],"")</f>
        <v>group.alarm_clock</v>
      </c>
      <c r="W106" t="str">
        <f t="array" ref="W106">IFERROR(IF(entities[[#This Row],[Assigned Card]]="","",INDEX(views[object_id],SMALL(IF(views[[1]:[25]]=entities[[#This Row],[Assigned Card]],ROW(views[])-7,99^99),1))),"")</f>
        <v>default_view</v>
      </c>
      <c r="X106" t="str">
        <f t="array" ref="X106">IFERROR(INDEX(views[object_id],SMALL(IF(views[[1]:[25]]=entities[[#This Row],[entity_id]],ROW(views[])-7,99^99),1)),"")</f>
        <v/>
      </c>
      <c r="Y106" t="str">
        <f>IF(entities[[#This Row],[View from card]]&lt;&gt;"",entities[[#This Row],[View from card]],entities[[#This Row],[View from entitiy]])</f>
        <v>default_view</v>
      </c>
      <c r="Z106">
        <f>IF(entities[[#This Row],[In HA?]]&lt;&gt;"ok",  "Not in Home Assistant",
IF(entities[[#This Row],[hidden]]="true",  "Hidden",
IF(entities[[#This Row],[View]]&lt;&gt;"",
INDEX(views[name],MATCH(entities[[#This Row],[View]],views[object_id],0)),  "Default view")))</f>
        <v>0</v>
      </c>
      <c r="AA106" t="str">
        <f>IF(entities[[#This Row],[View]]&lt;&gt;"","group."&amp;entities[[#This Row],[View]],"")</f>
        <v>group.default_view</v>
      </c>
      <c r="AB106" s="6" t="str">
        <f>IF(COUNTIF(Table4[Entity],entities[[#This Row],[entity_id]]),"ok","Missing from States tab")</f>
        <v>ok</v>
      </c>
      <c r="AF106"/>
    </row>
    <row r="107" spans="2:32" x14ac:dyDescent="0.45">
      <c r="B107" t="s">
        <v>244</v>
      </c>
      <c r="C107" t="s">
        <v>780</v>
      </c>
      <c r="I107" t="str">
        <f>entities[[#This Row],[domain]]&amp;"."&amp;entities[[#This Row],[object_id]]</f>
        <v>light.dimmable_light_5</v>
      </c>
      <c r="J107">
        <f>5-COUNTBLANK(entities[[#This Row],[hidden]:[icon]])</f>
        <v>0</v>
      </c>
      <c r="K107" t="str">
        <f>IF(entities[[#This Row],[Custom Attributes]]=0,"",
COUNTIFS(entities[Custom Attributes],"&gt;0",entities[entity_id],"&lt;="&amp;entities[[#This Row],[entity_id]]))</f>
        <v/>
      </c>
      <c r="L107" s="6" t="str">
        <f t="array" aca="1" ref="L107" ca="1">IF(entities[[#This Row],[Custom Attributes]]&lt;1,"",
MATCH(FALSE, ISBLANK(OFFSET(entities[[#This Row],[hidden]],0,0,1,5)), 0))</f>
        <v/>
      </c>
      <c r="M107" s="6" t="str">
        <f t="array" aca="1" ref="M107" ca="1">IF(entities[[#This Row],[Custom Attributes]]&lt;2,"",
IF(entities[[#This Row],[1]]=5-1,5,
MATCH(FALSE, ISBLANK(OFFSET(entities[[#This Row],[hidden]],0,entities[[#This Row],[1]],1,5-entities[[#This Row],[1]])), 0)+entities[[#This Row],[1]]))</f>
        <v/>
      </c>
      <c r="N107" s="6" t="str">
        <f t="array" aca="1" ref="N107" ca="1">IF(entities[[#This Row],[Custom Attributes]]&lt;3,"",
IF(entities[[#This Row],[2]]=5-1,5,
MATCH(FALSE, ISBLANK(OFFSET(entities[[#This Row],[hidden]],0,entities[[#This Row],[2]],1,5-entities[[#This Row],[2]])), 0)+entities[[#This Row],[2]]))</f>
        <v/>
      </c>
      <c r="O107" s="6" t="str">
        <f t="array" aca="1" ref="O107" ca="1">IF(entities[[#This Row],[Custom Attributes]]&lt;4,"",
IF(entities[[#This Row],[3]]=5-1,5,
MATCH(FALSE, ISBLANK(OFFSET(entities[[#This Row],[hidden]],0,entities[[#This Row],[3]],1,5-entities[[#This Row],[3]])), 0)+entities[[#This Row],[3]]))</f>
        <v/>
      </c>
      <c r="P107" s="14" t="str">
        <f ca="1">IF(entities[[#This Row],[1]]="","",
VLOOKUP(entities[[#This Row],[1]],Lookup!$B$5:$D$9,3,FALSE)  &amp;  INDEX(entities[[#This Row],[hidden]:[icon]],entities[[#This Row],[1]])
)</f>
        <v/>
      </c>
      <c r="Q107" s="6" t="str">
        <f ca="1">IF(entities[[#This Row],[2]]="","",
VLOOKUP(entities[[#This Row],[2]],Lookup!$B$5:$D$9,3,FALSE)  &amp;  INDEX(entities[[#This Row],[hidden]:[icon]],entities[[#This Row],[2]])
)</f>
        <v/>
      </c>
      <c r="R107" s="6" t="str">
        <f ca="1">IF(entities[[#This Row],[3]]="","",
VLOOKUP(entities[[#This Row],[3]],Lookup!$B$5:$D$9,3,FALSE)  &amp;  INDEX(entities[[#This Row],[hidden]:[icon]],entities[[#This Row],[3]])
)</f>
        <v/>
      </c>
      <c r="S107" s="6" t="str">
        <f ca="1">IF(entities[[#This Row],[4]]="","",
VLOOKUP(entities[[#This Row],[4]],Lookup!$B$5:$D$9,3,FALSE)  &amp;  INDEX(entities[[#This Row],[hidden]:[icon]],entities[[#This Row],[4]])
)</f>
        <v/>
      </c>
      <c r="T107" t="str">
        <f t="array" ref="T107">IFERROR(INDEX(cards[object_id],SMALL(IF(cards[[1]:[25]]=entities[[#This Row],[entity_id]],ROW(cards[])-7,99^99),1)),"")</f>
        <v/>
      </c>
      <c r="U107" t="str">
        <f>IF(entities[[#This Row],[In HA?]]&lt;&gt;"ok",  "Not in Home Assistant",
IF(entities[[#This Row],[hidden]]="true",  "Hidden",
IF(entities[[#This Row],[Card]]&lt;&gt;"",
INDEX(cards[name],MATCH(entities[[#This Row],[Card]],cards[object_id],0)),  "Badge / automatic card")))</f>
        <v>Badge / automatic card</v>
      </c>
      <c r="V107" t="str">
        <f>IF(entities[[#This Row],[Card]]&lt;&gt;"","group."&amp;entities[[#This Row],[Card]],"")</f>
        <v/>
      </c>
      <c r="W107" t="str">
        <f t="array" ref="W107">IFERROR(IF(entities[[#This Row],[Assigned Card]]="","",INDEX(views[object_id],SMALL(IF(views[[1]:[25]]=entities[[#This Row],[Assigned Card]],ROW(views[])-7,99^99),1))),"")</f>
        <v/>
      </c>
      <c r="X107" t="str">
        <f t="array" ref="X107">IFERROR(INDEX(views[object_id],SMALL(IF(views[[1]:[25]]=entities[[#This Row],[entity_id]],ROW(views[])-7,99^99),1)),"")</f>
        <v/>
      </c>
      <c r="Y107" t="str">
        <f>IF(entities[[#This Row],[View from card]]&lt;&gt;"",entities[[#This Row],[View from card]],entities[[#This Row],[View from entitiy]])</f>
        <v/>
      </c>
      <c r="Z107" t="str">
        <f>IF(entities[[#This Row],[In HA?]]&lt;&gt;"ok",  "Not in Home Assistant",
IF(entities[[#This Row],[hidden]]="true",  "Hidden",
IF(entities[[#This Row],[View]]&lt;&gt;"",
INDEX(views[name],MATCH(entities[[#This Row],[View]],views[object_id],0)),  "Default view")))</f>
        <v>Default view</v>
      </c>
      <c r="AA107" t="str">
        <f>IF(entities[[#This Row],[View]]&lt;&gt;"","group."&amp;entities[[#This Row],[View]],"")</f>
        <v/>
      </c>
      <c r="AB107" s="6" t="str">
        <f>IF(COUNTIF(Table4[Entity],entities[[#This Row],[entity_id]]),"ok","Missing from States tab")</f>
        <v>ok</v>
      </c>
      <c r="AF107"/>
    </row>
    <row r="108" spans="2:32" x14ac:dyDescent="0.45">
      <c r="B108" t="s">
        <v>244</v>
      </c>
      <c r="C108" t="s">
        <v>245</v>
      </c>
      <c r="D108" s="4" t="s">
        <v>294</v>
      </c>
      <c r="F108" s="4" t="s">
        <v>339</v>
      </c>
      <c r="I108" t="str">
        <f>entities[[#This Row],[domain]]&amp;"."&amp;entities[[#This Row],[object_id]]</f>
        <v>light.lux_lamp</v>
      </c>
      <c r="J108">
        <f>5-COUNTBLANK(entities[[#This Row],[hidden]:[icon]])</f>
        <v>2</v>
      </c>
      <c r="K108">
        <f>IF(entities[[#This Row],[Custom Attributes]]=0,"",
COUNTIFS(entities[Custom Attributes],"&gt;0",entities[entity_id],"&lt;="&amp;entities[[#This Row],[entity_id]]))</f>
        <v>61</v>
      </c>
      <c r="L108" s="6">
        <f t="array" aca="1" ref="L108" ca="1">IF(entities[[#This Row],[Custom Attributes]]&lt;1,"",
MATCH(FALSE, ISBLANK(OFFSET(entities[[#This Row],[hidden]],0,0,1,5)), 0))</f>
        <v>1</v>
      </c>
      <c r="M108" s="6">
        <f t="array" aca="1" ref="M108" ca="1">IF(entities[[#This Row],[Custom Attributes]]&lt;2,"",
IF(entities[[#This Row],[1]]=5-1,5,
MATCH(FALSE, ISBLANK(OFFSET(entities[[#This Row],[hidden]],0,entities[[#This Row],[1]],1,5-entities[[#This Row],[1]])), 0)+entities[[#This Row],[1]]))</f>
        <v>3</v>
      </c>
      <c r="N108" s="6" t="str">
        <f t="array" aca="1" ref="N108" ca="1">IF(entities[[#This Row],[Custom Attributes]]&lt;3,"",
IF(entities[[#This Row],[2]]=5-1,5,
MATCH(FALSE, ISBLANK(OFFSET(entities[[#This Row],[hidden]],0,entities[[#This Row],[2]],1,5-entities[[#This Row],[2]])), 0)+entities[[#This Row],[2]]))</f>
        <v/>
      </c>
      <c r="O108" s="6" t="str">
        <f t="array" aca="1" ref="O108" ca="1">IF(entities[[#This Row],[Custom Attributes]]&lt;4,"",
IF(entities[[#This Row],[3]]=5-1,5,
MATCH(FALSE, ISBLANK(OFFSET(entities[[#This Row],[hidden]],0,entities[[#This Row],[3]],1,5-entities[[#This Row],[3]])), 0)+entities[[#This Row],[3]]))</f>
        <v/>
      </c>
      <c r="P108" s="14" t="str">
        <f ca="1">IF(entities[[#This Row],[1]]="","",
VLOOKUP(entities[[#This Row],[1]],Lookup!$B$5:$D$9,3,FALSE)  &amp;  INDEX(entities[[#This Row],[hidden]:[icon]],entities[[#This Row],[1]])
)</f>
        <v xml:space="preserve">  hidden: true</v>
      </c>
      <c r="Q108" s="6" t="str">
        <f ca="1">IF(entities[[#This Row],[2]]="","",
VLOOKUP(entities[[#This Row],[2]],Lookup!$B$5:$D$9,3,FALSE)  &amp;  INDEX(entities[[#This Row],[hidden]:[icon]],entities[[#This Row],[2]])
)</f>
        <v xml:space="preserve">  emulated_hue: false</v>
      </c>
      <c r="R108" s="6" t="str">
        <f ca="1">IF(entities[[#This Row],[3]]="","",
VLOOKUP(entities[[#This Row],[3]],Lookup!$B$5:$D$9,3,FALSE)  &amp;  INDEX(entities[[#This Row],[hidden]:[icon]],entities[[#This Row],[3]])
)</f>
        <v/>
      </c>
      <c r="S108" s="6" t="str">
        <f ca="1">IF(entities[[#This Row],[4]]="","",
VLOOKUP(entities[[#This Row],[4]],Lookup!$B$5:$D$9,3,FALSE)  &amp;  INDEX(entities[[#This Row],[hidden]:[icon]],entities[[#This Row],[4]])
)</f>
        <v/>
      </c>
      <c r="T108" t="str">
        <f t="array" ref="T108">IFERROR(INDEX(cards[object_id],SMALL(IF(cards[[1]:[25]]=entities[[#This Row],[entity_id]],ROW(cards[])-7,99^99),1)),"")</f>
        <v>bedroom_lights</v>
      </c>
      <c r="U108" t="str">
        <f>IF(entities[[#This Row],[In HA?]]&lt;&gt;"ok",  "Not in Home Assistant",
IF(entities[[#This Row],[hidden]]="true",  "Hidden",
IF(entities[[#This Row],[Card]]&lt;&gt;"",
INDEX(cards[name],MATCH(entities[[#This Row],[Card]],cards[object_id],0)),  "Badge / automatic card")))</f>
        <v>Hidden</v>
      </c>
      <c r="V108" t="str">
        <f>IF(entities[[#This Row],[Card]]&lt;&gt;"","group."&amp;entities[[#This Row],[Card]],"")</f>
        <v>group.bedroom_lights</v>
      </c>
      <c r="W108" t="str">
        <f t="array" ref="W108">IFERROR(IF(entities[[#This Row],[Assigned Card]]="","",INDEX(views[object_id],SMALL(IF(views[[1]:[25]]=entities[[#This Row],[Assigned Card]],ROW(views[])-7,99^99),1))),"")</f>
        <v/>
      </c>
      <c r="X108" t="str">
        <f t="array" ref="X108">IFERROR(INDEX(views[object_id],SMALL(IF(views[[1]:[25]]=entities[[#This Row],[entity_id]],ROW(views[])-7,99^99),1)),"")</f>
        <v/>
      </c>
      <c r="Y108" t="str">
        <f>IF(entities[[#This Row],[View from card]]&lt;&gt;"",entities[[#This Row],[View from card]],entities[[#This Row],[View from entitiy]])</f>
        <v/>
      </c>
      <c r="Z108" t="str">
        <f>IF(entities[[#This Row],[In HA?]]&lt;&gt;"ok",  "Not in Home Assistant",
IF(entities[[#This Row],[hidden]]="true",  "Hidden",
IF(entities[[#This Row],[View]]&lt;&gt;"",
INDEX(views[name],MATCH(entities[[#This Row],[View]],views[object_id],0)),  "Default view")))</f>
        <v>Hidden</v>
      </c>
      <c r="AA108" t="str">
        <f>IF(entities[[#This Row],[View]]&lt;&gt;"","group."&amp;entities[[#This Row],[View]],"")</f>
        <v/>
      </c>
      <c r="AB108" s="6" t="str">
        <f>IF(COUNTIF(Table4[Entity],entities[[#This Row],[entity_id]]),"ok","Missing from States tab")</f>
        <v>ok</v>
      </c>
      <c r="AF108"/>
    </row>
    <row r="109" spans="2:32" x14ac:dyDescent="0.45">
      <c r="B109" t="s">
        <v>244</v>
      </c>
      <c r="C109" t="s">
        <v>246</v>
      </c>
      <c r="D109" s="4" t="s">
        <v>294</v>
      </c>
      <c r="F109" s="4" t="s">
        <v>339</v>
      </c>
      <c r="I109" t="str">
        <f>entities[[#This Row],[domain]]&amp;"."&amp;entities[[#This Row],[object_id]]</f>
        <v>light.lux_lamp_1</v>
      </c>
      <c r="J109">
        <f>5-COUNTBLANK(entities[[#This Row],[hidden]:[icon]])</f>
        <v>2</v>
      </c>
      <c r="K109">
        <f>IF(entities[[#This Row],[Custom Attributes]]=0,"",
COUNTIFS(entities[Custom Attributes],"&gt;0",entities[entity_id],"&lt;="&amp;entities[[#This Row],[entity_id]]))</f>
        <v>62</v>
      </c>
      <c r="L109" s="6">
        <f t="array" aca="1" ref="L109" ca="1">IF(entities[[#This Row],[Custom Attributes]]&lt;1,"",
MATCH(FALSE, ISBLANK(OFFSET(entities[[#This Row],[hidden]],0,0,1,5)), 0))</f>
        <v>1</v>
      </c>
      <c r="M109" s="6">
        <f t="array" aca="1" ref="M109" ca="1">IF(entities[[#This Row],[Custom Attributes]]&lt;2,"",
IF(entities[[#This Row],[1]]=5-1,5,
MATCH(FALSE, ISBLANK(OFFSET(entities[[#This Row],[hidden]],0,entities[[#This Row],[1]],1,5-entities[[#This Row],[1]])), 0)+entities[[#This Row],[1]]))</f>
        <v>3</v>
      </c>
      <c r="N109" s="6" t="str">
        <f t="array" aca="1" ref="N109" ca="1">IF(entities[[#This Row],[Custom Attributes]]&lt;3,"",
IF(entities[[#This Row],[2]]=5-1,5,
MATCH(FALSE, ISBLANK(OFFSET(entities[[#This Row],[hidden]],0,entities[[#This Row],[2]],1,5-entities[[#This Row],[2]])), 0)+entities[[#This Row],[2]]))</f>
        <v/>
      </c>
      <c r="O109" s="6" t="str">
        <f t="array" aca="1" ref="O109" ca="1">IF(entities[[#This Row],[Custom Attributes]]&lt;4,"",
IF(entities[[#This Row],[3]]=5-1,5,
MATCH(FALSE, ISBLANK(OFFSET(entities[[#This Row],[hidden]],0,entities[[#This Row],[3]],1,5-entities[[#This Row],[3]])), 0)+entities[[#This Row],[3]]))</f>
        <v/>
      </c>
      <c r="P109" s="14" t="str">
        <f ca="1">IF(entities[[#This Row],[1]]="","",
VLOOKUP(entities[[#This Row],[1]],Lookup!$B$5:$D$9,3,FALSE)  &amp;  INDEX(entities[[#This Row],[hidden]:[icon]],entities[[#This Row],[1]])
)</f>
        <v xml:space="preserve">  hidden: true</v>
      </c>
      <c r="Q109" s="6" t="str">
        <f ca="1">IF(entities[[#This Row],[2]]="","",
VLOOKUP(entities[[#This Row],[2]],Lookup!$B$5:$D$9,3,FALSE)  &amp;  INDEX(entities[[#This Row],[hidden]:[icon]],entities[[#This Row],[2]])
)</f>
        <v xml:space="preserve">  emulated_hue: false</v>
      </c>
      <c r="R109" s="6" t="str">
        <f ca="1">IF(entities[[#This Row],[3]]="","",
VLOOKUP(entities[[#This Row],[3]],Lookup!$B$5:$D$9,3,FALSE)  &amp;  INDEX(entities[[#This Row],[hidden]:[icon]],entities[[#This Row],[3]])
)</f>
        <v/>
      </c>
      <c r="S109" s="6" t="str">
        <f ca="1">IF(entities[[#This Row],[4]]="","",
VLOOKUP(entities[[#This Row],[4]],Lookup!$B$5:$D$9,3,FALSE)  &amp;  INDEX(entities[[#This Row],[hidden]:[icon]],entities[[#This Row],[4]])
)</f>
        <v/>
      </c>
      <c r="T109" t="str">
        <f t="array" ref="T109">IFERROR(INDEX(cards[object_id],SMALL(IF(cards[[1]:[25]]=entities[[#This Row],[entity_id]],ROW(cards[])-7,99^99),1)),"")</f>
        <v>bedroom_lights</v>
      </c>
      <c r="U109" t="str">
        <f>IF(entities[[#This Row],[In HA?]]&lt;&gt;"ok",  "Not in Home Assistant",
IF(entities[[#This Row],[hidden]]="true",  "Hidden",
IF(entities[[#This Row],[Card]]&lt;&gt;"",
INDEX(cards[name],MATCH(entities[[#This Row],[Card]],cards[object_id],0)),  "Badge / automatic card")))</f>
        <v>Hidden</v>
      </c>
      <c r="V109" t="str">
        <f>IF(entities[[#This Row],[Card]]&lt;&gt;"","group."&amp;entities[[#This Row],[Card]],"")</f>
        <v>group.bedroom_lights</v>
      </c>
      <c r="W109" t="str">
        <f t="array" ref="W109">IFERROR(IF(entities[[#This Row],[Assigned Card]]="","",INDEX(views[object_id],SMALL(IF(views[[1]:[25]]=entities[[#This Row],[Assigned Card]],ROW(views[])-7,99^99),1))),"")</f>
        <v/>
      </c>
      <c r="X109" t="str">
        <f t="array" ref="X109">IFERROR(INDEX(views[object_id],SMALL(IF(views[[1]:[25]]=entities[[#This Row],[entity_id]],ROW(views[])-7,99^99),1)),"")</f>
        <v/>
      </c>
      <c r="Y109" t="str">
        <f>IF(entities[[#This Row],[View from card]]&lt;&gt;"",entities[[#This Row],[View from card]],entities[[#This Row],[View from entitiy]])</f>
        <v/>
      </c>
      <c r="Z109" t="str">
        <f>IF(entities[[#This Row],[In HA?]]&lt;&gt;"ok",  "Not in Home Assistant",
IF(entities[[#This Row],[hidden]]="true",  "Hidden",
IF(entities[[#This Row],[View]]&lt;&gt;"",
INDEX(views[name],MATCH(entities[[#This Row],[View]],views[object_id],0)),  "Default view")))</f>
        <v>Hidden</v>
      </c>
      <c r="AA109" t="str">
        <f>IF(entities[[#This Row],[View]]&lt;&gt;"","group."&amp;entities[[#This Row],[View]],"")</f>
        <v/>
      </c>
      <c r="AB109" s="6" t="str">
        <f>IF(COUNTIF(Table4[Entity],entities[[#This Row],[entity_id]]),"ok","Missing from States tab")</f>
        <v>ok</v>
      </c>
      <c r="AF109"/>
    </row>
    <row r="110" spans="2:32" x14ac:dyDescent="0.45">
      <c r="B110" t="s">
        <v>763</v>
      </c>
      <c r="C110" t="s">
        <v>825</v>
      </c>
      <c r="I110" s="6" t="str">
        <f>entities[[#This Row],[domain]]&amp;"."&amp;entities[[#This Row],[object_id]]</f>
        <v>media_player.galaxy_s7</v>
      </c>
      <c r="J110" s="6">
        <f>5-COUNTBLANK(entities[[#This Row],[hidden]:[icon]])</f>
        <v>0</v>
      </c>
      <c r="K110" s="6" t="str">
        <f>IF(entities[[#This Row],[Custom Attributes]]=0,"",
COUNTIFS(entities[Custom Attributes],"&gt;0",entities[entity_id],"&lt;="&amp;entities[[#This Row],[entity_id]]))</f>
        <v/>
      </c>
      <c r="L110" s="6" t="str">
        <f t="array" aca="1" ref="L110" ca="1">IF(entities[[#This Row],[Custom Attributes]]&lt;1,"",
MATCH(FALSE, ISBLANK(OFFSET(entities[[#This Row],[hidden]],0,0,1,5)), 0))</f>
        <v/>
      </c>
      <c r="M110" s="6" t="str">
        <f t="array" aca="1" ref="M110" ca="1">IF(entities[[#This Row],[Custom Attributes]]&lt;2,"",
IF(entities[[#This Row],[1]]=5-1,5,
MATCH(FALSE, ISBLANK(OFFSET(entities[[#This Row],[hidden]],0,entities[[#This Row],[1]],1,5-entities[[#This Row],[1]])), 0)+entities[[#This Row],[1]]))</f>
        <v/>
      </c>
      <c r="N110" s="6" t="str">
        <f t="array" aca="1" ref="N110" ca="1">IF(entities[[#This Row],[Custom Attributes]]&lt;3,"",
IF(entities[[#This Row],[2]]=5-1,5,
MATCH(FALSE, ISBLANK(OFFSET(entities[[#This Row],[hidden]],0,entities[[#This Row],[2]],1,5-entities[[#This Row],[2]])), 0)+entities[[#This Row],[2]]))</f>
        <v/>
      </c>
      <c r="O110" s="6" t="str">
        <f t="array" aca="1" ref="O110" ca="1">IF(entities[[#This Row],[Custom Attributes]]&lt;4,"",
IF(entities[[#This Row],[3]]=5-1,5,
MATCH(FALSE, ISBLANK(OFFSET(entities[[#This Row],[hidden]],0,entities[[#This Row],[3]],1,5-entities[[#This Row],[3]])), 0)+entities[[#This Row],[3]]))</f>
        <v/>
      </c>
      <c r="P110" s="14" t="str">
        <f ca="1">IF(entities[[#This Row],[1]]="","",
VLOOKUP(entities[[#This Row],[1]],Lookup!$B$5:$D$9,3,FALSE)  &amp;  INDEX(entities[[#This Row],[hidden]:[icon]],entities[[#This Row],[1]])
)</f>
        <v/>
      </c>
      <c r="Q110" s="6" t="str">
        <f ca="1">IF(entities[[#This Row],[2]]="","",
VLOOKUP(entities[[#This Row],[2]],Lookup!$B$5:$D$9,3,FALSE)  &amp;  INDEX(entities[[#This Row],[hidden]:[icon]],entities[[#This Row],[2]])
)</f>
        <v/>
      </c>
      <c r="R110" s="6" t="str">
        <f ca="1">IF(entities[[#This Row],[3]]="","",
VLOOKUP(entities[[#This Row],[3]],Lookup!$B$5:$D$9,3,FALSE)  &amp;  INDEX(entities[[#This Row],[hidden]:[icon]],entities[[#This Row],[3]])
)</f>
        <v/>
      </c>
      <c r="S110" s="6" t="str">
        <f ca="1">IF(entities[[#This Row],[4]]="","",
VLOOKUP(entities[[#This Row],[4]],Lookup!$B$5:$D$9,3,FALSE)  &amp;  INDEX(entities[[#This Row],[hidden]:[icon]],entities[[#This Row],[4]])
)</f>
        <v/>
      </c>
      <c r="T110" s="6" t="str">
        <f t="array" ref="T110">IFERROR(INDEX(cards[object_id],SMALL(IF(cards[[1]:[25]]=entities[[#This Row],[entity_id]],ROW(cards[])-7,99^99),1)),"")</f>
        <v/>
      </c>
      <c r="U110" s="6" t="str">
        <f>IF(entities[[#This Row],[In HA?]]&lt;&gt;"ok",  "Not in Home Assistant",
IF(entities[[#This Row],[hidden]]="true",  "Hidden",
IF(entities[[#This Row],[Card]]&lt;&gt;"",
INDEX(cards[name],MATCH(entities[[#This Row],[Card]],cards[object_id],0)),  "Badge / automatic card")))</f>
        <v>Not in Home Assistant</v>
      </c>
      <c r="V110" s="6" t="str">
        <f>IF(entities[[#This Row],[Card]]&lt;&gt;"","group."&amp;entities[[#This Row],[Card]],"")</f>
        <v/>
      </c>
      <c r="W110" s="6" t="str">
        <f t="array" ref="W110">IFERROR(IF(entities[[#This Row],[Assigned Card]]="","",INDEX(views[object_id],SMALL(IF(views[[1]:[25]]=entities[[#This Row],[Assigned Card]],ROW(views[])-7,99^99),1))),"")</f>
        <v/>
      </c>
      <c r="X110" s="6" t="str">
        <f t="array" ref="X110">IFERROR(INDEX(views[object_id],SMALL(IF(views[[1]:[25]]=entities[[#This Row],[entity_id]],ROW(views[])-7,99^99),1)),"")</f>
        <v/>
      </c>
      <c r="Y110" s="6" t="str">
        <f>IF(entities[[#This Row],[View from card]]&lt;&gt;"",entities[[#This Row],[View from card]],entities[[#This Row],[View from entitiy]])</f>
        <v/>
      </c>
      <c r="Z110" s="6" t="str">
        <f>IF(entities[[#This Row],[In HA?]]&lt;&gt;"ok",  "Not in Home Assistant",
IF(entities[[#This Row],[hidden]]="true",  "Hidden",
IF(entities[[#This Row],[View]]&lt;&gt;"",
INDEX(views[name],MATCH(entities[[#This Row],[View]],views[object_id],0)),  "Default view")))</f>
        <v>Not in Home Assistant</v>
      </c>
      <c r="AA110" s="6" t="str">
        <f>IF(entities[[#This Row],[View]]&lt;&gt;"","group."&amp;entities[[#This Row],[View]],"")</f>
        <v/>
      </c>
      <c r="AB110" s="6" t="str">
        <f>IF(COUNTIF(Table4[Entity],entities[[#This Row],[entity_id]]),"ok","Missing from States tab")</f>
        <v>Missing from States tab</v>
      </c>
      <c r="AF110"/>
    </row>
    <row r="111" spans="2:32" x14ac:dyDescent="0.45">
      <c r="B111" t="s">
        <v>763</v>
      </c>
      <c r="C111" t="s">
        <v>781</v>
      </c>
      <c r="I111" s="6" t="str">
        <f>entities[[#This Row],[domain]]&amp;"."&amp;entities[[#This Row],[object_id]]</f>
        <v>media_player.living_room</v>
      </c>
      <c r="J111" s="6">
        <f>5-COUNTBLANK(entities[[#This Row],[hidden]:[icon]])</f>
        <v>0</v>
      </c>
      <c r="K111" s="6" t="str">
        <f>IF(entities[[#This Row],[Custom Attributes]]=0,"",
COUNTIFS(entities[Custom Attributes],"&gt;0",entities[entity_id],"&lt;="&amp;entities[[#This Row],[entity_id]]))</f>
        <v/>
      </c>
      <c r="L111" s="6" t="str">
        <f t="array" aca="1" ref="L111" ca="1">IF(entities[[#This Row],[Custom Attributes]]&lt;1,"",
MATCH(FALSE, ISBLANK(OFFSET(entities[[#This Row],[hidden]],0,0,1,5)), 0))</f>
        <v/>
      </c>
      <c r="M111" s="6" t="str">
        <f t="array" aca="1" ref="M111" ca="1">IF(entities[[#This Row],[Custom Attributes]]&lt;2,"",
IF(entities[[#This Row],[1]]=5-1,5,
MATCH(FALSE, ISBLANK(OFFSET(entities[[#This Row],[hidden]],0,entities[[#This Row],[1]],1,5-entities[[#This Row],[1]])), 0)+entities[[#This Row],[1]]))</f>
        <v/>
      </c>
      <c r="N111" s="6" t="str">
        <f t="array" aca="1" ref="N111" ca="1">IF(entities[[#This Row],[Custom Attributes]]&lt;3,"",
IF(entities[[#This Row],[2]]=5-1,5,
MATCH(FALSE, ISBLANK(OFFSET(entities[[#This Row],[hidden]],0,entities[[#This Row],[2]],1,5-entities[[#This Row],[2]])), 0)+entities[[#This Row],[2]]))</f>
        <v/>
      </c>
      <c r="O111" s="6" t="str">
        <f t="array" aca="1" ref="O111" ca="1">IF(entities[[#This Row],[Custom Attributes]]&lt;4,"",
IF(entities[[#This Row],[3]]=5-1,5,
MATCH(FALSE, ISBLANK(OFFSET(entities[[#This Row],[hidden]],0,entities[[#This Row],[3]],1,5-entities[[#This Row],[3]])), 0)+entities[[#This Row],[3]]))</f>
        <v/>
      </c>
      <c r="P111" s="14" t="str">
        <f ca="1">IF(entities[[#This Row],[1]]="","",
VLOOKUP(entities[[#This Row],[1]],Lookup!$B$5:$D$9,3,FALSE)  &amp;  INDEX(entities[[#This Row],[hidden]:[icon]],entities[[#This Row],[1]])
)</f>
        <v/>
      </c>
      <c r="Q111" s="6" t="str">
        <f ca="1">IF(entities[[#This Row],[2]]="","",
VLOOKUP(entities[[#This Row],[2]],Lookup!$B$5:$D$9,3,FALSE)  &amp;  INDEX(entities[[#This Row],[hidden]:[icon]],entities[[#This Row],[2]])
)</f>
        <v/>
      </c>
      <c r="R111" s="6" t="str">
        <f ca="1">IF(entities[[#This Row],[3]]="","",
VLOOKUP(entities[[#This Row],[3]],Lookup!$B$5:$D$9,3,FALSE)  &amp;  INDEX(entities[[#This Row],[hidden]:[icon]],entities[[#This Row],[3]])
)</f>
        <v/>
      </c>
      <c r="S111" s="6" t="str">
        <f ca="1">IF(entities[[#This Row],[4]]="","",
VLOOKUP(entities[[#This Row],[4]],Lookup!$B$5:$D$9,3,FALSE)  &amp;  INDEX(entities[[#This Row],[hidden]:[icon]],entities[[#This Row],[4]])
)</f>
        <v/>
      </c>
      <c r="T111" s="6" t="str">
        <f t="array" ref="T111">IFERROR(INDEX(cards[object_id],SMALL(IF(cards[[1]:[25]]=entities[[#This Row],[entity_id]],ROW(cards[])-7,99^99),1)),"")</f>
        <v/>
      </c>
      <c r="U111" s="6" t="str">
        <f>IF(entities[[#This Row],[In HA?]]&lt;&gt;"ok",  "Not in Home Assistant",
IF(entities[[#This Row],[hidden]]="true",  "Hidden",
IF(entities[[#This Row],[Card]]&lt;&gt;"",
INDEX(cards[name],MATCH(entities[[#This Row],[Card]],cards[object_id],0)),  "Badge / automatic card")))</f>
        <v>Badge / automatic card</v>
      </c>
      <c r="V111" s="6" t="str">
        <f>IF(entities[[#This Row],[Card]]&lt;&gt;"","group."&amp;entities[[#This Row],[Card]],"")</f>
        <v/>
      </c>
      <c r="W111" s="6" t="str">
        <f t="array" ref="W111">IFERROR(IF(entities[[#This Row],[Assigned Card]]="","",INDEX(views[object_id],SMALL(IF(views[[1]:[25]]=entities[[#This Row],[Assigned Card]],ROW(views[])-7,99^99),1))),"")</f>
        <v/>
      </c>
      <c r="X111" s="6" t="str">
        <f t="array" ref="X111">IFERROR(INDEX(views[object_id],SMALL(IF(views[[1]:[25]]=entities[[#This Row],[entity_id]],ROW(views[])-7,99^99),1)),"")</f>
        <v/>
      </c>
      <c r="Y111" s="6" t="str">
        <f>IF(entities[[#This Row],[View from card]]&lt;&gt;"",entities[[#This Row],[View from card]],entities[[#This Row],[View from entitiy]])</f>
        <v/>
      </c>
      <c r="Z111" s="6" t="str">
        <f>IF(entities[[#This Row],[In HA?]]&lt;&gt;"ok",  "Not in Home Assistant",
IF(entities[[#This Row],[hidden]]="true",  "Hidden",
IF(entities[[#This Row],[View]]&lt;&gt;"",
INDEX(views[name],MATCH(entities[[#This Row],[View]],views[object_id],0)),  "Default view")))</f>
        <v>Default view</v>
      </c>
      <c r="AA111" s="6" t="str">
        <f>IF(entities[[#This Row],[View]]&lt;&gt;"","group."&amp;entities[[#This Row],[View]],"")</f>
        <v/>
      </c>
      <c r="AB111" s="6" t="str">
        <f>IF(COUNTIF(Table4[Entity],entities[[#This Row],[entity_id]]),"ok","Missing from States tab")</f>
        <v>ok</v>
      </c>
      <c r="AF111"/>
    </row>
    <row r="112" spans="2:32" x14ac:dyDescent="0.45">
      <c r="B112" t="s">
        <v>763</v>
      </c>
      <c r="C112" t="s">
        <v>787</v>
      </c>
      <c r="E112" t="s">
        <v>342</v>
      </c>
      <c r="I112" s="6" t="str">
        <f>entities[[#This Row],[domain]]&amp;"."&amp;entities[[#This Row],[object_id]]</f>
        <v>media_player.living_room_tv</v>
      </c>
      <c r="J112" s="6">
        <f>5-COUNTBLANK(entities[[#This Row],[hidden]:[icon]])</f>
        <v>1</v>
      </c>
      <c r="K112" s="6">
        <f>IF(entities[[#This Row],[Custom Attributes]]=0,"",
COUNTIFS(entities[Custom Attributes],"&gt;0",entities[entity_id],"&lt;="&amp;entities[[#This Row],[entity_id]]))</f>
        <v>63</v>
      </c>
      <c r="L112" s="6">
        <f t="array" aca="1" ref="L112" ca="1">IF(entities[[#This Row],[Custom Attributes]]&lt;1,"",
MATCH(FALSE, ISBLANK(OFFSET(entities[[#This Row],[hidden]],0,0,1,5)), 0))</f>
        <v>2</v>
      </c>
      <c r="M112" s="6" t="str">
        <f t="array" aca="1" ref="M112" ca="1">IF(entities[[#This Row],[Custom Attributes]]&lt;2,"",
IF(entities[[#This Row],[1]]=5-1,5,
MATCH(FALSE, ISBLANK(OFFSET(entities[[#This Row],[hidden]],0,entities[[#This Row],[1]],1,5-entities[[#This Row],[1]])), 0)+entities[[#This Row],[1]]))</f>
        <v/>
      </c>
      <c r="N112" s="6" t="str">
        <f t="array" aca="1" ref="N112" ca="1">IF(entities[[#This Row],[Custom Attributes]]&lt;3,"",
IF(entities[[#This Row],[2]]=5-1,5,
MATCH(FALSE, ISBLANK(OFFSET(entities[[#This Row],[hidden]],0,entities[[#This Row],[2]],1,5-entities[[#This Row],[2]])), 0)+entities[[#This Row],[2]]))</f>
        <v/>
      </c>
      <c r="O112" s="6" t="str">
        <f t="array" aca="1" ref="O112" ca="1">IF(entities[[#This Row],[Custom Attributes]]&lt;4,"",
IF(entities[[#This Row],[3]]=5-1,5,
MATCH(FALSE, ISBLANK(OFFSET(entities[[#This Row],[hidden]],0,entities[[#This Row],[3]],1,5-entities[[#This Row],[3]])), 0)+entities[[#This Row],[3]]))</f>
        <v/>
      </c>
      <c r="P112" s="14" t="str">
        <f ca="1">IF(entities[[#This Row],[1]]="","",
VLOOKUP(entities[[#This Row],[1]],Lookup!$B$5:$D$9,3,FALSE)  &amp;  INDEX(entities[[#This Row],[hidden]:[icon]],entities[[#This Row],[1]])
)</f>
        <v xml:space="preserve">  friendly_name: TV</v>
      </c>
      <c r="Q112" s="6" t="str">
        <f ca="1">IF(entities[[#This Row],[2]]="","",
VLOOKUP(entities[[#This Row],[2]],Lookup!$B$5:$D$9,3,FALSE)  &amp;  INDEX(entities[[#This Row],[hidden]:[icon]],entities[[#This Row],[2]])
)</f>
        <v/>
      </c>
      <c r="R112" s="6" t="str">
        <f ca="1">IF(entities[[#This Row],[3]]="","",
VLOOKUP(entities[[#This Row],[3]],Lookup!$B$5:$D$9,3,FALSE)  &amp;  INDEX(entities[[#This Row],[hidden]:[icon]],entities[[#This Row],[3]])
)</f>
        <v/>
      </c>
      <c r="S112" s="6" t="str">
        <f ca="1">IF(entities[[#This Row],[4]]="","",
VLOOKUP(entities[[#This Row],[4]],Lookup!$B$5:$D$9,3,FALSE)  &amp;  INDEX(entities[[#This Row],[hidden]:[icon]],entities[[#This Row],[4]])
)</f>
        <v/>
      </c>
      <c r="T112" s="6" t="str">
        <f t="array" ref="T112">IFERROR(INDEX(cards[object_id],SMALL(IF(cards[[1]:[25]]=entities[[#This Row],[entity_id]],ROW(cards[])-7,99^99),1)),"")</f>
        <v/>
      </c>
      <c r="U112" s="6" t="str">
        <f>IF(entities[[#This Row],[In HA?]]&lt;&gt;"ok",  "Not in Home Assistant",
IF(entities[[#This Row],[hidden]]="true",  "Hidden",
IF(entities[[#This Row],[Card]]&lt;&gt;"",
INDEX(cards[name],MATCH(entities[[#This Row],[Card]],cards[object_id],0)),  "Badge / automatic card")))</f>
        <v>Badge / automatic card</v>
      </c>
      <c r="V112" s="6" t="str">
        <f>IF(entities[[#This Row],[Card]]&lt;&gt;"","group."&amp;entities[[#This Row],[Card]],"")</f>
        <v/>
      </c>
      <c r="W112" s="6" t="str">
        <f t="array" ref="W112">IFERROR(IF(entities[[#This Row],[Assigned Card]]="","",INDEX(views[object_id],SMALL(IF(views[[1]:[25]]=entities[[#This Row],[Assigned Card]],ROW(views[])-7,99^99),1))),"")</f>
        <v/>
      </c>
      <c r="X112" s="6" t="str">
        <f t="array" ref="X112">IFERROR(INDEX(views[object_id],SMALL(IF(views[[1]:[25]]=entities[[#This Row],[entity_id]],ROW(views[])-7,99^99),1)),"")</f>
        <v>default_view</v>
      </c>
      <c r="Y112" s="6" t="str">
        <f>IF(entities[[#This Row],[View from card]]&lt;&gt;"",entities[[#This Row],[View from card]],entities[[#This Row],[View from entitiy]])</f>
        <v>default_view</v>
      </c>
      <c r="Z112" s="6">
        <f>IF(entities[[#This Row],[In HA?]]&lt;&gt;"ok",  "Not in Home Assistant",
IF(entities[[#This Row],[hidden]]="true",  "Hidden",
IF(entities[[#This Row],[View]]&lt;&gt;"",
INDEX(views[name],MATCH(entities[[#This Row],[View]],views[object_id],0)),  "Default view")))</f>
        <v>0</v>
      </c>
      <c r="AA112" s="6" t="str">
        <f>IF(entities[[#This Row],[View]]&lt;&gt;"","group."&amp;entities[[#This Row],[View]],"")</f>
        <v>group.default_view</v>
      </c>
      <c r="AB112" s="6" t="str">
        <f>IF(COUNTIF(Table4[Entity],entities[[#This Row],[entity_id]]),"ok","Missing from States tab")</f>
        <v>ok</v>
      </c>
      <c r="AF112"/>
    </row>
    <row r="113" spans="2:32" x14ac:dyDescent="0.45">
      <c r="B113" t="s">
        <v>767</v>
      </c>
      <c r="C113" t="s">
        <v>768</v>
      </c>
      <c r="I113" s="6" t="str">
        <f>entities[[#This Row],[domain]]&amp;"."&amp;entities[[#This Row],[object_id]]</f>
        <v>remote.tv</v>
      </c>
      <c r="J113" s="6">
        <f>5-COUNTBLANK(entities[[#This Row],[hidden]:[icon]])</f>
        <v>0</v>
      </c>
      <c r="K113" s="6" t="str">
        <f>IF(entities[[#This Row],[Custom Attributes]]=0,"",
COUNTIFS(entities[Custom Attributes],"&gt;0",entities[entity_id],"&lt;="&amp;entities[[#This Row],[entity_id]]))</f>
        <v/>
      </c>
      <c r="L113" s="6" t="str">
        <f t="array" aca="1" ref="L113" ca="1">IF(entities[[#This Row],[Custom Attributes]]&lt;1,"",
MATCH(FALSE, ISBLANK(OFFSET(entities[[#This Row],[hidden]],0,0,1,5)), 0))</f>
        <v/>
      </c>
      <c r="M113" s="6" t="str">
        <f t="array" aca="1" ref="M113" ca="1">IF(entities[[#This Row],[Custom Attributes]]&lt;2,"",
IF(entities[[#This Row],[1]]=5-1,5,
MATCH(FALSE, ISBLANK(OFFSET(entities[[#This Row],[hidden]],0,entities[[#This Row],[1]],1,5-entities[[#This Row],[1]])), 0)+entities[[#This Row],[1]]))</f>
        <v/>
      </c>
      <c r="N113" s="6" t="str">
        <f t="array" aca="1" ref="N113" ca="1">IF(entities[[#This Row],[Custom Attributes]]&lt;3,"",
IF(entities[[#This Row],[2]]=5-1,5,
MATCH(FALSE, ISBLANK(OFFSET(entities[[#This Row],[hidden]],0,entities[[#This Row],[2]],1,5-entities[[#This Row],[2]])), 0)+entities[[#This Row],[2]]))</f>
        <v/>
      </c>
      <c r="O113" s="6" t="str">
        <f t="array" aca="1" ref="O113" ca="1">IF(entities[[#This Row],[Custom Attributes]]&lt;4,"",
IF(entities[[#This Row],[3]]=5-1,5,
MATCH(FALSE, ISBLANK(OFFSET(entities[[#This Row],[hidden]],0,entities[[#This Row],[3]],1,5-entities[[#This Row],[3]])), 0)+entities[[#This Row],[3]]))</f>
        <v/>
      </c>
      <c r="P113" s="14" t="str">
        <f ca="1">IF(entities[[#This Row],[1]]="","",
VLOOKUP(entities[[#This Row],[1]],Lookup!$B$5:$D$9,3,FALSE)  &amp;  INDEX(entities[[#This Row],[hidden]:[icon]],entities[[#This Row],[1]])
)</f>
        <v/>
      </c>
      <c r="Q113" s="6" t="str">
        <f ca="1">IF(entities[[#This Row],[2]]="","",
VLOOKUP(entities[[#This Row],[2]],Lookup!$B$5:$D$9,3,FALSE)  &amp;  INDEX(entities[[#This Row],[hidden]:[icon]],entities[[#This Row],[2]])
)</f>
        <v/>
      </c>
      <c r="R113" s="6" t="str">
        <f ca="1">IF(entities[[#This Row],[3]]="","",
VLOOKUP(entities[[#This Row],[3]],Lookup!$B$5:$D$9,3,FALSE)  &amp;  INDEX(entities[[#This Row],[hidden]:[icon]],entities[[#This Row],[3]])
)</f>
        <v/>
      </c>
      <c r="S113" s="6" t="str">
        <f ca="1">IF(entities[[#This Row],[4]]="","",
VLOOKUP(entities[[#This Row],[4]],Lookup!$B$5:$D$9,3,FALSE)  &amp;  INDEX(entities[[#This Row],[hidden]:[icon]],entities[[#This Row],[4]])
)</f>
        <v/>
      </c>
      <c r="T113" s="6" t="str">
        <f t="array" ref="T113">IFERROR(INDEX(cards[object_id],SMALL(IF(cards[[1]:[25]]=entities[[#This Row],[entity_id]],ROW(cards[])-7,99^99),1)),"")</f>
        <v/>
      </c>
      <c r="U113" s="6" t="str">
        <f>IF(entities[[#This Row],[In HA?]]&lt;&gt;"ok",  "Not in Home Assistant",
IF(entities[[#This Row],[hidden]]="true",  "Hidden",
IF(entities[[#This Row],[Card]]&lt;&gt;"",
INDEX(cards[name],MATCH(entities[[#This Row],[Card]],cards[object_id],0)),  "Badge / automatic card")))</f>
        <v>Badge / automatic card</v>
      </c>
      <c r="V113" s="6" t="str">
        <f>IF(entities[[#This Row],[Card]]&lt;&gt;"","group."&amp;entities[[#This Row],[Card]],"")</f>
        <v/>
      </c>
      <c r="W113" s="6" t="str">
        <f t="array" ref="W113">IFERROR(IF(entities[[#This Row],[Assigned Card]]="","",INDEX(views[object_id],SMALL(IF(views[[1]:[25]]=entities[[#This Row],[Assigned Card]],ROW(views[])-7,99^99),1))),"")</f>
        <v/>
      </c>
      <c r="X113" s="6" t="str">
        <f t="array" ref="X113">IFERROR(INDEX(views[object_id],SMALL(IF(views[[1]:[25]]=entities[[#This Row],[entity_id]],ROW(views[])-7,99^99),1)),"")</f>
        <v/>
      </c>
      <c r="Y113" s="6" t="str">
        <f>IF(entities[[#This Row],[View from card]]&lt;&gt;"",entities[[#This Row],[View from card]],entities[[#This Row],[View from entitiy]])</f>
        <v/>
      </c>
      <c r="Z113" s="6" t="str">
        <f>IF(entities[[#This Row],[In HA?]]&lt;&gt;"ok",  "Not in Home Assistant",
IF(entities[[#This Row],[hidden]]="true",  "Hidden",
IF(entities[[#This Row],[View]]&lt;&gt;"",
INDEX(views[name],MATCH(entities[[#This Row],[View]],views[object_id],0)),  "Default view")))</f>
        <v>Default view</v>
      </c>
      <c r="AA113" s="6" t="str">
        <f>IF(entities[[#This Row],[View]]&lt;&gt;"","group."&amp;entities[[#This Row],[View]],"")</f>
        <v/>
      </c>
      <c r="AB113" s="6" t="str">
        <f>IF(COUNTIF(Table4[Entity],entities[[#This Row],[entity_id]]),"ok","Missing from States tab")</f>
        <v>ok</v>
      </c>
      <c r="AF113"/>
    </row>
    <row r="114" spans="2:32" x14ac:dyDescent="0.45">
      <c r="B114" t="s">
        <v>247</v>
      </c>
      <c r="C114" t="s">
        <v>248</v>
      </c>
      <c r="D114" s="4" t="s">
        <v>339</v>
      </c>
      <c r="E114" t="s">
        <v>347</v>
      </c>
      <c r="F114" s="4" t="s">
        <v>294</v>
      </c>
      <c r="H114" t="s">
        <v>374</v>
      </c>
      <c r="I114" t="str">
        <f>entities[[#This Row],[domain]]&amp;"."&amp;entities[[#This Row],[object_id]]</f>
        <v>script.all_off</v>
      </c>
      <c r="J114">
        <f>5-COUNTBLANK(entities[[#This Row],[hidden]:[icon]])</f>
        <v>4</v>
      </c>
      <c r="K114">
        <f>IF(entities[[#This Row],[Custom Attributes]]=0,"",
COUNTIFS(entities[Custom Attributes],"&gt;0",entities[entity_id],"&lt;="&amp;entities[[#This Row],[entity_id]]))</f>
        <v>64</v>
      </c>
      <c r="L114" s="6">
        <f t="array" aca="1" ref="L114" ca="1">IF(entities[[#This Row],[Custom Attributes]]&lt;1,"",
MATCH(FALSE, ISBLANK(OFFSET(entities[[#This Row],[hidden]],0,0,1,5)), 0))</f>
        <v>1</v>
      </c>
      <c r="M114" s="6">
        <f t="array" aca="1" ref="M114" ca="1">IF(entities[[#This Row],[Custom Attributes]]&lt;2,"",
IF(entities[[#This Row],[1]]=5-1,5,
MATCH(FALSE, ISBLANK(OFFSET(entities[[#This Row],[hidden]],0,entities[[#This Row],[1]],1,5-entities[[#This Row],[1]])), 0)+entities[[#This Row],[1]]))</f>
        <v>2</v>
      </c>
      <c r="N114" s="6">
        <f t="array" aca="1" ref="N114" ca="1">IF(entities[[#This Row],[Custom Attributes]]&lt;3,"",
IF(entities[[#This Row],[2]]=5-1,5,
MATCH(FALSE, ISBLANK(OFFSET(entities[[#This Row],[hidden]],0,entities[[#This Row],[2]],1,5-entities[[#This Row],[2]])), 0)+entities[[#This Row],[2]]))</f>
        <v>3</v>
      </c>
      <c r="O114" s="6">
        <f t="array" aca="1" ref="O114" ca="1">IF(entities[[#This Row],[Custom Attributes]]&lt;4,"",
IF(entities[[#This Row],[3]]=5-1,5,
MATCH(FALSE, ISBLANK(OFFSET(entities[[#This Row],[hidden]],0,entities[[#This Row],[3]],1,5-entities[[#This Row],[3]])), 0)+entities[[#This Row],[3]]))</f>
        <v>5</v>
      </c>
      <c r="P114" s="14" t="str">
        <f ca="1">IF(entities[[#This Row],[1]]="","",
VLOOKUP(entities[[#This Row],[1]],Lookup!$B$5:$D$9,3,FALSE)  &amp;  INDEX(entities[[#This Row],[hidden]:[icon]],entities[[#This Row],[1]])
)</f>
        <v xml:space="preserve">  hidden: false</v>
      </c>
      <c r="Q114" s="6" t="str">
        <f ca="1">IF(entities[[#This Row],[2]]="","",
VLOOKUP(entities[[#This Row],[2]],Lookup!$B$5:$D$9,3,FALSE)  &amp;  INDEX(entities[[#This Row],[hidden]:[icon]],entities[[#This Row],[2]])
)</f>
        <v xml:space="preserve">  friendly_name: All Off</v>
      </c>
      <c r="R114" s="6" t="str">
        <f ca="1">IF(entities[[#This Row],[3]]="","",
VLOOKUP(entities[[#This Row],[3]],Lookup!$B$5:$D$9,3,FALSE)  &amp;  INDEX(entities[[#This Row],[hidden]:[icon]],entities[[#This Row],[3]])
)</f>
        <v xml:space="preserve">  emulated_hue: true</v>
      </c>
      <c r="S114" s="6" t="str">
        <f ca="1">IF(entities[[#This Row],[4]]="","",
VLOOKUP(entities[[#This Row],[4]],Lookup!$B$5:$D$9,3,FALSE)  &amp;  INDEX(entities[[#This Row],[hidden]:[icon]],entities[[#This Row],[4]])
)</f>
        <v xml:space="preserve">  icon: mdi:weather-night</v>
      </c>
      <c r="T114" t="str">
        <f t="array" ref="T114">IFERROR(INDEX(cards[object_id],SMALL(IF(cards[[1]:[25]]=entities[[#This Row],[entity_id]],ROW(cards[])-7,99^99),1)),"")</f>
        <v>bedroom</v>
      </c>
      <c r="U114" t="str">
        <f>IF(entities[[#This Row],[In HA?]]&lt;&gt;"ok",  "Not in Home Assistant",
IF(entities[[#This Row],[hidden]]="true",  "Hidden",
IF(entities[[#This Row],[Card]]&lt;&gt;"",
INDEX(cards[name],MATCH(entities[[#This Row],[Card]],cards[object_id],0)),  "Badge / automatic card")))</f>
        <v>Bedroom</v>
      </c>
      <c r="V114" t="str">
        <f>IF(entities[[#This Row],[Card]]&lt;&gt;"","group."&amp;entities[[#This Row],[Card]],"")</f>
        <v>group.bedroom</v>
      </c>
      <c r="W114" t="str">
        <f t="array" ref="W114">IFERROR(IF(entities[[#This Row],[Assigned Card]]="","",INDEX(views[object_id],SMALL(IF(views[[1]:[25]]=entities[[#This Row],[Assigned Card]],ROW(views[])-7,99^99),1))),"")</f>
        <v>default_view</v>
      </c>
      <c r="X114" t="str">
        <f t="array" ref="X114">IFERROR(INDEX(views[object_id],SMALL(IF(views[[1]:[25]]=entities[[#This Row],[entity_id]],ROW(views[])-7,99^99),1)),"")</f>
        <v/>
      </c>
      <c r="Y114" t="str">
        <f>IF(entities[[#This Row],[View from card]]&lt;&gt;"",entities[[#This Row],[View from card]],entities[[#This Row],[View from entitiy]])</f>
        <v>default_view</v>
      </c>
      <c r="Z114">
        <f>IF(entities[[#This Row],[In HA?]]&lt;&gt;"ok",  "Not in Home Assistant",
IF(entities[[#This Row],[hidden]]="true",  "Hidden",
IF(entities[[#This Row],[View]]&lt;&gt;"",
INDEX(views[name],MATCH(entities[[#This Row],[View]],views[object_id],0)),  "Default view")))</f>
        <v>0</v>
      </c>
      <c r="AA114" t="str">
        <f>IF(entities[[#This Row],[View]]&lt;&gt;"","group."&amp;entities[[#This Row],[View]],"")</f>
        <v>group.default_view</v>
      </c>
      <c r="AB114" s="6" t="str">
        <f>IF(COUNTIF(Table4[Entity],entities[[#This Row],[entity_id]]),"ok","Missing from States tab")</f>
        <v>ok</v>
      </c>
      <c r="AF114"/>
    </row>
    <row r="115" spans="2:32" x14ac:dyDescent="0.45">
      <c r="B115" t="s">
        <v>247</v>
      </c>
      <c r="C115" t="s">
        <v>249</v>
      </c>
      <c r="D115" s="4" t="s">
        <v>339</v>
      </c>
      <c r="E115" t="s">
        <v>343</v>
      </c>
      <c r="F115" s="4" t="s">
        <v>294</v>
      </c>
      <c r="H115" t="s">
        <v>375</v>
      </c>
      <c r="I115" t="str">
        <f>entities[[#This Row],[domain]]&amp;"."&amp;entities[[#This Row],[object_id]]</f>
        <v>script.bright</v>
      </c>
      <c r="J115">
        <f>5-COUNTBLANK(entities[[#This Row],[hidden]:[icon]])</f>
        <v>4</v>
      </c>
      <c r="K115">
        <f>IF(entities[[#This Row],[Custom Attributes]]=0,"",
COUNTIFS(entities[Custom Attributes],"&gt;0",entities[entity_id],"&lt;="&amp;entities[[#This Row],[entity_id]]))</f>
        <v>65</v>
      </c>
      <c r="L115" s="6">
        <f t="array" aca="1" ref="L115" ca="1">IF(entities[[#This Row],[Custom Attributes]]&lt;1,"",
MATCH(FALSE, ISBLANK(OFFSET(entities[[#This Row],[hidden]],0,0,1,5)), 0))</f>
        <v>1</v>
      </c>
      <c r="M115" s="6">
        <f t="array" aca="1" ref="M115" ca="1">IF(entities[[#This Row],[Custom Attributes]]&lt;2,"",
IF(entities[[#This Row],[1]]=5-1,5,
MATCH(FALSE, ISBLANK(OFFSET(entities[[#This Row],[hidden]],0,entities[[#This Row],[1]],1,5-entities[[#This Row],[1]])), 0)+entities[[#This Row],[1]]))</f>
        <v>2</v>
      </c>
      <c r="N115" s="6">
        <f t="array" aca="1" ref="N115" ca="1">IF(entities[[#This Row],[Custom Attributes]]&lt;3,"",
IF(entities[[#This Row],[2]]=5-1,5,
MATCH(FALSE, ISBLANK(OFFSET(entities[[#This Row],[hidden]],0,entities[[#This Row],[2]],1,5-entities[[#This Row],[2]])), 0)+entities[[#This Row],[2]]))</f>
        <v>3</v>
      </c>
      <c r="O115" s="6">
        <f t="array" aca="1" ref="O115" ca="1">IF(entities[[#This Row],[Custom Attributes]]&lt;4,"",
IF(entities[[#This Row],[3]]=5-1,5,
MATCH(FALSE, ISBLANK(OFFSET(entities[[#This Row],[hidden]],0,entities[[#This Row],[3]],1,5-entities[[#This Row],[3]])), 0)+entities[[#This Row],[3]]))</f>
        <v>5</v>
      </c>
      <c r="P115" s="14" t="str">
        <f ca="1">IF(entities[[#This Row],[1]]="","",
VLOOKUP(entities[[#This Row],[1]],Lookup!$B$5:$D$9,3,FALSE)  &amp;  INDEX(entities[[#This Row],[hidden]:[icon]],entities[[#This Row],[1]])
)</f>
        <v xml:space="preserve">  hidden: false</v>
      </c>
      <c r="Q115" s="6" t="str">
        <f ca="1">IF(entities[[#This Row],[2]]="","",
VLOOKUP(entities[[#This Row],[2]],Lookup!$B$5:$D$9,3,FALSE)  &amp;  INDEX(entities[[#This Row],[hidden]:[icon]],entities[[#This Row],[2]])
)</f>
        <v xml:space="preserve">  friendly_name: Bright</v>
      </c>
      <c r="R115" s="6" t="str">
        <f ca="1">IF(entities[[#This Row],[3]]="","",
VLOOKUP(entities[[#This Row],[3]],Lookup!$B$5:$D$9,3,FALSE)  &amp;  INDEX(entities[[#This Row],[hidden]:[icon]],entities[[#This Row],[3]])
)</f>
        <v xml:space="preserve">  emulated_hue: true</v>
      </c>
      <c r="S115" s="6" t="str">
        <f ca="1">IF(entities[[#This Row],[4]]="","",
VLOOKUP(entities[[#This Row],[4]],Lookup!$B$5:$D$9,3,FALSE)  &amp;  INDEX(entities[[#This Row],[hidden]:[icon]],entities[[#This Row],[4]])
)</f>
        <v xml:space="preserve">  icon: mdi:weather-sunny</v>
      </c>
      <c r="T115" t="str">
        <f t="array" ref="T115">IFERROR(INDEX(cards[object_id],SMALL(IF(cards[[1]:[25]]=entities[[#This Row],[entity_id]],ROW(cards[])-7,99^99),1)),"")</f>
        <v>bedroom</v>
      </c>
      <c r="U115" t="str">
        <f>IF(entities[[#This Row],[In HA?]]&lt;&gt;"ok",  "Not in Home Assistant",
IF(entities[[#This Row],[hidden]]="true",  "Hidden",
IF(entities[[#This Row],[Card]]&lt;&gt;"",
INDEX(cards[name],MATCH(entities[[#This Row],[Card]],cards[object_id],0)),  "Badge / automatic card")))</f>
        <v>Bedroom</v>
      </c>
      <c r="V115" t="str">
        <f>IF(entities[[#This Row],[Card]]&lt;&gt;"","group."&amp;entities[[#This Row],[Card]],"")</f>
        <v>group.bedroom</v>
      </c>
      <c r="W115" t="str">
        <f t="array" ref="W115">IFERROR(IF(entities[[#This Row],[Assigned Card]]="","",INDEX(views[object_id],SMALL(IF(views[[1]:[25]]=entities[[#This Row],[Assigned Card]],ROW(views[])-7,99^99),1))),"")</f>
        <v>default_view</v>
      </c>
      <c r="X115" t="str">
        <f t="array" ref="X115">IFERROR(INDEX(views[object_id],SMALL(IF(views[[1]:[25]]=entities[[#This Row],[entity_id]],ROW(views[])-7,99^99),1)),"")</f>
        <v/>
      </c>
      <c r="Y115" t="str">
        <f>IF(entities[[#This Row],[View from card]]&lt;&gt;"",entities[[#This Row],[View from card]],entities[[#This Row],[View from entitiy]])</f>
        <v>default_view</v>
      </c>
      <c r="Z115">
        <f>IF(entities[[#This Row],[In HA?]]&lt;&gt;"ok",  "Not in Home Assistant",
IF(entities[[#This Row],[hidden]]="true",  "Hidden",
IF(entities[[#This Row],[View]]&lt;&gt;"",
INDEX(views[name],MATCH(entities[[#This Row],[View]],views[object_id],0)),  "Default view")))</f>
        <v>0</v>
      </c>
      <c r="AA115" t="str">
        <f>IF(entities[[#This Row],[View]]&lt;&gt;"","group."&amp;entities[[#This Row],[View]],"")</f>
        <v>group.default_view</v>
      </c>
      <c r="AB115" s="6" t="str">
        <f>IF(COUNTIF(Table4[Entity],entities[[#This Row],[entity_id]]),"ok","Missing from States tab")</f>
        <v>ok</v>
      </c>
      <c r="AF115"/>
    </row>
    <row r="116" spans="2:32" x14ac:dyDescent="0.45">
      <c r="B116" t="s">
        <v>247</v>
      </c>
      <c r="C116" t="s">
        <v>250</v>
      </c>
      <c r="D116" s="4" t="s">
        <v>339</v>
      </c>
      <c r="E116" t="s">
        <v>345</v>
      </c>
      <c r="F116" s="4" t="s">
        <v>294</v>
      </c>
      <c r="H116" t="s">
        <v>376</v>
      </c>
      <c r="I116" t="str">
        <f>entities[[#This Row],[domain]]&amp;"."&amp;entities[[#This Row],[object_id]]</f>
        <v>script.dusk</v>
      </c>
      <c r="J116">
        <f>5-COUNTBLANK(entities[[#This Row],[hidden]:[icon]])</f>
        <v>4</v>
      </c>
      <c r="K116">
        <f>IF(entities[[#This Row],[Custom Attributes]]=0,"",
COUNTIFS(entities[Custom Attributes],"&gt;0",entities[entity_id],"&lt;="&amp;entities[[#This Row],[entity_id]]))</f>
        <v>66</v>
      </c>
      <c r="L116" s="6">
        <f t="array" aca="1" ref="L116" ca="1">IF(entities[[#This Row],[Custom Attributes]]&lt;1,"",
MATCH(FALSE, ISBLANK(OFFSET(entities[[#This Row],[hidden]],0,0,1,5)), 0))</f>
        <v>1</v>
      </c>
      <c r="M116" s="6">
        <f t="array" aca="1" ref="M116" ca="1">IF(entities[[#This Row],[Custom Attributes]]&lt;2,"",
IF(entities[[#This Row],[1]]=5-1,5,
MATCH(FALSE, ISBLANK(OFFSET(entities[[#This Row],[hidden]],0,entities[[#This Row],[1]],1,5-entities[[#This Row],[1]])), 0)+entities[[#This Row],[1]]))</f>
        <v>2</v>
      </c>
      <c r="N116" s="6">
        <f t="array" aca="1" ref="N116" ca="1">IF(entities[[#This Row],[Custom Attributes]]&lt;3,"",
IF(entities[[#This Row],[2]]=5-1,5,
MATCH(FALSE, ISBLANK(OFFSET(entities[[#This Row],[hidden]],0,entities[[#This Row],[2]],1,5-entities[[#This Row],[2]])), 0)+entities[[#This Row],[2]]))</f>
        <v>3</v>
      </c>
      <c r="O116" s="6">
        <f t="array" aca="1" ref="O116" ca="1">IF(entities[[#This Row],[Custom Attributes]]&lt;4,"",
IF(entities[[#This Row],[3]]=5-1,5,
MATCH(FALSE, ISBLANK(OFFSET(entities[[#This Row],[hidden]],0,entities[[#This Row],[3]],1,5-entities[[#This Row],[3]])), 0)+entities[[#This Row],[3]]))</f>
        <v>5</v>
      </c>
      <c r="P116" s="14" t="str">
        <f ca="1">IF(entities[[#This Row],[1]]="","",
VLOOKUP(entities[[#This Row],[1]],Lookup!$B$5:$D$9,3,FALSE)  &amp;  INDEX(entities[[#This Row],[hidden]:[icon]],entities[[#This Row],[1]])
)</f>
        <v xml:space="preserve">  hidden: false</v>
      </c>
      <c r="Q116" s="6" t="str">
        <f ca="1">IF(entities[[#This Row],[2]]="","",
VLOOKUP(entities[[#This Row],[2]],Lookup!$B$5:$D$9,3,FALSE)  &amp;  INDEX(entities[[#This Row],[hidden]:[icon]],entities[[#This Row],[2]])
)</f>
        <v xml:space="preserve">  friendly_name: Dusk</v>
      </c>
      <c r="R116" s="6" t="str">
        <f ca="1">IF(entities[[#This Row],[3]]="","",
VLOOKUP(entities[[#This Row],[3]],Lookup!$B$5:$D$9,3,FALSE)  &amp;  INDEX(entities[[#This Row],[hidden]:[icon]],entities[[#This Row],[3]])
)</f>
        <v xml:space="preserve">  emulated_hue: true</v>
      </c>
      <c r="S116" s="6" t="str">
        <f ca="1">IF(entities[[#This Row],[4]]="","",
VLOOKUP(entities[[#This Row],[4]],Lookup!$B$5:$D$9,3,FALSE)  &amp;  INDEX(entities[[#This Row],[hidden]:[icon]],entities[[#This Row],[4]])
)</f>
        <v xml:space="preserve">  icon: mdi:weather-sunset-down</v>
      </c>
      <c r="T116" t="str">
        <f t="array" ref="T116">IFERROR(INDEX(cards[object_id],SMALL(IF(cards[[1]:[25]]=entities[[#This Row],[entity_id]],ROW(cards[])-7,99^99),1)),"")</f>
        <v>bedroom</v>
      </c>
      <c r="U116" t="str">
        <f>IF(entities[[#This Row],[In HA?]]&lt;&gt;"ok",  "Not in Home Assistant",
IF(entities[[#This Row],[hidden]]="true",  "Hidden",
IF(entities[[#This Row],[Card]]&lt;&gt;"",
INDEX(cards[name],MATCH(entities[[#This Row],[Card]],cards[object_id],0)),  "Badge / automatic card")))</f>
        <v>Bedroom</v>
      </c>
      <c r="V116" t="str">
        <f>IF(entities[[#This Row],[Card]]&lt;&gt;"","group."&amp;entities[[#This Row],[Card]],"")</f>
        <v>group.bedroom</v>
      </c>
      <c r="W116" t="str">
        <f t="array" ref="W116">IFERROR(IF(entities[[#This Row],[Assigned Card]]="","",INDEX(views[object_id],SMALL(IF(views[[1]:[25]]=entities[[#This Row],[Assigned Card]],ROW(views[])-7,99^99),1))),"")</f>
        <v>default_view</v>
      </c>
      <c r="X116" t="str">
        <f t="array" ref="X116">IFERROR(INDEX(views[object_id],SMALL(IF(views[[1]:[25]]=entities[[#This Row],[entity_id]],ROW(views[])-7,99^99),1)),"")</f>
        <v/>
      </c>
      <c r="Y116" t="str">
        <f>IF(entities[[#This Row],[View from card]]&lt;&gt;"",entities[[#This Row],[View from card]],entities[[#This Row],[View from entitiy]])</f>
        <v>default_view</v>
      </c>
      <c r="Z116">
        <f>IF(entities[[#This Row],[In HA?]]&lt;&gt;"ok",  "Not in Home Assistant",
IF(entities[[#This Row],[hidden]]="true",  "Hidden",
IF(entities[[#This Row],[View]]&lt;&gt;"",
INDEX(views[name],MATCH(entities[[#This Row],[View]],views[object_id],0)),  "Default view")))</f>
        <v>0</v>
      </c>
      <c r="AA116" t="str">
        <f>IF(entities[[#This Row],[View]]&lt;&gt;"","group."&amp;entities[[#This Row],[View]],"")</f>
        <v>group.default_view</v>
      </c>
      <c r="AB116" s="6" t="str">
        <f>IF(COUNTIF(Table4[Entity],entities[[#This Row],[entity_id]]),"ok","Missing from States tab")</f>
        <v>ok</v>
      </c>
      <c r="AF116"/>
    </row>
    <row r="117" spans="2:32" x14ac:dyDescent="0.45">
      <c r="B117" t="s">
        <v>247</v>
      </c>
      <c r="C117" t="s">
        <v>251</v>
      </c>
      <c r="D117" s="4" t="s">
        <v>294</v>
      </c>
      <c r="H117" t="s">
        <v>55</v>
      </c>
      <c r="I117" t="str">
        <f>entities[[#This Row],[domain]]&amp;"."&amp;entities[[#This Row],[object_id]]</f>
        <v>script.full_bright</v>
      </c>
      <c r="J117">
        <f>5-COUNTBLANK(entities[[#This Row],[hidden]:[icon]])</f>
        <v>1</v>
      </c>
      <c r="K117">
        <f>IF(entities[[#This Row],[Custom Attributes]]=0,"",
COUNTIFS(entities[Custom Attributes],"&gt;0",entities[entity_id],"&lt;="&amp;entities[[#This Row],[entity_id]]))</f>
        <v>67</v>
      </c>
      <c r="L117" s="6">
        <f t="array" aca="1" ref="L117" ca="1">IF(entities[[#This Row],[Custom Attributes]]&lt;1,"",
MATCH(FALSE, ISBLANK(OFFSET(entities[[#This Row],[hidden]],0,0,1,5)), 0))</f>
        <v>1</v>
      </c>
      <c r="M117" s="6" t="str">
        <f t="array" aca="1" ref="M117" ca="1">IF(entities[[#This Row],[Custom Attributes]]&lt;2,"",
IF(entities[[#This Row],[1]]=5-1,5,
MATCH(FALSE, ISBLANK(OFFSET(entities[[#This Row],[hidden]],0,entities[[#This Row],[1]],1,5-entities[[#This Row],[1]])), 0)+entities[[#This Row],[1]]))</f>
        <v/>
      </c>
      <c r="N117" s="6" t="str">
        <f t="array" aca="1" ref="N117" ca="1">IF(entities[[#This Row],[Custom Attributes]]&lt;3,"",
IF(entities[[#This Row],[2]]=5-1,5,
MATCH(FALSE, ISBLANK(OFFSET(entities[[#This Row],[hidden]],0,entities[[#This Row],[2]],1,5-entities[[#This Row],[2]])), 0)+entities[[#This Row],[2]]))</f>
        <v/>
      </c>
      <c r="O117" s="6" t="str">
        <f t="array" aca="1" ref="O117" ca="1">IF(entities[[#This Row],[Custom Attributes]]&lt;4,"",
IF(entities[[#This Row],[3]]=5-1,5,
MATCH(FALSE, ISBLANK(OFFSET(entities[[#This Row],[hidden]],0,entities[[#This Row],[3]],1,5-entities[[#This Row],[3]])), 0)+entities[[#This Row],[3]]))</f>
        <v/>
      </c>
      <c r="P117" s="14" t="str">
        <f ca="1">IF(entities[[#This Row],[1]]="","",
VLOOKUP(entities[[#This Row],[1]],Lookup!$B$5:$D$9,3,FALSE)  &amp;  INDEX(entities[[#This Row],[hidden]:[icon]],entities[[#This Row],[1]])
)</f>
        <v xml:space="preserve">  hidden: true</v>
      </c>
      <c r="Q117" s="6" t="str">
        <f ca="1">IF(entities[[#This Row],[2]]="","",
VLOOKUP(entities[[#This Row],[2]],Lookup!$B$5:$D$9,3,FALSE)  &amp;  INDEX(entities[[#This Row],[hidden]:[icon]],entities[[#This Row],[2]])
)</f>
        <v/>
      </c>
      <c r="R117" s="6" t="str">
        <f ca="1">IF(entities[[#This Row],[3]]="","",
VLOOKUP(entities[[#This Row],[3]],Lookup!$B$5:$D$9,3,FALSE)  &amp;  INDEX(entities[[#This Row],[hidden]:[icon]],entities[[#This Row],[3]])
)</f>
        <v/>
      </c>
      <c r="S117" s="6" t="str">
        <f ca="1">IF(entities[[#This Row],[4]]="","",
VLOOKUP(entities[[#This Row],[4]],Lookup!$B$5:$D$9,3,FALSE)  &amp;  INDEX(entities[[#This Row],[hidden]:[icon]],entities[[#This Row],[4]])
)</f>
        <v/>
      </c>
      <c r="T117" t="str">
        <f t="array" ref="T117">IFERROR(INDEX(cards[object_id],SMALL(IF(cards[[1]:[25]]=entities[[#This Row],[entity_id]],ROW(cards[])-7,99^99),1)),"")</f>
        <v/>
      </c>
      <c r="U117" t="str">
        <f>IF(entities[[#This Row],[In HA?]]&lt;&gt;"ok",  "Not in Home Assistant",
IF(entities[[#This Row],[hidden]]="true",  "Hidden",
IF(entities[[#This Row],[Card]]&lt;&gt;"",
INDEX(cards[name],MATCH(entities[[#This Row],[Card]],cards[object_id],0)),  "Badge / automatic card")))</f>
        <v>Hidden</v>
      </c>
      <c r="V117" t="str">
        <f>IF(entities[[#This Row],[Card]]&lt;&gt;"","group."&amp;entities[[#This Row],[Card]],"")</f>
        <v/>
      </c>
      <c r="W117" t="str">
        <f t="array" ref="W117">IFERROR(IF(entities[[#This Row],[Assigned Card]]="","",INDEX(views[object_id],SMALL(IF(views[[1]:[25]]=entities[[#This Row],[Assigned Card]],ROW(views[])-7,99^99),1))),"")</f>
        <v/>
      </c>
      <c r="X117" t="str">
        <f t="array" ref="X117">IFERROR(INDEX(views[object_id],SMALL(IF(views[[1]:[25]]=entities[[#This Row],[entity_id]],ROW(views[])-7,99^99),1)),"")</f>
        <v/>
      </c>
      <c r="Y117" t="str">
        <f>IF(entities[[#This Row],[View from card]]&lt;&gt;"",entities[[#This Row],[View from card]],entities[[#This Row],[View from entitiy]])</f>
        <v/>
      </c>
      <c r="Z117" t="str">
        <f>IF(entities[[#This Row],[In HA?]]&lt;&gt;"ok",  "Not in Home Assistant",
IF(entities[[#This Row],[hidden]]="true",  "Hidden",
IF(entities[[#This Row],[View]]&lt;&gt;"",
INDEX(views[name],MATCH(entities[[#This Row],[View]],views[object_id],0)),  "Default view")))</f>
        <v>Hidden</v>
      </c>
      <c r="AA117" t="str">
        <f>IF(entities[[#This Row],[View]]&lt;&gt;"","group."&amp;entities[[#This Row],[View]],"")</f>
        <v/>
      </c>
      <c r="AB117" s="6" t="str">
        <f>IF(COUNTIF(Table4[Entity],entities[[#This Row],[entity_id]]),"ok","Missing from States tab")</f>
        <v>ok</v>
      </c>
      <c r="AF117"/>
    </row>
    <row r="118" spans="2:32" x14ac:dyDescent="0.45">
      <c r="B118" t="s">
        <v>247</v>
      </c>
      <c r="C118" t="s">
        <v>749</v>
      </c>
      <c r="E118" t="s">
        <v>750</v>
      </c>
      <c r="F118" s="4" t="s">
        <v>294</v>
      </c>
      <c r="H118" t="s">
        <v>751</v>
      </c>
      <c r="I118" s="6" t="str">
        <f>entities[[#This Row],[domain]]&amp;"."&amp;entities[[#This Row],[object_id]]</f>
        <v>script.good_night</v>
      </c>
      <c r="J118" s="6">
        <f>5-COUNTBLANK(entities[[#This Row],[hidden]:[icon]])</f>
        <v>3</v>
      </c>
      <c r="K118" s="6">
        <f>IF(entities[[#This Row],[Custom Attributes]]=0,"",
COUNTIFS(entities[Custom Attributes],"&gt;0",entities[entity_id],"&lt;="&amp;entities[[#This Row],[entity_id]]))</f>
        <v>68</v>
      </c>
      <c r="L118" s="6">
        <f t="array" aca="1" ref="L118" ca="1">IF(entities[[#This Row],[Custom Attributes]]&lt;1,"",
MATCH(FALSE, ISBLANK(OFFSET(entities[[#This Row],[hidden]],0,0,1,5)), 0))</f>
        <v>2</v>
      </c>
      <c r="M118" s="6">
        <f t="array" aca="1" ref="M118" ca="1">IF(entities[[#This Row],[Custom Attributes]]&lt;2,"",
IF(entities[[#This Row],[1]]=5-1,5,
MATCH(FALSE, ISBLANK(OFFSET(entities[[#This Row],[hidden]],0,entities[[#This Row],[1]],1,5-entities[[#This Row],[1]])), 0)+entities[[#This Row],[1]]))</f>
        <v>3</v>
      </c>
      <c r="N118" s="6">
        <f t="array" aca="1" ref="N118" ca="1">IF(entities[[#This Row],[Custom Attributes]]&lt;3,"",
IF(entities[[#This Row],[2]]=5-1,5,
MATCH(FALSE, ISBLANK(OFFSET(entities[[#This Row],[hidden]],0,entities[[#This Row],[2]],1,5-entities[[#This Row],[2]])), 0)+entities[[#This Row],[2]]))</f>
        <v>5</v>
      </c>
      <c r="O118" s="6" t="str">
        <f t="array" aca="1" ref="O118" ca="1">IF(entities[[#This Row],[Custom Attributes]]&lt;4,"",
IF(entities[[#This Row],[3]]=5-1,5,
MATCH(FALSE, ISBLANK(OFFSET(entities[[#This Row],[hidden]],0,entities[[#This Row],[3]],1,5-entities[[#This Row],[3]])), 0)+entities[[#This Row],[3]]))</f>
        <v/>
      </c>
      <c r="P118" s="14" t="str">
        <f ca="1">IF(entities[[#This Row],[1]]="","",
VLOOKUP(entities[[#This Row],[1]],Lookup!$B$5:$D$9,3,FALSE)  &amp;  INDEX(entities[[#This Row],[hidden]:[icon]],entities[[#This Row],[1]])
)</f>
        <v xml:space="preserve">  friendly_name: Good Night</v>
      </c>
      <c r="Q118" s="6" t="str">
        <f ca="1">IF(entities[[#This Row],[2]]="","",
VLOOKUP(entities[[#This Row],[2]],Lookup!$B$5:$D$9,3,FALSE)  &amp;  INDEX(entities[[#This Row],[hidden]:[icon]],entities[[#This Row],[2]])
)</f>
        <v xml:space="preserve">  emulated_hue: true</v>
      </c>
      <c r="R118" s="6" t="str">
        <f ca="1">IF(entities[[#This Row],[3]]="","",
VLOOKUP(entities[[#This Row],[3]],Lookup!$B$5:$D$9,3,FALSE)  &amp;  INDEX(entities[[#This Row],[hidden]:[icon]],entities[[#This Row],[3]])
)</f>
        <v xml:space="preserve">  icon: mdi:sleep</v>
      </c>
      <c r="S118" s="6" t="str">
        <f ca="1">IF(entities[[#This Row],[4]]="","",
VLOOKUP(entities[[#This Row],[4]],Lookup!$B$5:$D$9,3,FALSE)  &amp;  INDEX(entities[[#This Row],[hidden]:[icon]],entities[[#This Row],[4]])
)</f>
        <v/>
      </c>
      <c r="T118" s="6" t="str">
        <f t="array" ref="T118">IFERROR(INDEX(cards[object_id],SMALL(IF(cards[[1]:[25]]=entities[[#This Row],[entity_id]],ROW(cards[])-7,99^99),1)),"")</f>
        <v>bedroom</v>
      </c>
      <c r="U118" s="6" t="str">
        <f>IF(entities[[#This Row],[In HA?]]&lt;&gt;"ok",  "Not in Home Assistant",
IF(entities[[#This Row],[hidden]]="true",  "Hidden",
IF(entities[[#This Row],[Card]]&lt;&gt;"",
INDEX(cards[name],MATCH(entities[[#This Row],[Card]],cards[object_id],0)),  "Badge / automatic card")))</f>
        <v>Bedroom</v>
      </c>
      <c r="V118" s="6" t="str">
        <f>IF(entities[[#This Row],[Card]]&lt;&gt;"","group."&amp;entities[[#This Row],[Card]],"")</f>
        <v>group.bedroom</v>
      </c>
      <c r="W118" s="6" t="str">
        <f t="array" ref="W118">IFERROR(IF(entities[[#This Row],[Assigned Card]]="","",INDEX(views[object_id],SMALL(IF(views[[1]:[25]]=entities[[#This Row],[Assigned Card]],ROW(views[])-7,99^99),1))),"")</f>
        <v>default_view</v>
      </c>
      <c r="X118" s="6" t="str">
        <f t="array" ref="X118">IFERROR(INDEX(views[object_id],SMALL(IF(views[[1]:[25]]=entities[[#This Row],[entity_id]],ROW(views[])-7,99^99),1)),"")</f>
        <v/>
      </c>
      <c r="Y118" s="6" t="str">
        <f>IF(entities[[#This Row],[View from card]]&lt;&gt;"",entities[[#This Row],[View from card]],entities[[#This Row],[View from entitiy]])</f>
        <v>default_view</v>
      </c>
      <c r="Z118" s="6">
        <f>IF(entities[[#This Row],[In HA?]]&lt;&gt;"ok",  "Not in Home Assistant",
IF(entities[[#This Row],[hidden]]="true",  "Hidden",
IF(entities[[#This Row],[View]]&lt;&gt;"",
INDEX(views[name],MATCH(entities[[#This Row],[View]],views[object_id],0)),  "Default view")))</f>
        <v>0</v>
      </c>
      <c r="AA118" s="6" t="str">
        <f>IF(entities[[#This Row],[View]]&lt;&gt;"","group."&amp;entities[[#This Row],[View]],"")</f>
        <v>group.default_view</v>
      </c>
      <c r="AB118" s="6" t="str">
        <f>IF(COUNTIF(Table4[Entity],entities[[#This Row],[entity_id]]),"ok","Missing from States tab")</f>
        <v>ok</v>
      </c>
      <c r="AF118"/>
    </row>
    <row r="119" spans="2:32" x14ac:dyDescent="0.45">
      <c r="B119" t="s">
        <v>247</v>
      </c>
      <c r="C119" t="s">
        <v>252</v>
      </c>
      <c r="D119" s="4" t="s">
        <v>294</v>
      </c>
      <c r="H119" t="s">
        <v>55</v>
      </c>
      <c r="I119" t="str">
        <f>entities[[#This Row],[domain]]&amp;"."&amp;entities[[#This Row],[object_id]]</f>
        <v>script.half_bright</v>
      </c>
      <c r="J119">
        <f>5-COUNTBLANK(entities[[#This Row],[hidden]:[icon]])</f>
        <v>1</v>
      </c>
      <c r="K119">
        <f>IF(entities[[#This Row],[Custom Attributes]]=0,"",
COUNTIFS(entities[Custom Attributes],"&gt;0",entities[entity_id],"&lt;="&amp;entities[[#This Row],[entity_id]]))</f>
        <v>69</v>
      </c>
      <c r="L119" s="6">
        <f t="array" aca="1" ref="L119" ca="1">IF(entities[[#This Row],[Custom Attributes]]&lt;1,"",
MATCH(FALSE, ISBLANK(OFFSET(entities[[#This Row],[hidden]],0,0,1,5)), 0))</f>
        <v>1</v>
      </c>
      <c r="M119" s="6" t="str">
        <f t="array" aca="1" ref="M119" ca="1">IF(entities[[#This Row],[Custom Attributes]]&lt;2,"",
IF(entities[[#This Row],[1]]=5-1,5,
MATCH(FALSE, ISBLANK(OFFSET(entities[[#This Row],[hidden]],0,entities[[#This Row],[1]],1,5-entities[[#This Row],[1]])), 0)+entities[[#This Row],[1]]))</f>
        <v/>
      </c>
      <c r="N119" s="6" t="str">
        <f t="array" aca="1" ref="N119" ca="1">IF(entities[[#This Row],[Custom Attributes]]&lt;3,"",
IF(entities[[#This Row],[2]]=5-1,5,
MATCH(FALSE, ISBLANK(OFFSET(entities[[#This Row],[hidden]],0,entities[[#This Row],[2]],1,5-entities[[#This Row],[2]])), 0)+entities[[#This Row],[2]]))</f>
        <v/>
      </c>
      <c r="O119" s="6" t="str">
        <f t="array" aca="1" ref="O119" ca="1">IF(entities[[#This Row],[Custom Attributes]]&lt;4,"",
IF(entities[[#This Row],[3]]=5-1,5,
MATCH(FALSE, ISBLANK(OFFSET(entities[[#This Row],[hidden]],0,entities[[#This Row],[3]],1,5-entities[[#This Row],[3]])), 0)+entities[[#This Row],[3]]))</f>
        <v/>
      </c>
      <c r="P119" s="14" t="str">
        <f ca="1">IF(entities[[#This Row],[1]]="","",
VLOOKUP(entities[[#This Row],[1]],Lookup!$B$5:$D$9,3,FALSE)  &amp;  INDEX(entities[[#This Row],[hidden]:[icon]],entities[[#This Row],[1]])
)</f>
        <v xml:space="preserve">  hidden: true</v>
      </c>
      <c r="Q119" s="6" t="str">
        <f ca="1">IF(entities[[#This Row],[2]]="","",
VLOOKUP(entities[[#This Row],[2]],Lookup!$B$5:$D$9,3,FALSE)  &amp;  INDEX(entities[[#This Row],[hidden]:[icon]],entities[[#This Row],[2]])
)</f>
        <v/>
      </c>
      <c r="R119" s="6" t="str">
        <f ca="1">IF(entities[[#This Row],[3]]="","",
VLOOKUP(entities[[#This Row],[3]],Lookup!$B$5:$D$9,3,FALSE)  &amp;  INDEX(entities[[#This Row],[hidden]:[icon]],entities[[#This Row],[3]])
)</f>
        <v/>
      </c>
      <c r="S119" s="6" t="str">
        <f ca="1">IF(entities[[#This Row],[4]]="","",
VLOOKUP(entities[[#This Row],[4]],Lookup!$B$5:$D$9,3,FALSE)  &amp;  INDEX(entities[[#This Row],[hidden]:[icon]],entities[[#This Row],[4]])
)</f>
        <v/>
      </c>
      <c r="T119" t="str">
        <f t="array" ref="T119">IFERROR(INDEX(cards[object_id],SMALL(IF(cards[[1]:[25]]=entities[[#This Row],[entity_id]],ROW(cards[])-7,99^99),1)),"")</f>
        <v/>
      </c>
      <c r="U119" t="str">
        <f>IF(entities[[#This Row],[In HA?]]&lt;&gt;"ok",  "Not in Home Assistant",
IF(entities[[#This Row],[hidden]]="true",  "Hidden",
IF(entities[[#This Row],[Card]]&lt;&gt;"",
INDEX(cards[name],MATCH(entities[[#This Row],[Card]],cards[object_id],0)),  "Badge / automatic card")))</f>
        <v>Hidden</v>
      </c>
      <c r="V119" t="str">
        <f>IF(entities[[#This Row],[Card]]&lt;&gt;"","group."&amp;entities[[#This Row],[Card]],"")</f>
        <v/>
      </c>
      <c r="W119" t="str">
        <f t="array" ref="W119">IFERROR(IF(entities[[#This Row],[Assigned Card]]="","",INDEX(views[object_id],SMALL(IF(views[[1]:[25]]=entities[[#This Row],[Assigned Card]],ROW(views[])-7,99^99),1))),"")</f>
        <v/>
      </c>
      <c r="X119" t="str">
        <f t="array" ref="X119">IFERROR(INDEX(views[object_id],SMALL(IF(views[[1]:[25]]=entities[[#This Row],[entity_id]],ROW(views[])-7,99^99),1)),"")</f>
        <v/>
      </c>
      <c r="Y119" t="str">
        <f>IF(entities[[#This Row],[View from card]]&lt;&gt;"",entities[[#This Row],[View from card]],entities[[#This Row],[View from entitiy]])</f>
        <v/>
      </c>
      <c r="Z119" t="str">
        <f>IF(entities[[#This Row],[In HA?]]&lt;&gt;"ok",  "Not in Home Assistant",
IF(entities[[#This Row],[hidden]]="true",  "Hidden",
IF(entities[[#This Row],[View]]&lt;&gt;"",
INDEX(views[name],MATCH(entities[[#This Row],[View]],views[object_id],0)),  "Default view")))</f>
        <v>Hidden</v>
      </c>
      <c r="AA119" t="str">
        <f>IF(entities[[#This Row],[View]]&lt;&gt;"","group."&amp;entities[[#This Row],[View]],"")</f>
        <v/>
      </c>
      <c r="AB119" s="6" t="str">
        <f>IF(COUNTIF(Table4[Entity],entities[[#This Row],[entity_id]]),"ok","Missing from States tab")</f>
        <v>ok</v>
      </c>
      <c r="AF119"/>
    </row>
    <row r="120" spans="2:32" x14ac:dyDescent="0.45">
      <c r="B120" t="s">
        <v>247</v>
      </c>
      <c r="C120" t="s">
        <v>809</v>
      </c>
      <c r="D120" s="4" t="s">
        <v>294</v>
      </c>
      <c r="H120" t="s">
        <v>55</v>
      </c>
      <c r="I120" t="str">
        <f>entities[[#This Row],[domain]]&amp;"."&amp;entities[[#This Row],[object_id]]</f>
        <v>script.living_room_vol_to_4</v>
      </c>
      <c r="J120">
        <f>5-COUNTBLANK(entities[[#This Row],[hidden]:[icon]])</f>
        <v>1</v>
      </c>
      <c r="K120">
        <f>IF(entities[[#This Row],[Custom Attributes]]=0,"",
COUNTIFS(entities[Custom Attributes],"&gt;0",entities[entity_id],"&lt;="&amp;entities[[#This Row],[entity_id]]))</f>
        <v>70</v>
      </c>
      <c r="L120" s="6">
        <f t="array" aca="1" ref="L120" ca="1">IF(entities[[#This Row],[Custom Attributes]]&lt;1,"",
MATCH(FALSE, ISBLANK(OFFSET(entities[[#This Row],[hidden]],0,0,1,5)), 0))</f>
        <v>1</v>
      </c>
      <c r="M120" s="6" t="str">
        <f t="array" aca="1" ref="M120" ca="1">IF(entities[[#This Row],[Custom Attributes]]&lt;2,"",
IF(entities[[#This Row],[1]]=5-1,5,
MATCH(FALSE, ISBLANK(OFFSET(entities[[#This Row],[hidden]],0,entities[[#This Row],[1]],1,5-entities[[#This Row],[1]])), 0)+entities[[#This Row],[1]]))</f>
        <v/>
      </c>
      <c r="N120" s="6" t="str">
        <f t="array" aca="1" ref="N120" ca="1">IF(entities[[#This Row],[Custom Attributes]]&lt;3,"",
IF(entities[[#This Row],[2]]=5-1,5,
MATCH(FALSE, ISBLANK(OFFSET(entities[[#This Row],[hidden]],0,entities[[#This Row],[2]],1,5-entities[[#This Row],[2]])), 0)+entities[[#This Row],[2]]))</f>
        <v/>
      </c>
      <c r="O120" s="6" t="str">
        <f t="array" aca="1" ref="O120" ca="1">IF(entities[[#This Row],[Custom Attributes]]&lt;4,"",
IF(entities[[#This Row],[3]]=5-1,5,
MATCH(FALSE, ISBLANK(OFFSET(entities[[#This Row],[hidden]],0,entities[[#This Row],[3]],1,5-entities[[#This Row],[3]])), 0)+entities[[#This Row],[3]]))</f>
        <v/>
      </c>
      <c r="P120" s="14" t="str">
        <f ca="1">IF(entities[[#This Row],[1]]="","",
VLOOKUP(entities[[#This Row],[1]],Lookup!$B$5:$D$9,3,FALSE)  &amp;  INDEX(entities[[#This Row],[hidden]:[icon]],entities[[#This Row],[1]])
)</f>
        <v xml:space="preserve">  hidden: true</v>
      </c>
      <c r="Q120" s="6" t="str">
        <f ca="1">IF(entities[[#This Row],[2]]="","",
VLOOKUP(entities[[#This Row],[2]],Lookup!$B$5:$D$9,3,FALSE)  &amp;  INDEX(entities[[#This Row],[hidden]:[icon]],entities[[#This Row],[2]])
)</f>
        <v/>
      </c>
      <c r="R120" s="6" t="str">
        <f ca="1">IF(entities[[#This Row],[3]]="","",
VLOOKUP(entities[[#This Row],[3]],Lookup!$B$5:$D$9,3,FALSE)  &amp;  INDEX(entities[[#This Row],[hidden]:[icon]],entities[[#This Row],[3]])
)</f>
        <v/>
      </c>
      <c r="S120" s="6" t="str">
        <f ca="1">IF(entities[[#This Row],[4]]="","",
VLOOKUP(entities[[#This Row],[4]],Lookup!$B$5:$D$9,3,FALSE)  &amp;  INDEX(entities[[#This Row],[hidden]:[icon]],entities[[#This Row],[4]])
)</f>
        <v/>
      </c>
      <c r="T120" t="str">
        <f t="array" ref="T120">IFERROR(INDEX(cards[object_id],SMALL(IF(cards[[1]:[25]]=entities[[#This Row],[entity_id]],ROW(cards[])-7,99^99),1)),"")</f>
        <v/>
      </c>
      <c r="U120" t="str">
        <f>IF(entities[[#This Row],[In HA?]]&lt;&gt;"ok",  "Not in Home Assistant",
IF(entities[[#This Row],[hidden]]="true",  "Hidden",
IF(entities[[#This Row],[Card]]&lt;&gt;"",
INDEX(cards[name],MATCH(entities[[#This Row],[Card]],cards[object_id],0)),  "Badge / automatic card")))</f>
        <v>Hidden</v>
      </c>
      <c r="V120" t="str">
        <f>IF(entities[[#This Row],[Card]]&lt;&gt;"","group."&amp;entities[[#This Row],[Card]],"")</f>
        <v/>
      </c>
      <c r="W120" t="str">
        <f t="array" ref="W120">IFERROR(IF(entities[[#This Row],[Assigned Card]]="","",INDEX(views[object_id],SMALL(IF(views[[1]:[25]]=entities[[#This Row],[Assigned Card]],ROW(views[])-7,99^99),1))),"")</f>
        <v/>
      </c>
      <c r="X120" t="str">
        <f t="array" ref="X120">IFERROR(INDEX(views[object_id],SMALL(IF(views[[1]:[25]]=entities[[#This Row],[entity_id]],ROW(views[])-7,99^99),1)),"")</f>
        <v/>
      </c>
      <c r="Y120" t="str">
        <f>IF(entities[[#This Row],[View from card]]&lt;&gt;"",entities[[#This Row],[View from card]],entities[[#This Row],[View from entitiy]])</f>
        <v/>
      </c>
      <c r="Z120" t="str">
        <f>IF(entities[[#This Row],[In HA?]]&lt;&gt;"ok",  "Not in Home Assistant",
IF(entities[[#This Row],[hidden]]="true",  "Hidden",
IF(entities[[#This Row],[View]]&lt;&gt;"",
INDEX(views[name],MATCH(entities[[#This Row],[View]],views[object_id],0)),  "Default view")))</f>
        <v>Hidden</v>
      </c>
      <c r="AA120" t="str">
        <f>IF(entities[[#This Row],[View]]&lt;&gt;"","group."&amp;entities[[#This Row],[View]],"")</f>
        <v/>
      </c>
      <c r="AB120" s="6" t="str">
        <f>IF(COUNTIF(Table4[Entity],entities[[#This Row],[entity_id]]),"ok","Missing from States tab")</f>
        <v>ok</v>
      </c>
      <c r="AF120"/>
    </row>
    <row r="121" spans="2:32" x14ac:dyDescent="0.45">
      <c r="B121" t="s">
        <v>247</v>
      </c>
      <c r="C121" t="s">
        <v>253</v>
      </c>
      <c r="D121" s="4" t="s">
        <v>339</v>
      </c>
      <c r="E121" t="s">
        <v>346</v>
      </c>
      <c r="F121" s="4" t="s">
        <v>294</v>
      </c>
      <c r="H121" t="s">
        <v>377</v>
      </c>
      <c r="I121" t="str">
        <f>entities[[#This Row],[domain]]&amp;"."&amp;entities[[#This Row],[object_id]]</f>
        <v>script.reading</v>
      </c>
      <c r="J121">
        <f>5-COUNTBLANK(entities[[#This Row],[hidden]:[icon]])</f>
        <v>4</v>
      </c>
      <c r="K121">
        <f>IF(entities[[#This Row],[Custom Attributes]]=0,"",
COUNTIFS(entities[Custom Attributes],"&gt;0",entities[entity_id],"&lt;="&amp;entities[[#This Row],[entity_id]]))</f>
        <v>71</v>
      </c>
      <c r="L121" s="6">
        <f t="array" aca="1" ref="L121" ca="1">IF(entities[[#This Row],[Custom Attributes]]&lt;1,"",
MATCH(FALSE, ISBLANK(OFFSET(entities[[#This Row],[hidden]],0,0,1,5)), 0))</f>
        <v>1</v>
      </c>
      <c r="M121" s="6">
        <f t="array" aca="1" ref="M121" ca="1">IF(entities[[#This Row],[Custom Attributes]]&lt;2,"",
IF(entities[[#This Row],[1]]=5-1,5,
MATCH(FALSE, ISBLANK(OFFSET(entities[[#This Row],[hidden]],0,entities[[#This Row],[1]],1,5-entities[[#This Row],[1]])), 0)+entities[[#This Row],[1]]))</f>
        <v>2</v>
      </c>
      <c r="N121" s="6">
        <f t="array" aca="1" ref="N121" ca="1">IF(entities[[#This Row],[Custom Attributes]]&lt;3,"",
IF(entities[[#This Row],[2]]=5-1,5,
MATCH(FALSE, ISBLANK(OFFSET(entities[[#This Row],[hidden]],0,entities[[#This Row],[2]],1,5-entities[[#This Row],[2]])), 0)+entities[[#This Row],[2]]))</f>
        <v>3</v>
      </c>
      <c r="O121" s="6">
        <f t="array" aca="1" ref="O121" ca="1">IF(entities[[#This Row],[Custom Attributes]]&lt;4,"",
IF(entities[[#This Row],[3]]=5-1,5,
MATCH(FALSE, ISBLANK(OFFSET(entities[[#This Row],[hidden]],0,entities[[#This Row],[3]],1,5-entities[[#This Row],[3]])), 0)+entities[[#This Row],[3]]))</f>
        <v>5</v>
      </c>
      <c r="P121" s="14" t="str">
        <f ca="1">IF(entities[[#This Row],[1]]="","",
VLOOKUP(entities[[#This Row],[1]],Lookup!$B$5:$D$9,3,FALSE)  &amp;  INDEX(entities[[#This Row],[hidden]:[icon]],entities[[#This Row],[1]])
)</f>
        <v xml:space="preserve">  hidden: false</v>
      </c>
      <c r="Q121" s="6" t="str">
        <f ca="1">IF(entities[[#This Row],[2]]="","",
VLOOKUP(entities[[#This Row],[2]],Lookup!$B$5:$D$9,3,FALSE)  &amp;  INDEX(entities[[#This Row],[hidden]:[icon]],entities[[#This Row],[2]])
)</f>
        <v xml:space="preserve">  friendly_name: Reading</v>
      </c>
      <c r="R121" s="6" t="str">
        <f ca="1">IF(entities[[#This Row],[3]]="","",
VLOOKUP(entities[[#This Row],[3]],Lookup!$B$5:$D$9,3,FALSE)  &amp;  INDEX(entities[[#This Row],[hidden]:[icon]],entities[[#This Row],[3]])
)</f>
        <v xml:space="preserve">  emulated_hue: true</v>
      </c>
      <c r="S121" s="6" t="str">
        <f ca="1">IF(entities[[#This Row],[4]]="","",
VLOOKUP(entities[[#This Row],[4]],Lookup!$B$5:$D$9,3,FALSE)  &amp;  INDEX(entities[[#This Row],[hidden]:[icon]],entities[[#This Row],[4]])
)</f>
        <v xml:space="preserve">  icon: mdi:book-open-variant</v>
      </c>
      <c r="T121" t="str">
        <f t="array" ref="T121">IFERROR(INDEX(cards[object_id],SMALL(IF(cards[[1]:[25]]=entities[[#This Row],[entity_id]],ROW(cards[])-7,99^99),1)),"")</f>
        <v>bedroom</v>
      </c>
      <c r="U121" t="str">
        <f>IF(entities[[#This Row],[In HA?]]&lt;&gt;"ok",  "Not in Home Assistant",
IF(entities[[#This Row],[hidden]]="true",  "Hidden",
IF(entities[[#This Row],[Card]]&lt;&gt;"",
INDEX(cards[name],MATCH(entities[[#This Row],[Card]],cards[object_id],0)),  "Badge / automatic card")))</f>
        <v>Bedroom</v>
      </c>
      <c r="V121" t="str">
        <f>IF(entities[[#This Row],[Card]]&lt;&gt;"","group."&amp;entities[[#This Row],[Card]],"")</f>
        <v>group.bedroom</v>
      </c>
      <c r="W121" t="str">
        <f t="array" ref="W121">IFERROR(IF(entities[[#This Row],[Assigned Card]]="","",INDEX(views[object_id],SMALL(IF(views[[1]:[25]]=entities[[#This Row],[Assigned Card]],ROW(views[])-7,99^99),1))),"")</f>
        <v>default_view</v>
      </c>
      <c r="X121" t="str">
        <f t="array" ref="X121">IFERROR(INDEX(views[object_id],SMALL(IF(views[[1]:[25]]=entities[[#This Row],[entity_id]],ROW(views[])-7,99^99),1)),"")</f>
        <v/>
      </c>
      <c r="Y121" t="str">
        <f>IF(entities[[#This Row],[View from card]]&lt;&gt;"",entities[[#This Row],[View from card]],entities[[#This Row],[View from entitiy]])</f>
        <v>default_view</v>
      </c>
      <c r="Z121">
        <f>IF(entities[[#This Row],[In HA?]]&lt;&gt;"ok",  "Not in Home Assistant",
IF(entities[[#This Row],[hidden]]="true",  "Hidden",
IF(entities[[#This Row],[View]]&lt;&gt;"",
INDEX(views[name],MATCH(entities[[#This Row],[View]],views[object_id],0)),  "Default view")))</f>
        <v>0</v>
      </c>
      <c r="AA121" t="str">
        <f>IF(entities[[#This Row],[View]]&lt;&gt;"","group."&amp;entities[[#This Row],[View]],"")</f>
        <v>group.default_view</v>
      </c>
      <c r="AB121" s="6" t="str">
        <f>IF(COUNTIF(Table4[Entity],entities[[#This Row],[entity_id]]),"ok","Missing from States tab")</f>
        <v>ok</v>
      </c>
      <c r="AE121" s="14"/>
      <c r="AF121"/>
    </row>
    <row r="122" spans="2:32" x14ac:dyDescent="0.45">
      <c r="B122" t="s">
        <v>247</v>
      </c>
      <c r="C122" t="s">
        <v>254</v>
      </c>
      <c r="D122" s="4" t="s">
        <v>339</v>
      </c>
      <c r="E122" t="s">
        <v>344</v>
      </c>
      <c r="F122" s="4" t="s">
        <v>294</v>
      </c>
      <c r="H122" t="s">
        <v>378</v>
      </c>
      <c r="I122" t="str">
        <f>entities[[#This Row],[domain]]&amp;"."&amp;entities[[#This Row],[object_id]]</f>
        <v>script.twilight</v>
      </c>
      <c r="J122">
        <f>5-COUNTBLANK(entities[[#This Row],[hidden]:[icon]])</f>
        <v>4</v>
      </c>
      <c r="K122">
        <f>IF(entities[[#This Row],[Custom Attributes]]=0,"",
COUNTIFS(entities[Custom Attributes],"&gt;0",entities[entity_id],"&lt;="&amp;entities[[#This Row],[entity_id]]))</f>
        <v>72</v>
      </c>
      <c r="L122" s="6">
        <f t="array" aca="1" ref="L122" ca="1">IF(entities[[#This Row],[Custom Attributes]]&lt;1,"",
MATCH(FALSE, ISBLANK(OFFSET(entities[[#This Row],[hidden]],0,0,1,5)), 0))</f>
        <v>1</v>
      </c>
      <c r="M122" s="6">
        <f t="array" aca="1" ref="M122" ca="1">IF(entities[[#This Row],[Custom Attributes]]&lt;2,"",
IF(entities[[#This Row],[1]]=5-1,5,
MATCH(FALSE, ISBLANK(OFFSET(entities[[#This Row],[hidden]],0,entities[[#This Row],[1]],1,5-entities[[#This Row],[1]])), 0)+entities[[#This Row],[1]]))</f>
        <v>2</v>
      </c>
      <c r="N122" s="6">
        <f t="array" aca="1" ref="N122" ca="1">IF(entities[[#This Row],[Custom Attributes]]&lt;3,"",
IF(entities[[#This Row],[2]]=5-1,5,
MATCH(FALSE, ISBLANK(OFFSET(entities[[#This Row],[hidden]],0,entities[[#This Row],[2]],1,5-entities[[#This Row],[2]])), 0)+entities[[#This Row],[2]]))</f>
        <v>3</v>
      </c>
      <c r="O122" s="6">
        <f t="array" aca="1" ref="O122" ca="1">IF(entities[[#This Row],[Custom Attributes]]&lt;4,"",
IF(entities[[#This Row],[3]]=5-1,5,
MATCH(FALSE, ISBLANK(OFFSET(entities[[#This Row],[hidden]],0,entities[[#This Row],[3]],1,5-entities[[#This Row],[3]])), 0)+entities[[#This Row],[3]]))</f>
        <v>5</v>
      </c>
      <c r="P122" s="14" t="str">
        <f ca="1">IF(entities[[#This Row],[1]]="","",
VLOOKUP(entities[[#This Row],[1]],Lookup!$B$5:$D$9,3,FALSE)  &amp;  INDEX(entities[[#This Row],[hidden]:[icon]],entities[[#This Row],[1]])
)</f>
        <v xml:space="preserve">  hidden: false</v>
      </c>
      <c r="Q122" s="6" t="str">
        <f ca="1">IF(entities[[#This Row],[2]]="","",
VLOOKUP(entities[[#This Row],[2]],Lookup!$B$5:$D$9,3,FALSE)  &amp;  INDEX(entities[[#This Row],[hidden]:[icon]],entities[[#This Row],[2]])
)</f>
        <v xml:space="preserve">  friendly_name: Twilight</v>
      </c>
      <c r="R122" s="6" t="str">
        <f ca="1">IF(entities[[#This Row],[3]]="","",
VLOOKUP(entities[[#This Row],[3]],Lookup!$B$5:$D$9,3,FALSE)  &amp;  INDEX(entities[[#This Row],[hidden]:[icon]],entities[[#This Row],[3]])
)</f>
        <v xml:space="preserve">  emulated_hue: true</v>
      </c>
      <c r="S122" s="6" t="str">
        <f ca="1">IF(entities[[#This Row],[4]]="","",
VLOOKUP(entities[[#This Row],[4]],Lookup!$B$5:$D$9,3,FALSE)  &amp;  INDEX(entities[[#This Row],[hidden]:[icon]],entities[[#This Row],[4]])
)</f>
        <v xml:space="preserve">  icon: mdi:weather-sunset</v>
      </c>
      <c r="T122" t="str">
        <f t="array" ref="T122">IFERROR(INDEX(cards[object_id],SMALL(IF(cards[[1]:[25]]=entities[[#This Row],[entity_id]],ROW(cards[])-7,99^99),1)),"")</f>
        <v>bedroom</v>
      </c>
      <c r="U122" t="str">
        <f>IF(entities[[#This Row],[In HA?]]&lt;&gt;"ok",  "Not in Home Assistant",
IF(entities[[#This Row],[hidden]]="true",  "Hidden",
IF(entities[[#This Row],[Card]]&lt;&gt;"",
INDEX(cards[name],MATCH(entities[[#This Row],[Card]],cards[object_id],0)),  "Badge / automatic card")))</f>
        <v>Bedroom</v>
      </c>
      <c r="V122" t="str">
        <f>IF(entities[[#This Row],[Card]]&lt;&gt;"","group."&amp;entities[[#This Row],[Card]],"")</f>
        <v>group.bedroom</v>
      </c>
      <c r="W122" t="str">
        <f t="array" ref="W122">IFERROR(IF(entities[[#This Row],[Assigned Card]]="","",INDEX(views[object_id],SMALL(IF(views[[1]:[25]]=entities[[#This Row],[Assigned Card]],ROW(views[])-7,99^99),1))),"")</f>
        <v>default_view</v>
      </c>
      <c r="X122" t="str">
        <f t="array" ref="X122">IFERROR(INDEX(views[object_id],SMALL(IF(views[[1]:[25]]=entities[[#This Row],[entity_id]],ROW(views[])-7,99^99),1)),"")</f>
        <v/>
      </c>
      <c r="Y122" t="str">
        <f>IF(entities[[#This Row],[View from card]]&lt;&gt;"",entities[[#This Row],[View from card]],entities[[#This Row],[View from entitiy]])</f>
        <v>default_view</v>
      </c>
      <c r="Z122">
        <f>IF(entities[[#This Row],[In HA?]]&lt;&gt;"ok",  "Not in Home Assistant",
IF(entities[[#This Row],[hidden]]="true",  "Hidden",
IF(entities[[#This Row],[View]]&lt;&gt;"",
INDEX(views[name],MATCH(entities[[#This Row],[View]],views[object_id],0)),  "Default view")))</f>
        <v>0</v>
      </c>
      <c r="AA122" t="str">
        <f>IF(entities[[#This Row],[View]]&lt;&gt;"","group."&amp;entities[[#This Row],[View]],"")</f>
        <v>group.default_view</v>
      </c>
      <c r="AB122" s="6" t="str">
        <f>IF(COUNTIF(Table4[Entity],entities[[#This Row],[entity_id]]),"ok","Missing from States tab")</f>
        <v>ok</v>
      </c>
      <c r="AE122" s="14"/>
      <c r="AF122"/>
    </row>
    <row r="123" spans="2:32" x14ac:dyDescent="0.45">
      <c r="B123" t="s">
        <v>247</v>
      </c>
      <c r="C123" t="s">
        <v>830</v>
      </c>
      <c r="D123" s="4" t="s">
        <v>294</v>
      </c>
      <c r="I123" s="6" t="str">
        <f>entities[[#This Row],[domain]]&amp;"."&amp;entities[[#This Row],[object_id]]</f>
        <v>script.vacation_lights</v>
      </c>
      <c r="J123" s="6">
        <f>5-COUNTBLANK(entities[[#This Row],[hidden]:[icon]])</f>
        <v>1</v>
      </c>
      <c r="K123" s="6">
        <f>IF(entities[[#This Row],[Custom Attributes]]=0,"",
COUNTIFS(entities[Custom Attributes],"&gt;0",entities[entity_id],"&lt;="&amp;entities[[#This Row],[entity_id]]))</f>
        <v>73</v>
      </c>
      <c r="L123" s="6">
        <f t="array" aca="1" ref="L123" ca="1">IF(entities[[#This Row],[Custom Attributes]]&lt;1,"",
MATCH(FALSE, ISBLANK(OFFSET(entities[[#This Row],[hidden]],0,0,1,5)), 0))</f>
        <v>1</v>
      </c>
      <c r="M123" s="6" t="str">
        <f t="array" aca="1" ref="M123" ca="1">IF(entities[[#This Row],[Custom Attributes]]&lt;2,"",
IF(entities[[#This Row],[1]]=5-1,5,
MATCH(FALSE, ISBLANK(OFFSET(entities[[#This Row],[hidden]],0,entities[[#This Row],[1]],1,5-entities[[#This Row],[1]])), 0)+entities[[#This Row],[1]]))</f>
        <v/>
      </c>
      <c r="N123" s="6" t="str">
        <f t="array" aca="1" ref="N123" ca="1">IF(entities[[#This Row],[Custom Attributes]]&lt;3,"",
IF(entities[[#This Row],[2]]=5-1,5,
MATCH(FALSE, ISBLANK(OFFSET(entities[[#This Row],[hidden]],0,entities[[#This Row],[2]],1,5-entities[[#This Row],[2]])), 0)+entities[[#This Row],[2]]))</f>
        <v/>
      </c>
      <c r="O123" s="6" t="str">
        <f t="array" aca="1" ref="O123" ca="1">IF(entities[[#This Row],[Custom Attributes]]&lt;4,"",
IF(entities[[#This Row],[3]]=5-1,5,
MATCH(FALSE, ISBLANK(OFFSET(entities[[#This Row],[hidden]],0,entities[[#This Row],[3]],1,5-entities[[#This Row],[3]])), 0)+entities[[#This Row],[3]]))</f>
        <v/>
      </c>
      <c r="P123" s="14" t="str">
        <f ca="1">IF(entities[[#This Row],[1]]="","",
VLOOKUP(entities[[#This Row],[1]],Lookup!$B$5:$D$9,3,FALSE)  &amp;  INDEX(entities[[#This Row],[hidden]:[icon]],entities[[#This Row],[1]])
)</f>
        <v xml:space="preserve">  hidden: true</v>
      </c>
      <c r="Q123" s="6" t="str">
        <f ca="1">IF(entities[[#This Row],[2]]="","",
VLOOKUP(entities[[#This Row],[2]],Lookup!$B$5:$D$9,3,FALSE)  &amp;  INDEX(entities[[#This Row],[hidden]:[icon]],entities[[#This Row],[2]])
)</f>
        <v/>
      </c>
      <c r="R123" s="6" t="str">
        <f ca="1">IF(entities[[#This Row],[3]]="","",
VLOOKUP(entities[[#This Row],[3]],Lookup!$B$5:$D$9,3,FALSE)  &amp;  INDEX(entities[[#This Row],[hidden]:[icon]],entities[[#This Row],[3]])
)</f>
        <v/>
      </c>
      <c r="S123" s="6" t="str">
        <f ca="1">IF(entities[[#This Row],[4]]="","",
VLOOKUP(entities[[#This Row],[4]],Lookup!$B$5:$D$9,3,FALSE)  &amp;  INDEX(entities[[#This Row],[hidden]:[icon]],entities[[#This Row],[4]])
)</f>
        <v/>
      </c>
      <c r="T123" s="6" t="str">
        <f t="array" ref="T123">IFERROR(INDEX(cards[object_id],SMALL(IF(cards[[1]:[25]]=entities[[#This Row],[entity_id]],ROW(cards[])-7,99^99),1)),"")</f>
        <v/>
      </c>
      <c r="U123" s="6" t="str">
        <f>IF(entities[[#This Row],[In HA?]]&lt;&gt;"ok",  "Not in Home Assistant",
IF(entities[[#This Row],[hidden]]="true",  "Hidden",
IF(entities[[#This Row],[Card]]&lt;&gt;"",
INDEX(cards[name],MATCH(entities[[#This Row],[Card]],cards[object_id],0)),  "Badge / automatic card")))</f>
        <v>Hidden</v>
      </c>
      <c r="V123" s="6" t="str">
        <f>IF(entities[[#This Row],[Card]]&lt;&gt;"","group."&amp;entities[[#This Row],[Card]],"")</f>
        <v/>
      </c>
      <c r="W123" s="6" t="str">
        <f t="array" ref="W123">IFERROR(IF(entities[[#This Row],[Assigned Card]]="","",INDEX(views[object_id],SMALL(IF(views[[1]:[25]]=entities[[#This Row],[Assigned Card]],ROW(views[])-7,99^99),1))),"")</f>
        <v/>
      </c>
      <c r="X123" s="6" t="str">
        <f t="array" ref="X123">IFERROR(INDEX(views[object_id],SMALL(IF(views[[1]:[25]]=entities[[#This Row],[entity_id]],ROW(views[])-7,99^99),1)),"")</f>
        <v/>
      </c>
      <c r="Y123" s="6" t="str">
        <f>IF(entities[[#This Row],[View from card]]&lt;&gt;"",entities[[#This Row],[View from card]],entities[[#This Row],[View from entitiy]])</f>
        <v/>
      </c>
      <c r="Z123" s="6" t="str">
        <f>IF(entities[[#This Row],[In HA?]]&lt;&gt;"ok",  "Not in Home Assistant",
IF(entities[[#This Row],[hidden]]="true",  "Hidden",
IF(entities[[#This Row],[View]]&lt;&gt;"",
INDEX(views[name],MATCH(entities[[#This Row],[View]],views[object_id],0)),  "Default view")))</f>
        <v>Hidden</v>
      </c>
      <c r="AA123" s="6" t="str">
        <f>IF(entities[[#This Row],[View]]&lt;&gt;"","group."&amp;entities[[#This Row],[View]],"")</f>
        <v/>
      </c>
      <c r="AB123" s="6" t="str">
        <f>IF(COUNTIF(Table4[Entity],entities[[#This Row],[entity_id]]),"ok","Missing from States tab")</f>
        <v>ok</v>
      </c>
      <c r="AE123" s="14"/>
      <c r="AF123"/>
    </row>
    <row r="124" spans="2:32" x14ac:dyDescent="0.45">
      <c r="B124" t="s">
        <v>247</v>
      </c>
      <c r="C124" t="s">
        <v>255</v>
      </c>
      <c r="D124" s="4" t="s">
        <v>294</v>
      </c>
      <c r="H124" t="s">
        <v>55</v>
      </c>
      <c r="I124" t="str">
        <f>entities[[#This Row],[domain]]&amp;"."&amp;entities[[#This Row],[object_id]]</f>
        <v>script.wake_up</v>
      </c>
      <c r="J124">
        <f>5-COUNTBLANK(entities[[#This Row],[hidden]:[icon]])</f>
        <v>1</v>
      </c>
      <c r="K124">
        <f>IF(entities[[#This Row],[Custom Attributes]]=0,"",
COUNTIFS(entities[Custom Attributes],"&gt;0",entities[entity_id],"&lt;="&amp;entities[[#This Row],[entity_id]]))</f>
        <v>74</v>
      </c>
      <c r="L124" s="6">
        <f t="array" aca="1" ref="L124" ca="1">IF(entities[[#This Row],[Custom Attributes]]&lt;1,"",
MATCH(FALSE, ISBLANK(OFFSET(entities[[#This Row],[hidden]],0,0,1,5)), 0))</f>
        <v>1</v>
      </c>
      <c r="M124" s="6" t="str">
        <f t="array" aca="1" ref="M124" ca="1">IF(entities[[#This Row],[Custom Attributes]]&lt;2,"",
IF(entities[[#This Row],[1]]=5-1,5,
MATCH(FALSE, ISBLANK(OFFSET(entities[[#This Row],[hidden]],0,entities[[#This Row],[1]],1,5-entities[[#This Row],[1]])), 0)+entities[[#This Row],[1]]))</f>
        <v/>
      </c>
      <c r="N124" s="6" t="str">
        <f t="array" aca="1" ref="N124" ca="1">IF(entities[[#This Row],[Custom Attributes]]&lt;3,"",
IF(entities[[#This Row],[2]]=5-1,5,
MATCH(FALSE, ISBLANK(OFFSET(entities[[#This Row],[hidden]],0,entities[[#This Row],[2]],1,5-entities[[#This Row],[2]])), 0)+entities[[#This Row],[2]]))</f>
        <v/>
      </c>
      <c r="O124" s="6" t="str">
        <f t="array" aca="1" ref="O124" ca="1">IF(entities[[#This Row],[Custom Attributes]]&lt;4,"",
IF(entities[[#This Row],[3]]=5-1,5,
MATCH(FALSE, ISBLANK(OFFSET(entities[[#This Row],[hidden]],0,entities[[#This Row],[3]],1,5-entities[[#This Row],[3]])), 0)+entities[[#This Row],[3]]))</f>
        <v/>
      </c>
      <c r="P124" s="14" t="str">
        <f ca="1">IF(entities[[#This Row],[1]]="","",
VLOOKUP(entities[[#This Row],[1]],Lookup!$B$5:$D$9,3,FALSE)  &amp;  INDEX(entities[[#This Row],[hidden]:[icon]],entities[[#This Row],[1]])
)</f>
        <v xml:space="preserve">  hidden: true</v>
      </c>
      <c r="Q124" s="6" t="str">
        <f ca="1">IF(entities[[#This Row],[2]]="","",
VLOOKUP(entities[[#This Row],[2]],Lookup!$B$5:$D$9,3,FALSE)  &amp;  INDEX(entities[[#This Row],[hidden]:[icon]],entities[[#This Row],[2]])
)</f>
        <v/>
      </c>
      <c r="R124" s="6" t="str">
        <f ca="1">IF(entities[[#This Row],[3]]="","",
VLOOKUP(entities[[#This Row],[3]],Lookup!$B$5:$D$9,3,FALSE)  &amp;  INDEX(entities[[#This Row],[hidden]:[icon]],entities[[#This Row],[3]])
)</f>
        <v/>
      </c>
      <c r="S124" s="6" t="str">
        <f ca="1">IF(entities[[#This Row],[4]]="","",
VLOOKUP(entities[[#This Row],[4]],Lookup!$B$5:$D$9,3,FALSE)  &amp;  INDEX(entities[[#This Row],[hidden]:[icon]],entities[[#This Row],[4]])
)</f>
        <v/>
      </c>
      <c r="T124" t="str">
        <f t="array" ref="T124">IFERROR(INDEX(cards[object_id],SMALL(IF(cards[[1]:[25]]=entities[[#This Row],[entity_id]],ROW(cards[])-7,99^99),1)),"")</f>
        <v/>
      </c>
      <c r="U124" t="str">
        <f>IF(entities[[#This Row],[In HA?]]&lt;&gt;"ok",  "Not in Home Assistant",
IF(entities[[#This Row],[hidden]]="true",  "Hidden",
IF(entities[[#This Row],[Card]]&lt;&gt;"",
INDEX(cards[name],MATCH(entities[[#This Row],[Card]],cards[object_id],0)),  "Badge / automatic card")))</f>
        <v>Hidden</v>
      </c>
      <c r="V124" t="str">
        <f>IF(entities[[#This Row],[Card]]&lt;&gt;"","group."&amp;entities[[#This Row],[Card]],"")</f>
        <v/>
      </c>
      <c r="W124" t="str">
        <f t="array" ref="W124">IFERROR(IF(entities[[#This Row],[Assigned Card]]="","",INDEX(views[object_id],SMALL(IF(views[[1]:[25]]=entities[[#This Row],[Assigned Card]],ROW(views[])-7,99^99),1))),"")</f>
        <v/>
      </c>
      <c r="X124" t="str">
        <f t="array" ref="X124">IFERROR(INDEX(views[object_id],SMALL(IF(views[[1]:[25]]=entities[[#This Row],[entity_id]],ROW(views[])-7,99^99),1)),"")</f>
        <v/>
      </c>
      <c r="Y124" t="str">
        <f>IF(entities[[#This Row],[View from card]]&lt;&gt;"",entities[[#This Row],[View from card]],entities[[#This Row],[View from entitiy]])</f>
        <v/>
      </c>
      <c r="Z124" t="str">
        <f>IF(entities[[#This Row],[In HA?]]&lt;&gt;"ok",  "Not in Home Assistant",
IF(entities[[#This Row],[hidden]]="true",  "Hidden",
IF(entities[[#This Row],[View]]&lt;&gt;"",
INDEX(views[name],MATCH(entities[[#This Row],[View]],views[object_id],0)),  "Default view")))</f>
        <v>Hidden</v>
      </c>
      <c r="AA124" t="str">
        <f>IF(entities[[#This Row],[View]]&lt;&gt;"","group."&amp;entities[[#This Row],[View]],"")</f>
        <v/>
      </c>
      <c r="AB124" s="6" t="str">
        <f>IF(COUNTIF(Table4[Entity],entities[[#This Row],[entity_id]]),"ok","Missing from States tab")</f>
        <v>ok</v>
      </c>
      <c r="AE124" s="14"/>
      <c r="AF124"/>
    </row>
    <row r="125" spans="2:32" x14ac:dyDescent="0.45">
      <c r="B125" t="s">
        <v>256</v>
      </c>
      <c r="C125" t="s">
        <v>242</v>
      </c>
      <c r="D125" s="4" t="s">
        <v>294</v>
      </c>
      <c r="I125" t="str">
        <f>entities[[#This Row],[domain]]&amp;"."&amp;entities[[#This Row],[object_id]]</f>
        <v>sensor.alarm_clock_hour</v>
      </c>
      <c r="J125">
        <f>5-COUNTBLANK(entities[[#This Row],[hidden]:[icon]])</f>
        <v>1</v>
      </c>
      <c r="K125">
        <f>IF(entities[[#This Row],[Custom Attributes]]=0,"",
COUNTIFS(entities[Custom Attributes],"&gt;0",entities[entity_id],"&lt;="&amp;entities[[#This Row],[entity_id]]))</f>
        <v>75</v>
      </c>
      <c r="L125" s="6">
        <f t="array" aca="1" ref="L125" ca="1">IF(entities[[#This Row],[Custom Attributes]]&lt;1,"",
MATCH(FALSE, ISBLANK(OFFSET(entities[[#This Row],[hidden]],0,0,1,5)), 0))</f>
        <v>1</v>
      </c>
      <c r="M125" s="6" t="str">
        <f t="array" aca="1" ref="M125" ca="1">IF(entities[[#This Row],[Custom Attributes]]&lt;2,"",
IF(entities[[#This Row],[1]]=5-1,5,
MATCH(FALSE, ISBLANK(OFFSET(entities[[#This Row],[hidden]],0,entities[[#This Row],[1]],1,5-entities[[#This Row],[1]])), 0)+entities[[#This Row],[1]]))</f>
        <v/>
      </c>
      <c r="N125" s="6" t="str">
        <f t="array" aca="1" ref="N125" ca="1">IF(entities[[#This Row],[Custom Attributes]]&lt;3,"",
IF(entities[[#This Row],[2]]=5-1,5,
MATCH(FALSE, ISBLANK(OFFSET(entities[[#This Row],[hidden]],0,entities[[#This Row],[2]],1,5-entities[[#This Row],[2]])), 0)+entities[[#This Row],[2]]))</f>
        <v/>
      </c>
      <c r="O125" s="6" t="str">
        <f t="array" aca="1" ref="O125" ca="1">IF(entities[[#This Row],[Custom Attributes]]&lt;4,"",
IF(entities[[#This Row],[3]]=5-1,5,
MATCH(FALSE, ISBLANK(OFFSET(entities[[#This Row],[hidden]],0,entities[[#This Row],[3]],1,5-entities[[#This Row],[3]])), 0)+entities[[#This Row],[3]]))</f>
        <v/>
      </c>
      <c r="P125" s="14" t="str">
        <f ca="1">IF(entities[[#This Row],[1]]="","",
VLOOKUP(entities[[#This Row],[1]],Lookup!$B$5:$D$9,3,FALSE)  &amp;  INDEX(entities[[#This Row],[hidden]:[icon]],entities[[#This Row],[1]])
)</f>
        <v xml:space="preserve">  hidden: true</v>
      </c>
      <c r="Q125" s="6" t="str">
        <f ca="1">IF(entities[[#This Row],[2]]="","",
VLOOKUP(entities[[#This Row],[2]],Lookup!$B$5:$D$9,3,FALSE)  &amp;  INDEX(entities[[#This Row],[hidden]:[icon]],entities[[#This Row],[2]])
)</f>
        <v/>
      </c>
      <c r="R125" s="6" t="str">
        <f ca="1">IF(entities[[#This Row],[3]]="","",
VLOOKUP(entities[[#This Row],[3]],Lookup!$B$5:$D$9,3,FALSE)  &amp;  INDEX(entities[[#This Row],[hidden]:[icon]],entities[[#This Row],[3]])
)</f>
        <v/>
      </c>
      <c r="S125" s="6" t="str">
        <f ca="1">IF(entities[[#This Row],[4]]="","",
VLOOKUP(entities[[#This Row],[4]],Lookup!$B$5:$D$9,3,FALSE)  &amp;  INDEX(entities[[#This Row],[hidden]:[icon]],entities[[#This Row],[4]])
)</f>
        <v/>
      </c>
      <c r="T125" t="str">
        <f t="array" ref="T125">IFERROR(INDEX(cards[object_id],SMALL(IF(cards[[1]:[25]]=entities[[#This Row],[entity_id]],ROW(cards[])-7,99^99),1)),"")</f>
        <v/>
      </c>
      <c r="U125" t="str">
        <f>IF(entities[[#This Row],[In HA?]]&lt;&gt;"ok",  "Not in Home Assistant",
IF(entities[[#This Row],[hidden]]="true",  "Hidden",
IF(entities[[#This Row],[Card]]&lt;&gt;"",
INDEX(cards[name],MATCH(entities[[#This Row],[Card]],cards[object_id],0)),  "Badge / automatic card")))</f>
        <v>Hidden</v>
      </c>
      <c r="V125" t="str">
        <f>IF(entities[[#This Row],[Card]]&lt;&gt;"","group."&amp;entities[[#This Row],[Card]],"")</f>
        <v/>
      </c>
      <c r="W125" t="str">
        <f t="array" ref="W125">IFERROR(IF(entities[[#This Row],[Assigned Card]]="","",INDEX(views[object_id],SMALL(IF(views[[1]:[25]]=entities[[#This Row],[Assigned Card]],ROW(views[])-7,99^99),1))),"")</f>
        <v/>
      </c>
      <c r="X125" t="str">
        <f t="array" ref="X125">IFERROR(INDEX(views[object_id],SMALL(IF(views[[1]:[25]]=entities[[#This Row],[entity_id]],ROW(views[])-7,99^99),1)),"")</f>
        <v/>
      </c>
      <c r="Y125" t="str">
        <f>IF(entities[[#This Row],[View from card]]&lt;&gt;"",entities[[#This Row],[View from card]],entities[[#This Row],[View from entitiy]])</f>
        <v/>
      </c>
      <c r="Z125" t="str">
        <f>IF(entities[[#This Row],[In HA?]]&lt;&gt;"ok",  "Not in Home Assistant",
IF(entities[[#This Row],[hidden]]="true",  "Hidden",
IF(entities[[#This Row],[View]]&lt;&gt;"",
INDEX(views[name],MATCH(entities[[#This Row],[View]],views[object_id],0)),  "Default view")))</f>
        <v>Hidden</v>
      </c>
      <c r="AA125" t="str">
        <f>IF(entities[[#This Row],[View]]&lt;&gt;"","group."&amp;entities[[#This Row],[View]],"")</f>
        <v/>
      </c>
      <c r="AB125" s="6" t="str">
        <f>IF(COUNTIF(Table4[Entity],entities[[#This Row],[entity_id]]),"ok","Missing from States tab")</f>
        <v>ok</v>
      </c>
      <c r="AE125" s="14"/>
      <c r="AF125"/>
    </row>
    <row r="126" spans="2:32" x14ac:dyDescent="0.45">
      <c r="B126" t="s">
        <v>256</v>
      </c>
      <c r="C126" t="s">
        <v>243</v>
      </c>
      <c r="D126" s="4" t="s">
        <v>294</v>
      </c>
      <c r="I126" t="str">
        <f>entities[[#This Row],[domain]]&amp;"."&amp;entities[[#This Row],[object_id]]</f>
        <v>sensor.alarm_clock_minute</v>
      </c>
      <c r="J126">
        <f>5-COUNTBLANK(entities[[#This Row],[hidden]:[icon]])</f>
        <v>1</v>
      </c>
      <c r="K126">
        <f>IF(entities[[#This Row],[Custom Attributes]]=0,"",
COUNTIFS(entities[Custom Attributes],"&gt;0",entities[entity_id],"&lt;="&amp;entities[[#This Row],[entity_id]]))</f>
        <v>76</v>
      </c>
      <c r="L126" s="6">
        <f t="array" aca="1" ref="L126" ca="1">IF(entities[[#This Row],[Custom Attributes]]&lt;1,"",
MATCH(FALSE, ISBLANK(OFFSET(entities[[#This Row],[hidden]],0,0,1,5)), 0))</f>
        <v>1</v>
      </c>
      <c r="M126" s="6" t="str">
        <f t="array" aca="1" ref="M126" ca="1">IF(entities[[#This Row],[Custom Attributes]]&lt;2,"",
IF(entities[[#This Row],[1]]=5-1,5,
MATCH(FALSE, ISBLANK(OFFSET(entities[[#This Row],[hidden]],0,entities[[#This Row],[1]],1,5-entities[[#This Row],[1]])), 0)+entities[[#This Row],[1]]))</f>
        <v/>
      </c>
      <c r="N126" s="6" t="str">
        <f t="array" aca="1" ref="N126" ca="1">IF(entities[[#This Row],[Custom Attributes]]&lt;3,"",
IF(entities[[#This Row],[2]]=5-1,5,
MATCH(FALSE, ISBLANK(OFFSET(entities[[#This Row],[hidden]],0,entities[[#This Row],[2]],1,5-entities[[#This Row],[2]])), 0)+entities[[#This Row],[2]]))</f>
        <v/>
      </c>
      <c r="O126" s="6" t="str">
        <f t="array" aca="1" ref="O126" ca="1">IF(entities[[#This Row],[Custom Attributes]]&lt;4,"",
IF(entities[[#This Row],[3]]=5-1,5,
MATCH(FALSE, ISBLANK(OFFSET(entities[[#This Row],[hidden]],0,entities[[#This Row],[3]],1,5-entities[[#This Row],[3]])), 0)+entities[[#This Row],[3]]))</f>
        <v/>
      </c>
      <c r="P126" s="14" t="str">
        <f ca="1">IF(entities[[#This Row],[1]]="","",
VLOOKUP(entities[[#This Row],[1]],Lookup!$B$5:$D$9,3,FALSE)  &amp;  INDEX(entities[[#This Row],[hidden]:[icon]],entities[[#This Row],[1]])
)</f>
        <v xml:space="preserve">  hidden: true</v>
      </c>
      <c r="Q126" s="6" t="str">
        <f ca="1">IF(entities[[#This Row],[2]]="","",
VLOOKUP(entities[[#This Row],[2]],Lookup!$B$5:$D$9,3,FALSE)  &amp;  INDEX(entities[[#This Row],[hidden]:[icon]],entities[[#This Row],[2]])
)</f>
        <v/>
      </c>
      <c r="R126" s="6" t="str">
        <f ca="1">IF(entities[[#This Row],[3]]="","",
VLOOKUP(entities[[#This Row],[3]],Lookup!$B$5:$D$9,3,FALSE)  &amp;  INDEX(entities[[#This Row],[hidden]:[icon]],entities[[#This Row],[3]])
)</f>
        <v/>
      </c>
      <c r="S126" s="6" t="str">
        <f ca="1">IF(entities[[#This Row],[4]]="","",
VLOOKUP(entities[[#This Row],[4]],Lookup!$B$5:$D$9,3,FALSE)  &amp;  INDEX(entities[[#This Row],[hidden]:[icon]],entities[[#This Row],[4]])
)</f>
        <v/>
      </c>
      <c r="T126" t="str">
        <f t="array" ref="T126">IFERROR(INDEX(cards[object_id],SMALL(IF(cards[[1]:[25]]=entities[[#This Row],[entity_id]],ROW(cards[])-7,99^99),1)),"")</f>
        <v/>
      </c>
      <c r="U126" t="str">
        <f>IF(entities[[#This Row],[In HA?]]&lt;&gt;"ok",  "Not in Home Assistant",
IF(entities[[#This Row],[hidden]]="true",  "Hidden",
IF(entities[[#This Row],[Card]]&lt;&gt;"",
INDEX(cards[name],MATCH(entities[[#This Row],[Card]],cards[object_id],0)),  "Badge / automatic card")))</f>
        <v>Hidden</v>
      </c>
      <c r="V126" t="str">
        <f>IF(entities[[#This Row],[Card]]&lt;&gt;"","group."&amp;entities[[#This Row],[Card]],"")</f>
        <v/>
      </c>
      <c r="W126" t="str">
        <f t="array" ref="W126">IFERROR(IF(entities[[#This Row],[Assigned Card]]="","",INDEX(views[object_id],SMALL(IF(views[[1]:[25]]=entities[[#This Row],[Assigned Card]],ROW(views[])-7,99^99),1))),"")</f>
        <v/>
      </c>
      <c r="X126" t="str">
        <f t="array" ref="X126">IFERROR(INDEX(views[object_id],SMALL(IF(views[[1]:[25]]=entities[[#This Row],[entity_id]],ROW(views[])-7,99^99),1)),"")</f>
        <v/>
      </c>
      <c r="Y126" t="str">
        <f>IF(entities[[#This Row],[View from card]]&lt;&gt;"",entities[[#This Row],[View from card]],entities[[#This Row],[View from entitiy]])</f>
        <v/>
      </c>
      <c r="Z126" t="str">
        <f>IF(entities[[#This Row],[In HA?]]&lt;&gt;"ok",  "Not in Home Assistant",
IF(entities[[#This Row],[hidden]]="true",  "Hidden",
IF(entities[[#This Row],[View]]&lt;&gt;"",
INDEX(views[name],MATCH(entities[[#This Row],[View]],views[object_id],0)),  "Default view")))</f>
        <v>Hidden</v>
      </c>
      <c r="AA126" t="str">
        <f>IF(entities[[#This Row],[View]]&lt;&gt;"","group."&amp;entities[[#This Row],[View]],"")</f>
        <v/>
      </c>
      <c r="AB126" s="6" t="str">
        <f>IF(COUNTIF(Table4[Entity],entities[[#This Row],[entity_id]]),"ok","Missing from States tab")</f>
        <v>ok</v>
      </c>
      <c r="AE126" s="14"/>
      <c r="AF126"/>
    </row>
    <row r="127" spans="2:32" x14ac:dyDescent="0.45">
      <c r="B127" t="s">
        <v>256</v>
      </c>
      <c r="C127" t="s">
        <v>257</v>
      </c>
      <c r="E127" t="s">
        <v>329</v>
      </c>
      <c r="I127" t="str">
        <f>entities[[#This Row],[domain]]&amp;"."&amp;entities[[#This Row],[object_id]]</f>
        <v>sensor.alarm_clock_time</v>
      </c>
      <c r="J127">
        <f>5-COUNTBLANK(entities[[#This Row],[hidden]:[icon]])</f>
        <v>1</v>
      </c>
      <c r="K127">
        <f>IF(entities[[#This Row],[Custom Attributes]]=0,"",
COUNTIFS(entities[Custom Attributes],"&gt;0",entities[entity_id],"&lt;="&amp;entities[[#This Row],[entity_id]]))</f>
        <v>77</v>
      </c>
      <c r="L127" s="6">
        <f t="array" aca="1" ref="L127" ca="1">IF(entities[[#This Row],[Custom Attributes]]&lt;1,"",
MATCH(FALSE, ISBLANK(OFFSET(entities[[#This Row],[hidden]],0,0,1,5)), 0))</f>
        <v>2</v>
      </c>
      <c r="M127" s="6" t="str">
        <f t="array" aca="1" ref="M127" ca="1">IF(entities[[#This Row],[Custom Attributes]]&lt;2,"",
IF(entities[[#This Row],[1]]=5-1,5,
MATCH(FALSE, ISBLANK(OFFSET(entities[[#This Row],[hidden]],0,entities[[#This Row],[1]],1,5-entities[[#This Row],[1]])), 0)+entities[[#This Row],[1]]))</f>
        <v/>
      </c>
      <c r="N127" s="6" t="str">
        <f t="array" aca="1" ref="N127" ca="1">IF(entities[[#This Row],[Custom Attributes]]&lt;3,"",
IF(entities[[#This Row],[2]]=5-1,5,
MATCH(FALSE, ISBLANK(OFFSET(entities[[#This Row],[hidden]],0,entities[[#This Row],[2]],1,5-entities[[#This Row],[2]])), 0)+entities[[#This Row],[2]]))</f>
        <v/>
      </c>
      <c r="O127" s="6" t="str">
        <f t="array" aca="1" ref="O127" ca="1">IF(entities[[#This Row],[Custom Attributes]]&lt;4,"",
IF(entities[[#This Row],[3]]=5-1,5,
MATCH(FALSE, ISBLANK(OFFSET(entities[[#This Row],[hidden]],0,entities[[#This Row],[3]],1,5-entities[[#This Row],[3]])), 0)+entities[[#This Row],[3]]))</f>
        <v/>
      </c>
      <c r="P127" s="14" t="str">
        <f ca="1">IF(entities[[#This Row],[1]]="","",
VLOOKUP(entities[[#This Row],[1]],Lookup!$B$5:$D$9,3,FALSE)  &amp;  INDEX(entities[[#This Row],[hidden]:[icon]],entities[[#This Row],[1]])
)</f>
        <v xml:space="preserve">  friendly_name: Alarm Clock Setting</v>
      </c>
      <c r="Q127" s="6" t="str">
        <f ca="1">IF(entities[[#This Row],[2]]="","",
VLOOKUP(entities[[#This Row],[2]],Lookup!$B$5:$D$9,3,FALSE)  &amp;  INDEX(entities[[#This Row],[hidden]:[icon]],entities[[#This Row],[2]])
)</f>
        <v/>
      </c>
      <c r="R127" s="6" t="str">
        <f ca="1">IF(entities[[#This Row],[3]]="","",
VLOOKUP(entities[[#This Row],[3]],Lookup!$B$5:$D$9,3,FALSE)  &amp;  INDEX(entities[[#This Row],[hidden]:[icon]],entities[[#This Row],[3]])
)</f>
        <v/>
      </c>
      <c r="S127" s="6" t="str">
        <f ca="1">IF(entities[[#This Row],[4]]="","",
VLOOKUP(entities[[#This Row],[4]],Lookup!$B$5:$D$9,3,FALSE)  &amp;  INDEX(entities[[#This Row],[hidden]:[icon]],entities[[#This Row],[4]])
)</f>
        <v/>
      </c>
      <c r="T127" t="str">
        <f t="array" ref="T127">IFERROR(INDEX(cards[object_id],SMALL(IF(cards[[1]:[25]]=entities[[#This Row],[entity_id]],ROW(cards[])-7,99^99),1)),"")</f>
        <v>alarm_clock</v>
      </c>
      <c r="U127" t="str">
        <f>IF(entities[[#This Row],[In HA?]]&lt;&gt;"ok",  "Not in Home Assistant",
IF(entities[[#This Row],[hidden]]="true",  "Hidden",
IF(entities[[#This Row],[Card]]&lt;&gt;"",
INDEX(cards[name],MATCH(entities[[#This Row],[Card]],cards[object_id],0)),  "Badge / automatic card")))</f>
        <v>Alarm Clock</v>
      </c>
      <c r="V127" t="str">
        <f>IF(entities[[#This Row],[Card]]&lt;&gt;"","group."&amp;entities[[#This Row],[Card]],"")</f>
        <v>group.alarm_clock</v>
      </c>
      <c r="W127" t="str">
        <f t="array" ref="W127">IFERROR(IF(entities[[#This Row],[Assigned Card]]="","",INDEX(views[object_id],SMALL(IF(views[[1]:[25]]=entities[[#This Row],[Assigned Card]],ROW(views[])-7,99^99),1))),"")</f>
        <v>default_view</v>
      </c>
      <c r="X127" t="str">
        <f t="array" ref="X127">IFERROR(INDEX(views[object_id],SMALL(IF(views[[1]:[25]]=entities[[#This Row],[entity_id]],ROW(views[])-7,99^99),1)),"")</f>
        <v/>
      </c>
      <c r="Y127" t="str">
        <f>IF(entities[[#This Row],[View from card]]&lt;&gt;"",entities[[#This Row],[View from card]],entities[[#This Row],[View from entitiy]])</f>
        <v>default_view</v>
      </c>
      <c r="Z127">
        <f>IF(entities[[#This Row],[In HA?]]&lt;&gt;"ok",  "Not in Home Assistant",
IF(entities[[#This Row],[hidden]]="true",  "Hidden",
IF(entities[[#This Row],[View]]&lt;&gt;"",
INDEX(views[name],MATCH(entities[[#This Row],[View]],views[object_id],0)),  "Default view")))</f>
        <v>0</v>
      </c>
      <c r="AA127" t="str">
        <f>IF(entities[[#This Row],[View]]&lt;&gt;"","group."&amp;entities[[#This Row],[View]],"")</f>
        <v>group.default_view</v>
      </c>
      <c r="AB127" s="6" t="str">
        <f>IF(COUNTIF(Table4[Entity],entities[[#This Row],[entity_id]]),"ok","Missing from States tab")</f>
        <v>ok</v>
      </c>
      <c r="AE127" s="14"/>
      <c r="AF127"/>
    </row>
    <row r="128" spans="2:32" x14ac:dyDescent="0.45">
      <c r="B128" t="s">
        <v>256</v>
      </c>
      <c r="C128" t="s">
        <v>258</v>
      </c>
      <c r="D128" s="4" t="s">
        <v>294</v>
      </c>
      <c r="I128" t="str">
        <f>entities[[#This Row],[domain]]&amp;"."&amp;entities[[#This Row],[object_id]]</f>
        <v>sensor.alarm_clock_time_long</v>
      </c>
      <c r="J128">
        <f>5-COUNTBLANK(entities[[#This Row],[hidden]:[icon]])</f>
        <v>1</v>
      </c>
      <c r="K128">
        <f>IF(entities[[#This Row],[Custom Attributes]]=0,"",
COUNTIFS(entities[Custom Attributes],"&gt;0",entities[entity_id],"&lt;="&amp;entities[[#This Row],[entity_id]]))</f>
        <v>78</v>
      </c>
      <c r="L128" s="6">
        <f t="array" aca="1" ref="L128" ca="1">IF(entities[[#This Row],[Custom Attributes]]&lt;1,"",
MATCH(FALSE, ISBLANK(OFFSET(entities[[#This Row],[hidden]],0,0,1,5)), 0))</f>
        <v>1</v>
      </c>
      <c r="M128" s="6" t="str">
        <f t="array" aca="1" ref="M128" ca="1">IF(entities[[#This Row],[Custom Attributes]]&lt;2,"",
IF(entities[[#This Row],[1]]=5-1,5,
MATCH(FALSE, ISBLANK(OFFSET(entities[[#This Row],[hidden]],0,entities[[#This Row],[1]],1,5-entities[[#This Row],[1]])), 0)+entities[[#This Row],[1]]))</f>
        <v/>
      </c>
      <c r="N128" s="6" t="str">
        <f t="array" aca="1" ref="N128" ca="1">IF(entities[[#This Row],[Custom Attributes]]&lt;3,"",
IF(entities[[#This Row],[2]]=5-1,5,
MATCH(FALSE, ISBLANK(OFFSET(entities[[#This Row],[hidden]],0,entities[[#This Row],[2]],1,5-entities[[#This Row],[2]])), 0)+entities[[#This Row],[2]]))</f>
        <v/>
      </c>
      <c r="O128" s="6" t="str">
        <f t="array" aca="1" ref="O128" ca="1">IF(entities[[#This Row],[Custom Attributes]]&lt;4,"",
IF(entities[[#This Row],[3]]=5-1,5,
MATCH(FALSE, ISBLANK(OFFSET(entities[[#This Row],[hidden]],0,entities[[#This Row],[3]],1,5-entities[[#This Row],[3]])), 0)+entities[[#This Row],[3]]))</f>
        <v/>
      </c>
      <c r="P128" s="14" t="str">
        <f ca="1">IF(entities[[#This Row],[1]]="","",
VLOOKUP(entities[[#This Row],[1]],Lookup!$B$5:$D$9,3,FALSE)  &amp;  INDEX(entities[[#This Row],[hidden]:[icon]],entities[[#This Row],[1]])
)</f>
        <v xml:space="preserve">  hidden: true</v>
      </c>
      <c r="Q128" s="6" t="str">
        <f ca="1">IF(entities[[#This Row],[2]]="","",
VLOOKUP(entities[[#This Row],[2]],Lookup!$B$5:$D$9,3,FALSE)  &amp;  INDEX(entities[[#This Row],[hidden]:[icon]],entities[[#This Row],[2]])
)</f>
        <v/>
      </c>
      <c r="R128" s="6" t="str">
        <f ca="1">IF(entities[[#This Row],[3]]="","",
VLOOKUP(entities[[#This Row],[3]],Lookup!$B$5:$D$9,3,FALSE)  &amp;  INDEX(entities[[#This Row],[hidden]:[icon]],entities[[#This Row],[3]])
)</f>
        <v/>
      </c>
      <c r="S128" s="6" t="str">
        <f ca="1">IF(entities[[#This Row],[4]]="","",
VLOOKUP(entities[[#This Row],[4]],Lookup!$B$5:$D$9,3,FALSE)  &amp;  INDEX(entities[[#This Row],[hidden]:[icon]],entities[[#This Row],[4]])
)</f>
        <v/>
      </c>
      <c r="T128" t="str">
        <f t="array" ref="T128">IFERROR(INDEX(cards[object_id],SMALL(IF(cards[[1]:[25]]=entities[[#This Row],[entity_id]],ROW(cards[])-7,99^99),1)),"")</f>
        <v/>
      </c>
      <c r="U128" t="str">
        <f>IF(entities[[#This Row],[In HA?]]&lt;&gt;"ok",  "Not in Home Assistant",
IF(entities[[#This Row],[hidden]]="true",  "Hidden",
IF(entities[[#This Row],[Card]]&lt;&gt;"",
INDEX(cards[name],MATCH(entities[[#This Row],[Card]],cards[object_id],0)),  "Badge / automatic card")))</f>
        <v>Hidden</v>
      </c>
      <c r="V128" t="str">
        <f>IF(entities[[#This Row],[Card]]&lt;&gt;"","group."&amp;entities[[#This Row],[Card]],"")</f>
        <v/>
      </c>
      <c r="W128" t="str">
        <f t="array" ref="W128">IFERROR(IF(entities[[#This Row],[Assigned Card]]="","",INDEX(views[object_id],SMALL(IF(views[[1]:[25]]=entities[[#This Row],[Assigned Card]],ROW(views[])-7,99^99),1))),"")</f>
        <v/>
      </c>
      <c r="X128" t="str">
        <f t="array" ref="X128">IFERROR(INDEX(views[object_id],SMALL(IF(views[[1]:[25]]=entities[[#This Row],[entity_id]],ROW(views[])-7,99^99),1)),"")</f>
        <v/>
      </c>
      <c r="Y128" t="str">
        <f>IF(entities[[#This Row],[View from card]]&lt;&gt;"",entities[[#This Row],[View from card]],entities[[#This Row],[View from entitiy]])</f>
        <v/>
      </c>
      <c r="Z128" t="str">
        <f>IF(entities[[#This Row],[In HA?]]&lt;&gt;"ok",  "Not in Home Assistant",
IF(entities[[#This Row],[hidden]]="true",  "Hidden",
IF(entities[[#This Row],[View]]&lt;&gt;"",
INDEX(views[name],MATCH(entities[[#This Row],[View]],views[object_id],0)),  "Default view")))</f>
        <v>Hidden</v>
      </c>
      <c r="AA128" t="str">
        <f>IF(entities[[#This Row],[View]]&lt;&gt;"","group."&amp;entities[[#This Row],[View]],"")</f>
        <v/>
      </c>
      <c r="AB128" s="6" t="str">
        <f>IF(COUNTIF(Table4[Entity],entities[[#This Row],[entity_id]]),"ok","Missing from States tab")</f>
        <v>ok</v>
      </c>
      <c r="AE128" s="14"/>
      <c r="AF128"/>
    </row>
    <row r="129" spans="2:32" x14ac:dyDescent="0.45">
      <c r="B129" t="s">
        <v>256</v>
      </c>
      <c r="C129" t="s">
        <v>259</v>
      </c>
      <c r="I129" t="str">
        <f>entities[[#This Row],[domain]]&amp;"."&amp;entities[[#This Row],[object_id]]</f>
        <v>sensor.batt_multi_sensor</v>
      </c>
      <c r="J129">
        <f>5-COUNTBLANK(entities[[#This Row],[hidden]:[icon]])</f>
        <v>0</v>
      </c>
      <c r="K129" t="str">
        <f>IF(entities[[#This Row],[Custom Attributes]]=0,"",
COUNTIFS(entities[Custom Attributes],"&gt;0",entities[entity_id],"&lt;="&amp;entities[[#This Row],[entity_id]]))</f>
        <v/>
      </c>
      <c r="L129" s="6" t="str">
        <f t="array" aca="1" ref="L129" ca="1">IF(entities[[#This Row],[Custom Attributes]]&lt;1,"",
MATCH(FALSE, ISBLANK(OFFSET(entities[[#This Row],[hidden]],0,0,1,5)), 0))</f>
        <v/>
      </c>
      <c r="M129" s="6" t="str">
        <f t="array" aca="1" ref="M129" ca="1">IF(entities[[#This Row],[Custom Attributes]]&lt;2,"",
IF(entities[[#This Row],[1]]=5-1,5,
MATCH(FALSE, ISBLANK(OFFSET(entities[[#This Row],[hidden]],0,entities[[#This Row],[1]],1,5-entities[[#This Row],[1]])), 0)+entities[[#This Row],[1]]))</f>
        <v/>
      </c>
      <c r="N129" s="6" t="str">
        <f t="array" aca="1" ref="N129" ca="1">IF(entities[[#This Row],[Custom Attributes]]&lt;3,"",
IF(entities[[#This Row],[2]]=5-1,5,
MATCH(FALSE, ISBLANK(OFFSET(entities[[#This Row],[hidden]],0,entities[[#This Row],[2]],1,5-entities[[#This Row],[2]])), 0)+entities[[#This Row],[2]]))</f>
        <v/>
      </c>
      <c r="O129" s="6" t="str">
        <f t="array" aca="1" ref="O129" ca="1">IF(entities[[#This Row],[Custom Attributes]]&lt;4,"",
IF(entities[[#This Row],[3]]=5-1,5,
MATCH(FALSE, ISBLANK(OFFSET(entities[[#This Row],[hidden]],0,entities[[#This Row],[3]],1,5-entities[[#This Row],[3]])), 0)+entities[[#This Row],[3]]))</f>
        <v/>
      </c>
      <c r="P129" s="14" t="str">
        <f ca="1">IF(entities[[#This Row],[1]]="","",
VLOOKUP(entities[[#This Row],[1]],Lookup!$B$5:$D$9,3,FALSE)  &amp;  INDEX(entities[[#This Row],[hidden]:[icon]],entities[[#This Row],[1]])
)</f>
        <v/>
      </c>
      <c r="Q129" s="6" t="str">
        <f ca="1">IF(entities[[#This Row],[2]]="","",
VLOOKUP(entities[[#This Row],[2]],Lookup!$B$5:$D$9,3,FALSE)  &amp;  INDEX(entities[[#This Row],[hidden]:[icon]],entities[[#This Row],[2]])
)</f>
        <v/>
      </c>
      <c r="R129" s="6" t="str">
        <f ca="1">IF(entities[[#This Row],[3]]="","",
VLOOKUP(entities[[#This Row],[3]],Lookup!$B$5:$D$9,3,FALSE)  &amp;  INDEX(entities[[#This Row],[hidden]:[icon]],entities[[#This Row],[3]])
)</f>
        <v/>
      </c>
      <c r="S129" s="6" t="str">
        <f ca="1">IF(entities[[#This Row],[4]]="","",
VLOOKUP(entities[[#This Row],[4]],Lookup!$B$5:$D$9,3,FALSE)  &amp;  INDEX(entities[[#This Row],[hidden]:[icon]],entities[[#This Row],[4]])
)</f>
        <v/>
      </c>
      <c r="T129" t="str">
        <f t="array" ref="T129">IFERROR(INDEX(cards[object_id],SMALL(IF(cards[[1]:[25]]=entities[[#This Row],[entity_id]],ROW(cards[])-7,99^99),1)),"")</f>
        <v>environment_living_room</v>
      </c>
      <c r="U129" t="str">
        <f>IF(entities[[#This Row],[In HA?]]&lt;&gt;"ok",  "Not in Home Assistant",
IF(entities[[#This Row],[hidden]]="true",  "Hidden",
IF(entities[[#This Row],[Card]]&lt;&gt;"",
INDEX(cards[name],MATCH(entities[[#This Row],[Card]],cards[object_id],0)),  "Badge / automatic card")))</f>
        <v>Environment || Living Room</v>
      </c>
      <c r="V129" t="str">
        <f>IF(entities[[#This Row],[Card]]&lt;&gt;"","group."&amp;entities[[#This Row],[Card]],"")</f>
        <v>group.environment_living_room</v>
      </c>
      <c r="W129" t="str">
        <f t="array" ref="W129">IFERROR(IF(entities[[#This Row],[Assigned Card]]="","",INDEX(views[object_id],SMALL(IF(views[[1]:[25]]=entities[[#This Row],[Assigned Card]],ROW(views[])-7,99^99),1))),"")</f>
        <v>environment_view</v>
      </c>
      <c r="X129" t="str">
        <f t="array" ref="X129">IFERROR(INDEX(views[object_id],SMALL(IF(views[[1]:[25]]=entities[[#This Row],[entity_id]],ROW(views[])-7,99^99),1)),"")</f>
        <v/>
      </c>
      <c r="Y129" t="str">
        <f>IF(entities[[#This Row],[View from card]]&lt;&gt;"",entities[[#This Row],[View from card]],entities[[#This Row],[View from entitiy]])</f>
        <v>environment_view</v>
      </c>
      <c r="Z129" t="str">
        <f>IF(entities[[#This Row],[In HA?]]&lt;&gt;"ok",  "Not in Home Assistant",
IF(entities[[#This Row],[hidden]]="true",  "Hidden",
IF(entities[[#This Row],[View]]&lt;&gt;"",
INDEX(views[name],MATCH(entities[[#This Row],[View]],views[object_id],0)),  "Default view")))</f>
        <v>Environment</v>
      </c>
      <c r="AA129" t="str">
        <f>IF(entities[[#This Row],[View]]&lt;&gt;"","group."&amp;entities[[#This Row],[View]],"")</f>
        <v>group.environment_view</v>
      </c>
      <c r="AB129" s="6" t="str">
        <f>IF(COUNTIF(Table4[Entity],entities[[#This Row],[entity_id]]),"ok","Missing from States tab")</f>
        <v>ok</v>
      </c>
      <c r="AE129" s="14"/>
      <c r="AF129"/>
    </row>
    <row r="130" spans="2:32" x14ac:dyDescent="0.45">
      <c r="B130" t="s">
        <v>256</v>
      </c>
      <c r="C130" t="s">
        <v>260</v>
      </c>
      <c r="I130" t="str">
        <f>entities[[#This Row],[domain]]&amp;"."&amp;entities[[#This Row],[object_id]]</f>
        <v>sensor.cpu_temp</v>
      </c>
      <c r="J130">
        <f>5-COUNTBLANK(entities[[#This Row],[hidden]:[icon]])</f>
        <v>0</v>
      </c>
      <c r="K130" t="str">
        <f>IF(entities[[#This Row],[Custom Attributes]]=0,"",
COUNTIFS(entities[Custom Attributes],"&gt;0",entities[entity_id],"&lt;="&amp;entities[[#This Row],[entity_id]]))</f>
        <v/>
      </c>
      <c r="L130" s="6" t="str">
        <f t="array" aca="1" ref="L130" ca="1">IF(entities[[#This Row],[Custom Attributes]]&lt;1,"",
MATCH(FALSE, ISBLANK(OFFSET(entities[[#This Row],[hidden]],0,0,1,5)), 0))</f>
        <v/>
      </c>
      <c r="M130" s="6" t="str">
        <f t="array" aca="1" ref="M130" ca="1">IF(entities[[#This Row],[Custom Attributes]]&lt;2,"",
IF(entities[[#This Row],[1]]=5-1,5,
MATCH(FALSE, ISBLANK(OFFSET(entities[[#This Row],[hidden]],0,entities[[#This Row],[1]],1,5-entities[[#This Row],[1]])), 0)+entities[[#This Row],[1]]))</f>
        <v/>
      </c>
      <c r="N130" s="6" t="str">
        <f t="array" aca="1" ref="N130" ca="1">IF(entities[[#This Row],[Custom Attributes]]&lt;3,"",
IF(entities[[#This Row],[2]]=5-1,5,
MATCH(FALSE, ISBLANK(OFFSET(entities[[#This Row],[hidden]],0,entities[[#This Row],[2]],1,5-entities[[#This Row],[2]])), 0)+entities[[#This Row],[2]]))</f>
        <v/>
      </c>
      <c r="O130" s="6" t="str">
        <f t="array" aca="1" ref="O130" ca="1">IF(entities[[#This Row],[Custom Attributes]]&lt;4,"",
IF(entities[[#This Row],[3]]=5-1,5,
MATCH(FALSE, ISBLANK(OFFSET(entities[[#This Row],[hidden]],0,entities[[#This Row],[3]],1,5-entities[[#This Row],[3]])), 0)+entities[[#This Row],[3]]))</f>
        <v/>
      </c>
      <c r="P130" s="14" t="str">
        <f ca="1">IF(entities[[#This Row],[1]]="","",
VLOOKUP(entities[[#This Row],[1]],Lookup!$B$5:$D$9,3,FALSE)  &amp;  INDEX(entities[[#This Row],[hidden]:[icon]],entities[[#This Row],[1]])
)</f>
        <v/>
      </c>
      <c r="Q130" s="6" t="str">
        <f ca="1">IF(entities[[#This Row],[2]]="","",
VLOOKUP(entities[[#This Row],[2]],Lookup!$B$5:$D$9,3,FALSE)  &amp;  INDEX(entities[[#This Row],[hidden]:[icon]],entities[[#This Row],[2]])
)</f>
        <v/>
      </c>
      <c r="R130" s="6" t="str">
        <f ca="1">IF(entities[[#This Row],[3]]="","",
VLOOKUP(entities[[#This Row],[3]],Lookup!$B$5:$D$9,3,FALSE)  &amp;  INDEX(entities[[#This Row],[hidden]:[icon]],entities[[#This Row],[3]])
)</f>
        <v/>
      </c>
      <c r="S130" s="6" t="str">
        <f ca="1">IF(entities[[#This Row],[4]]="","",
VLOOKUP(entities[[#This Row],[4]],Lookup!$B$5:$D$9,3,FALSE)  &amp;  INDEX(entities[[#This Row],[hidden]:[icon]],entities[[#This Row],[4]])
)</f>
        <v/>
      </c>
      <c r="T130" t="str">
        <f t="array" ref="T130">IFERROR(INDEX(cards[object_id],SMALL(IF(cards[[1]:[25]]=entities[[#This Row],[entity_id]],ROW(cards[])-7,99^99),1)),"")</f>
        <v>host_device</v>
      </c>
      <c r="U130" t="str">
        <f>IF(entities[[#This Row],[In HA?]]&lt;&gt;"ok",  "Not in Home Assistant",
IF(entities[[#This Row],[hidden]]="true",  "Hidden",
IF(entities[[#This Row],[Card]]&lt;&gt;"",
INDEX(cards[name],MATCH(entities[[#This Row],[Card]],cards[object_id],0)),  "Badge / automatic card")))</f>
        <v>HA Host</v>
      </c>
      <c r="V130" t="str">
        <f>IF(entities[[#This Row],[Card]]&lt;&gt;"","group."&amp;entities[[#This Row],[Card]],"")</f>
        <v>group.host_device</v>
      </c>
      <c r="W130" t="str">
        <f t="array" ref="W130">IFERROR(IF(entities[[#This Row],[Assigned Card]]="","",INDEX(views[object_id],SMALL(IF(views[[1]:[25]]=entities[[#This Row],[Assigned Card]],ROW(views[])-7,99^99),1))),"")</f>
        <v>network_view</v>
      </c>
      <c r="X130" t="str">
        <f t="array" ref="X130">IFERROR(INDEX(views[object_id],SMALL(IF(views[[1]:[25]]=entities[[#This Row],[entity_id]],ROW(views[])-7,99^99),1)),"")</f>
        <v/>
      </c>
      <c r="Y130" t="str">
        <f>IF(entities[[#This Row],[View from card]]&lt;&gt;"",entities[[#This Row],[View from card]],entities[[#This Row],[View from entitiy]])</f>
        <v>network_view</v>
      </c>
      <c r="Z130" t="str">
        <f>IF(entities[[#This Row],[In HA?]]&lt;&gt;"ok",  "Not in Home Assistant",
IF(entities[[#This Row],[hidden]]="true",  "Hidden",
IF(entities[[#This Row],[View]]&lt;&gt;"",
INDEX(views[name],MATCH(entities[[#This Row],[View]],views[object_id],0)),  "Default view")))</f>
        <v>Network</v>
      </c>
      <c r="AA130" t="str">
        <f>IF(entities[[#This Row],[View]]&lt;&gt;"","group."&amp;entities[[#This Row],[View]],"")</f>
        <v>group.network_view</v>
      </c>
      <c r="AB130" s="6" t="str">
        <f>IF(COUNTIF(Table4[Entity],entities[[#This Row],[entity_id]]),"ok","Missing from States tab")</f>
        <v>ok</v>
      </c>
      <c r="AE130" s="14"/>
      <c r="AF130"/>
    </row>
    <row r="131" spans="2:32" x14ac:dyDescent="0.45">
      <c r="B131" t="s">
        <v>256</v>
      </c>
      <c r="C131" t="s">
        <v>261</v>
      </c>
      <c r="I131" t="str">
        <f>entities[[#This Row],[domain]]&amp;"."&amp;entities[[#This Row],[object_id]]</f>
        <v>sensor.cpu_use</v>
      </c>
      <c r="J131">
        <f>5-COUNTBLANK(entities[[#This Row],[hidden]:[icon]])</f>
        <v>0</v>
      </c>
      <c r="K131" t="str">
        <f>IF(entities[[#This Row],[Custom Attributes]]=0,"",
COUNTIFS(entities[Custom Attributes],"&gt;0",entities[entity_id],"&lt;="&amp;entities[[#This Row],[entity_id]]))</f>
        <v/>
      </c>
      <c r="L131" s="6" t="str">
        <f t="array" aca="1" ref="L131" ca="1">IF(entities[[#This Row],[Custom Attributes]]&lt;1,"",
MATCH(FALSE, ISBLANK(OFFSET(entities[[#This Row],[hidden]],0,0,1,5)), 0))</f>
        <v/>
      </c>
      <c r="M131" s="6" t="str">
        <f t="array" aca="1" ref="M131" ca="1">IF(entities[[#This Row],[Custom Attributes]]&lt;2,"",
IF(entities[[#This Row],[1]]=5-1,5,
MATCH(FALSE, ISBLANK(OFFSET(entities[[#This Row],[hidden]],0,entities[[#This Row],[1]],1,5-entities[[#This Row],[1]])), 0)+entities[[#This Row],[1]]))</f>
        <v/>
      </c>
      <c r="N131" s="6" t="str">
        <f t="array" aca="1" ref="N131" ca="1">IF(entities[[#This Row],[Custom Attributes]]&lt;3,"",
IF(entities[[#This Row],[2]]=5-1,5,
MATCH(FALSE, ISBLANK(OFFSET(entities[[#This Row],[hidden]],0,entities[[#This Row],[2]],1,5-entities[[#This Row],[2]])), 0)+entities[[#This Row],[2]]))</f>
        <v/>
      </c>
      <c r="O131" s="6" t="str">
        <f t="array" aca="1" ref="O131" ca="1">IF(entities[[#This Row],[Custom Attributes]]&lt;4,"",
IF(entities[[#This Row],[3]]=5-1,5,
MATCH(FALSE, ISBLANK(OFFSET(entities[[#This Row],[hidden]],0,entities[[#This Row],[3]],1,5-entities[[#This Row],[3]])), 0)+entities[[#This Row],[3]]))</f>
        <v/>
      </c>
      <c r="P131" s="14" t="str">
        <f ca="1">IF(entities[[#This Row],[1]]="","",
VLOOKUP(entities[[#This Row],[1]],Lookup!$B$5:$D$9,3,FALSE)  &amp;  INDEX(entities[[#This Row],[hidden]:[icon]],entities[[#This Row],[1]])
)</f>
        <v/>
      </c>
      <c r="Q131" s="6" t="str">
        <f ca="1">IF(entities[[#This Row],[2]]="","",
VLOOKUP(entities[[#This Row],[2]],Lookup!$B$5:$D$9,3,FALSE)  &amp;  INDEX(entities[[#This Row],[hidden]:[icon]],entities[[#This Row],[2]])
)</f>
        <v/>
      </c>
      <c r="R131" s="6" t="str">
        <f ca="1">IF(entities[[#This Row],[3]]="","",
VLOOKUP(entities[[#This Row],[3]],Lookup!$B$5:$D$9,3,FALSE)  &amp;  INDEX(entities[[#This Row],[hidden]:[icon]],entities[[#This Row],[3]])
)</f>
        <v/>
      </c>
      <c r="S131" s="6" t="str">
        <f ca="1">IF(entities[[#This Row],[4]]="","",
VLOOKUP(entities[[#This Row],[4]],Lookup!$B$5:$D$9,3,FALSE)  &amp;  INDEX(entities[[#This Row],[hidden]:[icon]],entities[[#This Row],[4]])
)</f>
        <v/>
      </c>
      <c r="T131" t="str">
        <f t="array" ref="T131">IFERROR(INDEX(cards[object_id],SMALL(IF(cards[[1]:[25]]=entities[[#This Row],[entity_id]],ROW(cards[])-7,99^99),1)),"")</f>
        <v>host_device</v>
      </c>
      <c r="U131" t="str">
        <f>IF(entities[[#This Row],[In HA?]]&lt;&gt;"ok",  "Not in Home Assistant",
IF(entities[[#This Row],[hidden]]="true",  "Hidden",
IF(entities[[#This Row],[Card]]&lt;&gt;"",
INDEX(cards[name],MATCH(entities[[#This Row],[Card]],cards[object_id],0)),  "Badge / automatic card")))</f>
        <v>HA Host</v>
      </c>
      <c r="V131" t="str">
        <f>IF(entities[[#This Row],[Card]]&lt;&gt;"","group."&amp;entities[[#This Row],[Card]],"")</f>
        <v>group.host_device</v>
      </c>
      <c r="W131" t="str">
        <f t="array" ref="W131">IFERROR(IF(entities[[#This Row],[Assigned Card]]="","",INDEX(views[object_id],SMALL(IF(views[[1]:[25]]=entities[[#This Row],[Assigned Card]],ROW(views[])-7,99^99),1))),"")</f>
        <v>network_view</v>
      </c>
      <c r="X131" t="str">
        <f t="array" ref="X131">IFERROR(INDEX(views[object_id],SMALL(IF(views[[1]:[25]]=entities[[#This Row],[entity_id]],ROW(views[])-7,99^99),1)),"")</f>
        <v/>
      </c>
      <c r="Y131" t="str">
        <f>IF(entities[[#This Row],[View from card]]&lt;&gt;"",entities[[#This Row],[View from card]],entities[[#This Row],[View from entitiy]])</f>
        <v>network_view</v>
      </c>
      <c r="Z131" t="str">
        <f>IF(entities[[#This Row],[In HA?]]&lt;&gt;"ok",  "Not in Home Assistant",
IF(entities[[#This Row],[hidden]]="true",  "Hidden",
IF(entities[[#This Row],[View]]&lt;&gt;"",
INDEX(views[name],MATCH(entities[[#This Row],[View]],views[object_id],0)),  "Default view")))</f>
        <v>Network</v>
      </c>
      <c r="AA131" t="str">
        <f>IF(entities[[#This Row],[View]]&lt;&gt;"","group."&amp;entities[[#This Row],[View]],"")</f>
        <v>group.network_view</v>
      </c>
      <c r="AB131" s="6" t="str">
        <f>IF(COUNTIF(Table4[Entity],entities[[#This Row],[entity_id]]),"ok","Missing from States tab")</f>
        <v>ok</v>
      </c>
      <c r="AE131" s="14"/>
      <c r="AF131"/>
    </row>
    <row r="132" spans="2:32" x14ac:dyDescent="0.45">
      <c r="B132" t="s">
        <v>256</v>
      </c>
      <c r="C132" t="s">
        <v>262</v>
      </c>
      <c r="E132" t="s">
        <v>324</v>
      </c>
      <c r="I132" t="str">
        <f>entities[[#This Row],[domain]]&amp;"."&amp;entities[[#This Row],[object_id]]</f>
        <v>sensor.dark_sky_apparent_temperature</v>
      </c>
      <c r="J132">
        <f>5-COUNTBLANK(entities[[#This Row],[hidden]:[icon]])</f>
        <v>1</v>
      </c>
      <c r="K132">
        <f>IF(entities[[#This Row],[Custom Attributes]]=0,"",
COUNTIFS(entities[Custom Attributes],"&gt;0",entities[entity_id],"&lt;="&amp;entities[[#This Row],[entity_id]]))</f>
        <v>79</v>
      </c>
      <c r="L132" s="6">
        <f t="array" aca="1" ref="L132" ca="1">IF(entities[[#This Row],[Custom Attributes]]&lt;1,"",
MATCH(FALSE, ISBLANK(OFFSET(entities[[#This Row],[hidden]],0,0,1,5)), 0))</f>
        <v>2</v>
      </c>
      <c r="M132" s="6" t="str">
        <f t="array" aca="1" ref="M132" ca="1">IF(entities[[#This Row],[Custom Attributes]]&lt;2,"",
IF(entities[[#This Row],[1]]=5-1,5,
MATCH(FALSE, ISBLANK(OFFSET(entities[[#This Row],[hidden]],0,entities[[#This Row],[1]],1,5-entities[[#This Row],[1]])), 0)+entities[[#This Row],[1]]))</f>
        <v/>
      </c>
      <c r="N132" s="6" t="str">
        <f t="array" aca="1" ref="N132" ca="1">IF(entities[[#This Row],[Custom Attributes]]&lt;3,"",
IF(entities[[#This Row],[2]]=5-1,5,
MATCH(FALSE, ISBLANK(OFFSET(entities[[#This Row],[hidden]],0,entities[[#This Row],[2]],1,5-entities[[#This Row],[2]])), 0)+entities[[#This Row],[2]]))</f>
        <v/>
      </c>
      <c r="O132" s="6" t="str">
        <f t="array" aca="1" ref="O132" ca="1">IF(entities[[#This Row],[Custom Attributes]]&lt;4,"",
IF(entities[[#This Row],[3]]=5-1,5,
MATCH(FALSE, ISBLANK(OFFSET(entities[[#This Row],[hidden]],0,entities[[#This Row],[3]],1,5-entities[[#This Row],[3]])), 0)+entities[[#This Row],[3]]))</f>
        <v/>
      </c>
      <c r="P132" s="14" t="str">
        <f ca="1">IF(entities[[#This Row],[1]]="","",
VLOOKUP(entities[[#This Row],[1]],Lookup!$B$5:$D$9,3,FALSE)  &amp;  INDEX(entities[[#This Row],[hidden]:[icon]],entities[[#This Row],[1]])
)</f>
        <v xml:space="preserve">  friendly_name: Feels Like</v>
      </c>
      <c r="Q132" s="6" t="str">
        <f ca="1">IF(entities[[#This Row],[2]]="","",
VLOOKUP(entities[[#This Row],[2]],Lookup!$B$5:$D$9,3,FALSE)  &amp;  INDEX(entities[[#This Row],[hidden]:[icon]],entities[[#This Row],[2]])
)</f>
        <v/>
      </c>
      <c r="R132" s="6" t="str">
        <f ca="1">IF(entities[[#This Row],[3]]="","",
VLOOKUP(entities[[#This Row],[3]],Lookup!$B$5:$D$9,3,FALSE)  &amp;  INDEX(entities[[#This Row],[hidden]:[icon]],entities[[#This Row],[3]])
)</f>
        <v/>
      </c>
      <c r="S132" s="6" t="str">
        <f ca="1">IF(entities[[#This Row],[4]]="","",
VLOOKUP(entities[[#This Row],[4]],Lookup!$B$5:$D$9,3,FALSE)  &amp;  INDEX(entities[[#This Row],[hidden]:[icon]],entities[[#This Row],[4]])
)</f>
        <v/>
      </c>
      <c r="T132" t="str">
        <f t="array" ref="T132">IFERROR(INDEX(cards[object_id],SMALL(IF(cards[[1]:[25]]=entities[[#This Row],[entity_id]],ROW(cards[])-7,99^99),1)),"")</f>
        <v>environment</v>
      </c>
      <c r="U132" t="str">
        <f>IF(entities[[#This Row],[In HA?]]&lt;&gt;"ok",  "Not in Home Assistant",
IF(entities[[#This Row],[hidden]]="true",  "Hidden",
IF(entities[[#This Row],[Card]]&lt;&gt;"",
INDEX(cards[name],MATCH(entities[[#This Row],[Card]],cards[object_id],0)),  "Badge / automatic card")))</f>
        <v>Environment || Forecast</v>
      </c>
      <c r="V132" t="str">
        <f>IF(entities[[#This Row],[Card]]&lt;&gt;"","group."&amp;entities[[#This Row],[Card]],"")</f>
        <v>group.environment</v>
      </c>
      <c r="W132" t="str">
        <f t="array" ref="W132">IFERROR(IF(entities[[#This Row],[Assigned Card]]="","",INDEX(views[object_id],SMALL(IF(views[[1]:[25]]=entities[[#This Row],[Assigned Card]],ROW(views[])-7,99^99),1))),"")</f>
        <v>environment_view</v>
      </c>
      <c r="X132" t="str">
        <f t="array" ref="X132">IFERROR(INDEX(views[object_id],SMALL(IF(views[[1]:[25]]=entities[[#This Row],[entity_id]],ROW(views[])-7,99^99),1)),"")</f>
        <v/>
      </c>
      <c r="Y132" t="str">
        <f>IF(entities[[#This Row],[View from card]]&lt;&gt;"",entities[[#This Row],[View from card]],entities[[#This Row],[View from entitiy]])</f>
        <v>environment_view</v>
      </c>
      <c r="Z132" t="str">
        <f>IF(entities[[#This Row],[In HA?]]&lt;&gt;"ok",  "Not in Home Assistant",
IF(entities[[#This Row],[hidden]]="true",  "Hidden",
IF(entities[[#This Row],[View]]&lt;&gt;"",
INDEX(views[name],MATCH(entities[[#This Row],[View]],views[object_id],0)),  "Default view")))</f>
        <v>Environment</v>
      </c>
      <c r="AA132" t="str">
        <f>IF(entities[[#This Row],[View]]&lt;&gt;"","group."&amp;entities[[#This Row],[View]],"")</f>
        <v>group.environment_view</v>
      </c>
      <c r="AB132" s="6" t="str">
        <f>IF(COUNTIF(Table4[Entity],entities[[#This Row],[entity_id]]),"ok","Missing from States tab")</f>
        <v>ok</v>
      </c>
      <c r="AE132" s="14"/>
      <c r="AF132"/>
    </row>
    <row r="133" spans="2:32" x14ac:dyDescent="0.45">
      <c r="B133" t="s">
        <v>256</v>
      </c>
      <c r="C133" t="s">
        <v>263</v>
      </c>
      <c r="I133" t="str">
        <f>entities[[#This Row],[domain]]&amp;"."&amp;entities[[#This Row],[object_id]]</f>
        <v>sensor.dark_sky_cloud_coverage</v>
      </c>
      <c r="J133">
        <f>5-COUNTBLANK(entities[[#This Row],[hidden]:[icon]])</f>
        <v>0</v>
      </c>
      <c r="K133" t="str">
        <f>IF(entities[[#This Row],[Custom Attributes]]=0,"",
COUNTIFS(entities[Custom Attributes],"&gt;0",entities[entity_id],"&lt;="&amp;entities[[#This Row],[entity_id]]))</f>
        <v/>
      </c>
      <c r="L133" s="6" t="str">
        <f t="array" aca="1" ref="L133" ca="1">IF(entities[[#This Row],[Custom Attributes]]&lt;1,"",
MATCH(FALSE, ISBLANK(OFFSET(entities[[#This Row],[hidden]],0,0,1,5)), 0))</f>
        <v/>
      </c>
      <c r="M133" s="6" t="str">
        <f t="array" aca="1" ref="M133" ca="1">IF(entities[[#This Row],[Custom Attributes]]&lt;2,"",
IF(entities[[#This Row],[1]]=5-1,5,
MATCH(FALSE, ISBLANK(OFFSET(entities[[#This Row],[hidden]],0,entities[[#This Row],[1]],1,5-entities[[#This Row],[1]])), 0)+entities[[#This Row],[1]]))</f>
        <v/>
      </c>
      <c r="N133" s="6" t="str">
        <f t="array" aca="1" ref="N133" ca="1">IF(entities[[#This Row],[Custom Attributes]]&lt;3,"",
IF(entities[[#This Row],[2]]=5-1,5,
MATCH(FALSE, ISBLANK(OFFSET(entities[[#This Row],[hidden]],0,entities[[#This Row],[2]],1,5-entities[[#This Row],[2]])), 0)+entities[[#This Row],[2]]))</f>
        <v/>
      </c>
      <c r="O133" s="6" t="str">
        <f t="array" aca="1" ref="O133" ca="1">IF(entities[[#This Row],[Custom Attributes]]&lt;4,"",
IF(entities[[#This Row],[3]]=5-1,5,
MATCH(FALSE, ISBLANK(OFFSET(entities[[#This Row],[hidden]],0,entities[[#This Row],[3]],1,5-entities[[#This Row],[3]])), 0)+entities[[#This Row],[3]]))</f>
        <v/>
      </c>
      <c r="P133" s="14" t="str">
        <f ca="1">IF(entities[[#This Row],[1]]="","",
VLOOKUP(entities[[#This Row],[1]],Lookup!$B$5:$D$9,3,FALSE)  &amp;  INDEX(entities[[#This Row],[hidden]:[icon]],entities[[#This Row],[1]])
)</f>
        <v/>
      </c>
      <c r="Q133" s="6" t="str">
        <f ca="1">IF(entities[[#This Row],[2]]="","",
VLOOKUP(entities[[#This Row],[2]],Lookup!$B$5:$D$9,3,FALSE)  &amp;  INDEX(entities[[#This Row],[hidden]:[icon]],entities[[#This Row],[2]])
)</f>
        <v/>
      </c>
      <c r="R133" s="6" t="str">
        <f ca="1">IF(entities[[#This Row],[3]]="","",
VLOOKUP(entities[[#This Row],[3]],Lookup!$B$5:$D$9,3,FALSE)  &amp;  INDEX(entities[[#This Row],[hidden]:[icon]],entities[[#This Row],[3]])
)</f>
        <v/>
      </c>
      <c r="S133" s="6" t="str">
        <f ca="1">IF(entities[[#This Row],[4]]="","",
VLOOKUP(entities[[#This Row],[4]],Lookup!$B$5:$D$9,3,FALSE)  &amp;  INDEX(entities[[#This Row],[hidden]:[icon]],entities[[#This Row],[4]])
)</f>
        <v/>
      </c>
      <c r="T133" t="str">
        <f t="array" ref="T133">IFERROR(INDEX(cards[object_id],SMALL(IF(cards[[1]:[25]]=entities[[#This Row],[entity_id]],ROW(cards[])-7,99^99),1)),"")</f>
        <v>environment_detail</v>
      </c>
      <c r="U133" t="str">
        <f>IF(entities[[#This Row],[In HA?]]&lt;&gt;"ok",  "Not in Home Assistant",
IF(entities[[#This Row],[hidden]]="true",  "Hidden",
IF(entities[[#This Row],[Card]]&lt;&gt;"",
INDEX(cards[name],MATCH(entities[[#This Row],[Card]],cards[object_id],0)),  "Badge / automatic card")))</f>
        <v>Environment Detail</v>
      </c>
      <c r="V133" t="str">
        <f>IF(entities[[#This Row],[Card]]&lt;&gt;"","group."&amp;entities[[#This Row],[Card]],"")</f>
        <v>group.environment_detail</v>
      </c>
      <c r="W133" t="str">
        <f t="array" ref="W133">IFERROR(IF(entities[[#This Row],[Assigned Card]]="","",INDEX(views[object_id],SMALL(IF(views[[1]:[25]]=entities[[#This Row],[Assigned Card]],ROW(views[])-7,99^99),1))),"")</f>
        <v/>
      </c>
      <c r="X133" t="str">
        <f t="array" ref="X133">IFERROR(INDEX(views[object_id],SMALL(IF(views[[1]:[25]]=entities[[#This Row],[entity_id]],ROW(views[])-7,99^99),1)),"")</f>
        <v/>
      </c>
      <c r="Y133" t="str">
        <f>IF(entities[[#This Row],[View from card]]&lt;&gt;"",entities[[#This Row],[View from card]],entities[[#This Row],[View from entitiy]])</f>
        <v/>
      </c>
      <c r="Z133" t="str">
        <f>IF(entities[[#This Row],[In HA?]]&lt;&gt;"ok",  "Not in Home Assistant",
IF(entities[[#This Row],[hidden]]="true",  "Hidden",
IF(entities[[#This Row],[View]]&lt;&gt;"",
INDEX(views[name],MATCH(entities[[#This Row],[View]],views[object_id],0)),  "Default view")))</f>
        <v>Default view</v>
      </c>
      <c r="AA133" t="str">
        <f>IF(entities[[#This Row],[View]]&lt;&gt;"","group."&amp;entities[[#This Row],[View]],"")</f>
        <v/>
      </c>
      <c r="AB133" s="6" t="str">
        <f>IF(COUNTIF(Table4[Entity],entities[[#This Row],[entity_id]]),"ok","Missing from States tab")</f>
        <v>ok</v>
      </c>
      <c r="AE133" s="14"/>
      <c r="AF133"/>
    </row>
    <row r="134" spans="2:32" x14ac:dyDescent="0.45">
      <c r="B134" t="s">
        <v>256</v>
      </c>
      <c r="C134" t="s">
        <v>264</v>
      </c>
      <c r="I134" t="str">
        <f>entities[[#This Row],[domain]]&amp;"."&amp;entities[[#This Row],[object_id]]</f>
        <v>sensor.dark_sky_daily_high_apparent_temperature</v>
      </c>
      <c r="J134">
        <f>5-COUNTBLANK(entities[[#This Row],[hidden]:[icon]])</f>
        <v>0</v>
      </c>
      <c r="K134" t="str">
        <f>IF(entities[[#This Row],[Custom Attributes]]=0,"",
COUNTIFS(entities[Custom Attributes],"&gt;0",entities[entity_id],"&lt;="&amp;entities[[#This Row],[entity_id]]))</f>
        <v/>
      </c>
      <c r="L134" s="6" t="str">
        <f t="array" aca="1" ref="L134" ca="1">IF(entities[[#This Row],[Custom Attributes]]&lt;1,"",
MATCH(FALSE, ISBLANK(OFFSET(entities[[#This Row],[hidden]],0,0,1,5)), 0))</f>
        <v/>
      </c>
      <c r="M134" s="6" t="str">
        <f t="array" aca="1" ref="M134" ca="1">IF(entities[[#This Row],[Custom Attributes]]&lt;2,"",
IF(entities[[#This Row],[1]]=5-1,5,
MATCH(FALSE, ISBLANK(OFFSET(entities[[#This Row],[hidden]],0,entities[[#This Row],[1]],1,5-entities[[#This Row],[1]])), 0)+entities[[#This Row],[1]]))</f>
        <v/>
      </c>
      <c r="N134" s="6" t="str">
        <f t="array" aca="1" ref="N134" ca="1">IF(entities[[#This Row],[Custom Attributes]]&lt;3,"",
IF(entities[[#This Row],[2]]=5-1,5,
MATCH(FALSE, ISBLANK(OFFSET(entities[[#This Row],[hidden]],0,entities[[#This Row],[2]],1,5-entities[[#This Row],[2]])), 0)+entities[[#This Row],[2]]))</f>
        <v/>
      </c>
      <c r="O134" s="6" t="str">
        <f t="array" aca="1" ref="O134" ca="1">IF(entities[[#This Row],[Custom Attributes]]&lt;4,"",
IF(entities[[#This Row],[3]]=5-1,5,
MATCH(FALSE, ISBLANK(OFFSET(entities[[#This Row],[hidden]],0,entities[[#This Row],[3]],1,5-entities[[#This Row],[3]])), 0)+entities[[#This Row],[3]]))</f>
        <v/>
      </c>
      <c r="P134" s="14" t="str">
        <f ca="1">IF(entities[[#This Row],[1]]="","",
VLOOKUP(entities[[#This Row],[1]],Lookup!$B$5:$D$9,3,FALSE)  &amp;  INDEX(entities[[#This Row],[hidden]:[icon]],entities[[#This Row],[1]])
)</f>
        <v/>
      </c>
      <c r="Q134" s="6" t="str">
        <f ca="1">IF(entities[[#This Row],[2]]="","",
VLOOKUP(entities[[#This Row],[2]],Lookup!$B$5:$D$9,3,FALSE)  &amp;  INDEX(entities[[#This Row],[hidden]:[icon]],entities[[#This Row],[2]])
)</f>
        <v/>
      </c>
      <c r="R134" s="6" t="str">
        <f ca="1">IF(entities[[#This Row],[3]]="","",
VLOOKUP(entities[[#This Row],[3]],Lookup!$B$5:$D$9,3,FALSE)  &amp;  INDEX(entities[[#This Row],[hidden]:[icon]],entities[[#This Row],[3]])
)</f>
        <v/>
      </c>
      <c r="S134" s="6" t="str">
        <f ca="1">IF(entities[[#This Row],[4]]="","",
VLOOKUP(entities[[#This Row],[4]],Lookup!$B$5:$D$9,3,FALSE)  &amp;  INDEX(entities[[#This Row],[hidden]:[icon]],entities[[#This Row],[4]])
)</f>
        <v/>
      </c>
      <c r="T134" t="str">
        <f t="array" ref="T134">IFERROR(INDEX(cards[object_id],SMALL(IF(cards[[1]:[25]]=entities[[#This Row],[entity_id]],ROW(cards[])-7,99^99),1)),"")</f>
        <v>environment_detail</v>
      </c>
      <c r="U134" t="str">
        <f>IF(entities[[#This Row],[In HA?]]&lt;&gt;"ok",  "Not in Home Assistant",
IF(entities[[#This Row],[hidden]]="true",  "Hidden",
IF(entities[[#This Row],[Card]]&lt;&gt;"",
INDEX(cards[name],MATCH(entities[[#This Row],[Card]],cards[object_id],0)),  "Badge / automatic card")))</f>
        <v>Environment Detail</v>
      </c>
      <c r="V134" t="str">
        <f>IF(entities[[#This Row],[Card]]&lt;&gt;"","group."&amp;entities[[#This Row],[Card]],"")</f>
        <v>group.environment_detail</v>
      </c>
      <c r="W134" t="str">
        <f t="array" ref="W134">IFERROR(IF(entities[[#This Row],[Assigned Card]]="","",INDEX(views[object_id],SMALL(IF(views[[1]:[25]]=entities[[#This Row],[Assigned Card]],ROW(views[])-7,99^99),1))),"")</f>
        <v/>
      </c>
      <c r="X134" t="str">
        <f t="array" ref="X134">IFERROR(INDEX(views[object_id],SMALL(IF(views[[1]:[25]]=entities[[#This Row],[entity_id]],ROW(views[])-7,99^99),1)),"")</f>
        <v/>
      </c>
      <c r="Y134" t="str">
        <f>IF(entities[[#This Row],[View from card]]&lt;&gt;"",entities[[#This Row],[View from card]],entities[[#This Row],[View from entitiy]])</f>
        <v/>
      </c>
      <c r="Z134" t="str">
        <f>IF(entities[[#This Row],[In HA?]]&lt;&gt;"ok",  "Not in Home Assistant",
IF(entities[[#This Row],[hidden]]="true",  "Hidden",
IF(entities[[#This Row],[View]]&lt;&gt;"",
INDEX(views[name],MATCH(entities[[#This Row],[View]],views[object_id],0)),  "Default view")))</f>
        <v>Default view</v>
      </c>
      <c r="AA134" t="str">
        <f>IF(entities[[#This Row],[View]]&lt;&gt;"","group."&amp;entities[[#This Row],[View]],"")</f>
        <v/>
      </c>
      <c r="AB134" s="6" t="str">
        <f>IF(COUNTIF(Table4[Entity],entities[[#This Row],[entity_id]]),"ok","Missing from States tab")</f>
        <v>ok</v>
      </c>
      <c r="AE134" s="14"/>
      <c r="AF134"/>
    </row>
    <row r="135" spans="2:32" x14ac:dyDescent="0.45">
      <c r="B135" t="s">
        <v>256</v>
      </c>
      <c r="C135" t="s">
        <v>265</v>
      </c>
      <c r="I135" t="str">
        <f>entities[[#This Row],[domain]]&amp;"."&amp;entities[[#This Row],[object_id]]</f>
        <v>sensor.dark_sky_daily_high_temperature</v>
      </c>
      <c r="J135">
        <f>5-COUNTBLANK(entities[[#This Row],[hidden]:[icon]])</f>
        <v>0</v>
      </c>
      <c r="K135" t="str">
        <f>IF(entities[[#This Row],[Custom Attributes]]=0,"",
COUNTIFS(entities[Custom Attributes],"&gt;0",entities[entity_id],"&lt;="&amp;entities[[#This Row],[entity_id]]))</f>
        <v/>
      </c>
      <c r="L135" s="6" t="str">
        <f t="array" aca="1" ref="L135" ca="1">IF(entities[[#This Row],[Custom Attributes]]&lt;1,"",
MATCH(FALSE, ISBLANK(OFFSET(entities[[#This Row],[hidden]],0,0,1,5)), 0))</f>
        <v/>
      </c>
      <c r="M135" s="6" t="str">
        <f t="array" aca="1" ref="M135" ca="1">IF(entities[[#This Row],[Custom Attributes]]&lt;2,"",
IF(entities[[#This Row],[1]]=5-1,5,
MATCH(FALSE, ISBLANK(OFFSET(entities[[#This Row],[hidden]],0,entities[[#This Row],[1]],1,5-entities[[#This Row],[1]])), 0)+entities[[#This Row],[1]]))</f>
        <v/>
      </c>
      <c r="N135" s="6" t="str">
        <f t="array" aca="1" ref="N135" ca="1">IF(entities[[#This Row],[Custom Attributes]]&lt;3,"",
IF(entities[[#This Row],[2]]=5-1,5,
MATCH(FALSE, ISBLANK(OFFSET(entities[[#This Row],[hidden]],0,entities[[#This Row],[2]],1,5-entities[[#This Row],[2]])), 0)+entities[[#This Row],[2]]))</f>
        <v/>
      </c>
      <c r="O135" s="6" t="str">
        <f t="array" aca="1" ref="O135" ca="1">IF(entities[[#This Row],[Custom Attributes]]&lt;4,"",
IF(entities[[#This Row],[3]]=5-1,5,
MATCH(FALSE, ISBLANK(OFFSET(entities[[#This Row],[hidden]],0,entities[[#This Row],[3]],1,5-entities[[#This Row],[3]])), 0)+entities[[#This Row],[3]]))</f>
        <v/>
      </c>
      <c r="P135" s="14" t="str">
        <f ca="1">IF(entities[[#This Row],[1]]="","",
VLOOKUP(entities[[#This Row],[1]],Lookup!$B$5:$D$9,3,FALSE)  &amp;  INDEX(entities[[#This Row],[hidden]:[icon]],entities[[#This Row],[1]])
)</f>
        <v/>
      </c>
      <c r="Q135" s="6" t="str">
        <f ca="1">IF(entities[[#This Row],[2]]="","",
VLOOKUP(entities[[#This Row],[2]],Lookup!$B$5:$D$9,3,FALSE)  &amp;  INDEX(entities[[#This Row],[hidden]:[icon]],entities[[#This Row],[2]])
)</f>
        <v/>
      </c>
      <c r="R135" s="6" t="str">
        <f ca="1">IF(entities[[#This Row],[3]]="","",
VLOOKUP(entities[[#This Row],[3]],Lookup!$B$5:$D$9,3,FALSE)  &amp;  INDEX(entities[[#This Row],[hidden]:[icon]],entities[[#This Row],[3]])
)</f>
        <v/>
      </c>
      <c r="S135" s="6" t="str">
        <f ca="1">IF(entities[[#This Row],[4]]="","",
VLOOKUP(entities[[#This Row],[4]],Lookup!$B$5:$D$9,3,FALSE)  &amp;  INDEX(entities[[#This Row],[hidden]:[icon]],entities[[#This Row],[4]])
)</f>
        <v/>
      </c>
      <c r="T135" t="str">
        <f t="array" ref="T135">IFERROR(INDEX(cards[object_id],SMALL(IF(cards[[1]:[25]]=entities[[#This Row],[entity_id]],ROW(cards[])-7,99^99),1)),"")</f>
        <v>environment_detail</v>
      </c>
      <c r="U135" t="str">
        <f>IF(entities[[#This Row],[In HA?]]&lt;&gt;"ok",  "Not in Home Assistant",
IF(entities[[#This Row],[hidden]]="true",  "Hidden",
IF(entities[[#This Row],[Card]]&lt;&gt;"",
INDEX(cards[name],MATCH(entities[[#This Row],[Card]],cards[object_id],0)),  "Badge / automatic card")))</f>
        <v>Environment Detail</v>
      </c>
      <c r="V135" t="str">
        <f>IF(entities[[#This Row],[Card]]&lt;&gt;"","group."&amp;entities[[#This Row],[Card]],"")</f>
        <v>group.environment_detail</v>
      </c>
      <c r="W135" t="str">
        <f t="array" ref="W135">IFERROR(IF(entities[[#This Row],[Assigned Card]]="","",INDEX(views[object_id],SMALL(IF(views[[1]:[25]]=entities[[#This Row],[Assigned Card]],ROW(views[])-7,99^99),1))),"")</f>
        <v/>
      </c>
      <c r="X135" t="str">
        <f t="array" ref="X135">IFERROR(INDEX(views[object_id],SMALL(IF(views[[1]:[25]]=entities[[#This Row],[entity_id]],ROW(views[])-7,99^99),1)),"")</f>
        <v/>
      </c>
      <c r="Y135" t="str">
        <f>IF(entities[[#This Row],[View from card]]&lt;&gt;"",entities[[#This Row],[View from card]],entities[[#This Row],[View from entitiy]])</f>
        <v/>
      </c>
      <c r="Z135" t="str">
        <f>IF(entities[[#This Row],[In HA?]]&lt;&gt;"ok",  "Not in Home Assistant",
IF(entities[[#This Row],[hidden]]="true",  "Hidden",
IF(entities[[#This Row],[View]]&lt;&gt;"",
INDEX(views[name],MATCH(entities[[#This Row],[View]],views[object_id],0)),  "Default view")))</f>
        <v>Default view</v>
      </c>
      <c r="AA135" t="str">
        <f>IF(entities[[#This Row],[View]]&lt;&gt;"","group."&amp;entities[[#This Row],[View]],"")</f>
        <v/>
      </c>
      <c r="AB135" s="6" t="str">
        <f>IF(COUNTIF(Table4[Entity],entities[[#This Row],[entity_id]]),"ok","Missing from States tab")</f>
        <v>ok</v>
      </c>
      <c r="AE135" s="14"/>
      <c r="AF135"/>
    </row>
    <row r="136" spans="2:32" x14ac:dyDescent="0.45">
      <c r="B136" t="s">
        <v>256</v>
      </c>
      <c r="C136" t="s">
        <v>266</v>
      </c>
      <c r="I136" t="str">
        <f>entities[[#This Row],[domain]]&amp;"."&amp;entities[[#This Row],[object_id]]</f>
        <v>sensor.dark_sky_daily_low_apparent_temperature</v>
      </c>
      <c r="J136">
        <f>5-COUNTBLANK(entities[[#This Row],[hidden]:[icon]])</f>
        <v>0</v>
      </c>
      <c r="K136" t="str">
        <f>IF(entities[[#This Row],[Custom Attributes]]=0,"",
COUNTIFS(entities[Custom Attributes],"&gt;0",entities[entity_id],"&lt;="&amp;entities[[#This Row],[entity_id]]))</f>
        <v/>
      </c>
      <c r="L136" s="6" t="str">
        <f t="array" aca="1" ref="L136" ca="1">IF(entities[[#This Row],[Custom Attributes]]&lt;1,"",
MATCH(FALSE, ISBLANK(OFFSET(entities[[#This Row],[hidden]],0,0,1,5)), 0))</f>
        <v/>
      </c>
      <c r="M136" s="6" t="str">
        <f t="array" aca="1" ref="M136" ca="1">IF(entities[[#This Row],[Custom Attributes]]&lt;2,"",
IF(entities[[#This Row],[1]]=5-1,5,
MATCH(FALSE, ISBLANK(OFFSET(entities[[#This Row],[hidden]],0,entities[[#This Row],[1]],1,5-entities[[#This Row],[1]])), 0)+entities[[#This Row],[1]]))</f>
        <v/>
      </c>
      <c r="N136" s="6" t="str">
        <f t="array" aca="1" ref="N136" ca="1">IF(entities[[#This Row],[Custom Attributes]]&lt;3,"",
IF(entities[[#This Row],[2]]=5-1,5,
MATCH(FALSE, ISBLANK(OFFSET(entities[[#This Row],[hidden]],0,entities[[#This Row],[2]],1,5-entities[[#This Row],[2]])), 0)+entities[[#This Row],[2]]))</f>
        <v/>
      </c>
      <c r="O136" s="6" t="str">
        <f t="array" aca="1" ref="O136" ca="1">IF(entities[[#This Row],[Custom Attributes]]&lt;4,"",
IF(entities[[#This Row],[3]]=5-1,5,
MATCH(FALSE, ISBLANK(OFFSET(entities[[#This Row],[hidden]],0,entities[[#This Row],[3]],1,5-entities[[#This Row],[3]])), 0)+entities[[#This Row],[3]]))</f>
        <v/>
      </c>
      <c r="P136" s="14" t="str">
        <f ca="1">IF(entities[[#This Row],[1]]="","",
VLOOKUP(entities[[#This Row],[1]],Lookup!$B$5:$D$9,3,FALSE)  &amp;  INDEX(entities[[#This Row],[hidden]:[icon]],entities[[#This Row],[1]])
)</f>
        <v/>
      </c>
      <c r="Q136" s="6" t="str">
        <f ca="1">IF(entities[[#This Row],[2]]="","",
VLOOKUP(entities[[#This Row],[2]],Lookup!$B$5:$D$9,3,FALSE)  &amp;  INDEX(entities[[#This Row],[hidden]:[icon]],entities[[#This Row],[2]])
)</f>
        <v/>
      </c>
      <c r="R136" s="6" t="str">
        <f ca="1">IF(entities[[#This Row],[3]]="","",
VLOOKUP(entities[[#This Row],[3]],Lookup!$B$5:$D$9,3,FALSE)  &amp;  INDEX(entities[[#This Row],[hidden]:[icon]],entities[[#This Row],[3]])
)</f>
        <v/>
      </c>
      <c r="S136" s="6" t="str">
        <f ca="1">IF(entities[[#This Row],[4]]="","",
VLOOKUP(entities[[#This Row],[4]],Lookup!$B$5:$D$9,3,FALSE)  &amp;  INDEX(entities[[#This Row],[hidden]:[icon]],entities[[#This Row],[4]])
)</f>
        <v/>
      </c>
      <c r="T136" t="str">
        <f t="array" ref="T136">IFERROR(INDEX(cards[object_id],SMALL(IF(cards[[1]:[25]]=entities[[#This Row],[entity_id]],ROW(cards[])-7,99^99),1)),"")</f>
        <v>environment_detail</v>
      </c>
      <c r="U136" t="str">
        <f>IF(entities[[#This Row],[In HA?]]&lt;&gt;"ok",  "Not in Home Assistant",
IF(entities[[#This Row],[hidden]]="true",  "Hidden",
IF(entities[[#This Row],[Card]]&lt;&gt;"",
INDEX(cards[name],MATCH(entities[[#This Row],[Card]],cards[object_id],0)),  "Badge / automatic card")))</f>
        <v>Environment Detail</v>
      </c>
      <c r="V136" t="str">
        <f>IF(entities[[#This Row],[Card]]&lt;&gt;"","group."&amp;entities[[#This Row],[Card]],"")</f>
        <v>group.environment_detail</v>
      </c>
      <c r="W136" t="str">
        <f t="array" ref="W136">IFERROR(IF(entities[[#This Row],[Assigned Card]]="","",INDEX(views[object_id],SMALL(IF(views[[1]:[25]]=entities[[#This Row],[Assigned Card]],ROW(views[])-7,99^99),1))),"")</f>
        <v/>
      </c>
      <c r="X136" t="str">
        <f t="array" ref="X136">IFERROR(INDEX(views[object_id],SMALL(IF(views[[1]:[25]]=entities[[#This Row],[entity_id]],ROW(views[])-7,99^99),1)),"")</f>
        <v/>
      </c>
      <c r="Y136" t="str">
        <f>IF(entities[[#This Row],[View from card]]&lt;&gt;"",entities[[#This Row],[View from card]],entities[[#This Row],[View from entitiy]])</f>
        <v/>
      </c>
      <c r="Z136" t="str">
        <f>IF(entities[[#This Row],[In HA?]]&lt;&gt;"ok",  "Not in Home Assistant",
IF(entities[[#This Row],[hidden]]="true",  "Hidden",
IF(entities[[#This Row],[View]]&lt;&gt;"",
INDEX(views[name],MATCH(entities[[#This Row],[View]],views[object_id],0)),  "Default view")))</f>
        <v>Default view</v>
      </c>
      <c r="AA136" t="str">
        <f>IF(entities[[#This Row],[View]]&lt;&gt;"","group."&amp;entities[[#This Row],[View]],"")</f>
        <v/>
      </c>
      <c r="AB136" s="6" t="str">
        <f>IF(COUNTIF(Table4[Entity],entities[[#This Row],[entity_id]]),"ok","Missing from States tab")</f>
        <v>ok</v>
      </c>
      <c r="AE136" s="14"/>
      <c r="AF136"/>
    </row>
    <row r="137" spans="2:32" x14ac:dyDescent="0.45">
      <c r="B137" t="s">
        <v>256</v>
      </c>
      <c r="C137" t="s">
        <v>267</v>
      </c>
      <c r="I137" t="str">
        <f>entities[[#This Row],[domain]]&amp;"."&amp;entities[[#This Row],[object_id]]</f>
        <v>sensor.dark_sky_daily_low_temperature</v>
      </c>
      <c r="J137">
        <f>5-COUNTBLANK(entities[[#This Row],[hidden]:[icon]])</f>
        <v>0</v>
      </c>
      <c r="K137" t="str">
        <f>IF(entities[[#This Row],[Custom Attributes]]=0,"",
COUNTIFS(entities[Custom Attributes],"&gt;0",entities[entity_id],"&lt;="&amp;entities[[#This Row],[entity_id]]))</f>
        <v/>
      </c>
      <c r="L137" s="6" t="str">
        <f t="array" aca="1" ref="L137" ca="1">IF(entities[[#This Row],[Custom Attributes]]&lt;1,"",
MATCH(FALSE, ISBLANK(OFFSET(entities[[#This Row],[hidden]],0,0,1,5)), 0))</f>
        <v/>
      </c>
      <c r="M137" s="6" t="str">
        <f t="array" aca="1" ref="M137" ca="1">IF(entities[[#This Row],[Custom Attributes]]&lt;2,"",
IF(entities[[#This Row],[1]]=5-1,5,
MATCH(FALSE, ISBLANK(OFFSET(entities[[#This Row],[hidden]],0,entities[[#This Row],[1]],1,5-entities[[#This Row],[1]])), 0)+entities[[#This Row],[1]]))</f>
        <v/>
      </c>
      <c r="N137" s="6" t="str">
        <f t="array" aca="1" ref="N137" ca="1">IF(entities[[#This Row],[Custom Attributes]]&lt;3,"",
IF(entities[[#This Row],[2]]=5-1,5,
MATCH(FALSE, ISBLANK(OFFSET(entities[[#This Row],[hidden]],0,entities[[#This Row],[2]],1,5-entities[[#This Row],[2]])), 0)+entities[[#This Row],[2]]))</f>
        <v/>
      </c>
      <c r="O137" s="6" t="str">
        <f t="array" aca="1" ref="O137" ca="1">IF(entities[[#This Row],[Custom Attributes]]&lt;4,"",
IF(entities[[#This Row],[3]]=5-1,5,
MATCH(FALSE, ISBLANK(OFFSET(entities[[#This Row],[hidden]],0,entities[[#This Row],[3]],1,5-entities[[#This Row],[3]])), 0)+entities[[#This Row],[3]]))</f>
        <v/>
      </c>
      <c r="P137" s="14" t="str">
        <f ca="1">IF(entities[[#This Row],[1]]="","",
VLOOKUP(entities[[#This Row],[1]],Lookup!$B$5:$D$9,3,FALSE)  &amp;  INDEX(entities[[#This Row],[hidden]:[icon]],entities[[#This Row],[1]])
)</f>
        <v/>
      </c>
      <c r="Q137" s="6" t="str">
        <f ca="1">IF(entities[[#This Row],[2]]="","",
VLOOKUP(entities[[#This Row],[2]],Lookup!$B$5:$D$9,3,FALSE)  &amp;  INDEX(entities[[#This Row],[hidden]:[icon]],entities[[#This Row],[2]])
)</f>
        <v/>
      </c>
      <c r="R137" s="6" t="str">
        <f ca="1">IF(entities[[#This Row],[3]]="","",
VLOOKUP(entities[[#This Row],[3]],Lookup!$B$5:$D$9,3,FALSE)  &amp;  INDEX(entities[[#This Row],[hidden]:[icon]],entities[[#This Row],[3]])
)</f>
        <v/>
      </c>
      <c r="S137" s="6" t="str">
        <f ca="1">IF(entities[[#This Row],[4]]="","",
VLOOKUP(entities[[#This Row],[4]],Lookup!$B$5:$D$9,3,FALSE)  &amp;  INDEX(entities[[#This Row],[hidden]:[icon]],entities[[#This Row],[4]])
)</f>
        <v/>
      </c>
      <c r="T137" t="str">
        <f t="array" ref="T137">IFERROR(INDEX(cards[object_id],SMALL(IF(cards[[1]:[25]]=entities[[#This Row],[entity_id]],ROW(cards[])-7,99^99),1)),"")</f>
        <v>environment_detail</v>
      </c>
      <c r="U137" t="str">
        <f>IF(entities[[#This Row],[In HA?]]&lt;&gt;"ok",  "Not in Home Assistant",
IF(entities[[#This Row],[hidden]]="true",  "Hidden",
IF(entities[[#This Row],[Card]]&lt;&gt;"",
INDEX(cards[name],MATCH(entities[[#This Row],[Card]],cards[object_id],0)),  "Badge / automatic card")))</f>
        <v>Environment Detail</v>
      </c>
      <c r="V137" t="str">
        <f>IF(entities[[#This Row],[Card]]&lt;&gt;"","group."&amp;entities[[#This Row],[Card]],"")</f>
        <v>group.environment_detail</v>
      </c>
      <c r="W137" t="str">
        <f t="array" ref="W137">IFERROR(IF(entities[[#This Row],[Assigned Card]]="","",INDEX(views[object_id],SMALL(IF(views[[1]:[25]]=entities[[#This Row],[Assigned Card]],ROW(views[])-7,99^99),1))),"")</f>
        <v/>
      </c>
      <c r="X137" t="str">
        <f t="array" ref="X137">IFERROR(INDEX(views[object_id],SMALL(IF(views[[1]:[25]]=entities[[#This Row],[entity_id]],ROW(views[])-7,99^99),1)),"")</f>
        <v/>
      </c>
      <c r="Y137" t="str">
        <f>IF(entities[[#This Row],[View from card]]&lt;&gt;"",entities[[#This Row],[View from card]],entities[[#This Row],[View from entitiy]])</f>
        <v/>
      </c>
      <c r="Z137" t="str">
        <f>IF(entities[[#This Row],[In HA?]]&lt;&gt;"ok",  "Not in Home Assistant",
IF(entities[[#This Row],[hidden]]="true",  "Hidden",
IF(entities[[#This Row],[View]]&lt;&gt;"",
INDEX(views[name],MATCH(entities[[#This Row],[View]],views[object_id],0)),  "Default view")))</f>
        <v>Default view</v>
      </c>
      <c r="AA137" t="str">
        <f>IF(entities[[#This Row],[View]]&lt;&gt;"","group."&amp;entities[[#This Row],[View]],"")</f>
        <v/>
      </c>
      <c r="AB137" s="6" t="str">
        <f>IF(COUNTIF(Table4[Entity],entities[[#This Row],[entity_id]]),"ok","Missing from States tab")</f>
        <v>ok</v>
      </c>
      <c r="AE137" s="14"/>
      <c r="AF137"/>
    </row>
    <row r="138" spans="2:32" x14ac:dyDescent="0.45">
      <c r="B138" t="s">
        <v>256</v>
      </c>
      <c r="C138" t="s">
        <v>268</v>
      </c>
      <c r="I138" t="str">
        <f>entities[[#This Row],[domain]]&amp;"."&amp;entities[[#This Row],[object_id]]</f>
        <v>sensor.dark_sky_daily_max_precip_intensity</v>
      </c>
      <c r="J138">
        <f>5-COUNTBLANK(entities[[#This Row],[hidden]:[icon]])</f>
        <v>0</v>
      </c>
      <c r="K138" t="str">
        <f>IF(entities[[#This Row],[Custom Attributes]]=0,"",
COUNTIFS(entities[Custom Attributes],"&gt;0",entities[entity_id],"&lt;="&amp;entities[[#This Row],[entity_id]]))</f>
        <v/>
      </c>
      <c r="L138" s="6" t="str">
        <f t="array" aca="1" ref="L138" ca="1">IF(entities[[#This Row],[Custom Attributes]]&lt;1,"",
MATCH(FALSE, ISBLANK(OFFSET(entities[[#This Row],[hidden]],0,0,1,5)), 0))</f>
        <v/>
      </c>
      <c r="M138" s="6" t="str">
        <f t="array" aca="1" ref="M138" ca="1">IF(entities[[#This Row],[Custom Attributes]]&lt;2,"",
IF(entities[[#This Row],[1]]=5-1,5,
MATCH(FALSE, ISBLANK(OFFSET(entities[[#This Row],[hidden]],0,entities[[#This Row],[1]],1,5-entities[[#This Row],[1]])), 0)+entities[[#This Row],[1]]))</f>
        <v/>
      </c>
      <c r="N138" s="6" t="str">
        <f t="array" aca="1" ref="N138" ca="1">IF(entities[[#This Row],[Custom Attributes]]&lt;3,"",
IF(entities[[#This Row],[2]]=5-1,5,
MATCH(FALSE, ISBLANK(OFFSET(entities[[#This Row],[hidden]],0,entities[[#This Row],[2]],1,5-entities[[#This Row],[2]])), 0)+entities[[#This Row],[2]]))</f>
        <v/>
      </c>
      <c r="O138" s="6" t="str">
        <f t="array" aca="1" ref="O138" ca="1">IF(entities[[#This Row],[Custom Attributes]]&lt;4,"",
IF(entities[[#This Row],[3]]=5-1,5,
MATCH(FALSE, ISBLANK(OFFSET(entities[[#This Row],[hidden]],0,entities[[#This Row],[3]],1,5-entities[[#This Row],[3]])), 0)+entities[[#This Row],[3]]))</f>
        <v/>
      </c>
      <c r="P138" s="14" t="str">
        <f ca="1">IF(entities[[#This Row],[1]]="","",
VLOOKUP(entities[[#This Row],[1]],Lookup!$B$5:$D$9,3,FALSE)  &amp;  INDEX(entities[[#This Row],[hidden]:[icon]],entities[[#This Row],[1]])
)</f>
        <v/>
      </c>
      <c r="Q138" s="6" t="str">
        <f ca="1">IF(entities[[#This Row],[2]]="","",
VLOOKUP(entities[[#This Row],[2]],Lookup!$B$5:$D$9,3,FALSE)  &amp;  INDEX(entities[[#This Row],[hidden]:[icon]],entities[[#This Row],[2]])
)</f>
        <v/>
      </c>
      <c r="R138" s="6" t="str">
        <f ca="1">IF(entities[[#This Row],[3]]="","",
VLOOKUP(entities[[#This Row],[3]],Lookup!$B$5:$D$9,3,FALSE)  &amp;  INDEX(entities[[#This Row],[hidden]:[icon]],entities[[#This Row],[3]])
)</f>
        <v/>
      </c>
      <c r="S138" s="6" t="str">
        <f ca="1">IF(entities[[#This Row],[4]]="","",
VLOOKUP(entities[[#This Row],[4]],Lookup!$B$5:$D$9,3,FALSE)  &amp;  INDEX(entities[[#This Row],[hidden]:[icon]],entities[[#This Row],[4]])
)</f>
        <v/>
      </c>
      <c r="T138" t="str">
        <f t="array" ref="T138">IFERROR(INDEX(cards[object_id],SMALL(IF(cards[[1]:[25]]=entities[[#This Row],[entity_id]],ROW(cards[])-7,99^99),1)),"")</f>
        <v>environment_detail</v>
      </c>
      <c r="U138" t="str">
        <f>IF(entities[[#This Row],[In HA?]]&lt;&gt;"ok",  "Not in Home Assistant",
IF(entities[[#This Row],[hidden]]="true",  "Hidden",
IF(entities[[#This Row],[Card]]&lt;&gt;"",
INDEX(cards[name],MATCH(entities[[#This Row],[Card]],cards[object_id],0)),  "Badge / automatic card")))</f>
        <v>Environment Detail</v>
      </c>
      <c r="V138" t="str">
        <f>IF(entities[[#This Row],[Card]]&lt;&gt;"","group."&amp;entities[[#This Row],[Card]],"")</f>
        <v>group.environment_detail</v>
      </c>
      <c r="W138" t="str">
        <f t="array" ref="W138">IFERROR(IF(entities[[#This Row],[Assigned Card]]="","",INDEX(views[object_id],SMALL(IF(views[[1]:[25]]=entities[[#This Row],[Assigned Card]],ROW(views[])-7,99^99),1))),"")</f>
        <v/>
      </c>
      <c r="X138" t="str">
        <f t="array" ref="X138">IFERROR(INDEX(views[object_id],SMALL(IF(views[[1]:[25]]=entities[[#This Row],[entity_id]],ROW(views[])-7,99^99),1)),"")</f>
        <v/>
      </c>
      <c r="Y138" t="str">
        <f>IF(entities[[#This Row],[View from card]]&lt;&gt;"",entities[[#This Row],[View from card]],entities[[#This Row],[View from entitiy]])</f>
        <v/>
      </c>
      <c r="Z138" t="str">
        <f>IF(entities[[#This Row],[In HA?]]&lt;&gt;"ok",  "Not in Home Assistant",
IF(entities[[#This Row],[hidden]]="true",  "Hidden",
IF(entities[[#This Row],[View]]&lt;&gt;"",
INDEX(views[name],MATCH(entities[[#This Row],[View]],views[object_id],0)),  "Default view")))</f>
        <v>Default view</v>
      </c>
      <c r="AA138" t="str">
        <f>IF(entities[[#This Row],[View]]&lt;&gt;"","group."&amp;entities[[#This Row],[View]],"")</f>
        <v/>
      </c>
      <c r="AB138" s="6" t="str">
        <f>IF(COUNTIF(Table4[Entity],entities[[#This Row],[entity_id]]),"ok","Missing from States tab")</f>
        <v>ok</v>
      </c>
      <c r="AE138" s="14"/>
      <c r="AF138"/>
    </row>
    <row r="139" spans="2:32" x14ac:dyDescent="0.45">
      <c r="B139" t="s">
        <v>256</v>
      </c>
      <c r="C139" t="s">
        <v>269</v>
      </c>
      <c r="E139" t="s">
        <v>327</v>
      </c>
      <c r="I139" t="str">
        <f>entities[[#This Row],[domain]]&amp;"."&amp;entities[[#This Row],[object_id]]</f>
        <v>sensor.dark_sky_daily_summary</v>
      </c>
      <c r="J139">
        <f>5-COUNTBLANK(entities[[#This Row],[hidden]:[icon]])</f>
        <v>1</v>
      </c>
      <c r="K139">
        <f>IF(entities[[#This Row],[Custom Attributes]]=0,"",
COUNTIFS(entities[Custom Attributes],"&gt;0",entities[entity_id],"&lt;="&amp;entities[[#This Row],[entity_id]]))</f>
        <v>80</v>
      </c>
      <c r="L139" s="6">
        <f t="array" aca="1" ref="L139" ca="1">IF(entities[[#This Row],[Custom Attributes]]&lt;1,"",
MATCH(FALSE, ISBLANK(OFFSET(entities[[#This Row],[hidden]],0,0,1,5)), 0))</f>
        <v>2</v>
      </c>
      <c r="M139" s="6" t="str">
        <f t="array" aca="1" ref="M139" ca="1">IF(entities[[#This Row],[Custom Attributes]]&lt;2,"",
IF(entities[[#This Row],[1]]=5-1,5,
MATCH(FALSE, ISBLANK(OFFSET(entities[[#This Row],[hidden]],0,entities[[#This Row],[1]],1,5-entities[[#This Row],[1]])), 0)+entities[[#This Row],[1]]))</f>
        <v/>
      </c>
      <c r="N139" s="6" t="str">
        <f t="array" aca="1" ref="N139" ca="1">IF(entities[[#This Row],[Custom Attributes]]&lt;3,"",
IF(entities[[#This Row],[2]]=5-1,5,
MATCH(FALSE, ISBLANK(OFFSET(entities[[#This Row],[hidden]],0,entities[[#This Row],[2]],1,5-entities[[#This Row],[2]])), 0)+entities[[#This Row],[2]]))</f>
        <v/>
      </c>
      <c r="O139" s="6" t="str">
        <f t="array" aca="1" ref="O139" ca="1">IF(entities[[#This Row],[Custom Attributes]]&lt;4,"",
IF(entities[[#This Row],[3]]=5-1,5,
MATCH(FALSE, ISBLANK(OFFSET(entities[[#This Row],[hidden]],0,entities[[#This Row],[3]],1,5-entities[[#This Row],[3]])), 0)+entities[[#This Row],[3]]))</f>
        <v/>
      </c>
      <c r="P139" s="14" t="str">
        <f ca="1">IF(entities[[#This Row],[1]]="","",
VLOOKUP(entities[[#This Row],[1]],Lookup!$B$5:$D$9,3,FALSE)  &amp;  INDEX(entities[[#This Row],[hidden]:[icon]],entities[[#This Row],[1]])
)</f>
        <v xml:space="preserve">  friendly_name: Week</v>
      </c>
      <c r="Q139" s="6" t="str">
        <f ca="1">IF(entities[[#This Row],[2]]="","",
VLOOKUP(entities[[#This Row],[2]],Lookup!$B$5:$D$9,3,FALSE)  &amp;  INDEX(entities[[#This Row],[hidden]:[icon]],entities[[#This Row],[2]])
)</f>
        <v/>
      </c>
      <c r="R139" s="6" t="str">
        <f ca="1">IF(entities[[#This Row],[3]]="","",
VLOOKUP(entities[[#This Row],[3]],Lookup!$B$5:$D$9,3,FALSE)  &amp;  INDEX(entities[[#This Row],[hidden]:[icon]],entities[[#This Row],[3]])
)</f>
        <v/>
      </c>
      <c r="S139" s="6" t="str">
        <f ca="1">IF(entities[[#This Row],[4]]="","",
VLOOKUP(entities[[#This Row],[4]],Lookup!$B$5:$D$9,3,FALSE)  &amp;  INDEX(entities[[#This Row],[hidden]:[icon]],entities[[#This Row],[4]])
)</f>
        <v/>
      </c>
      <c r="T139" t="str">
        <f t="array" ref="T139">IFERROR(INDEX(cards[object_id],SMALL(IF(cards[[1]:[25]]=entities[[#This Row],[entity_id]],ROW(cards[])-7,99^99),1)),"")</f>
        <v>environment</v>
      </c>
      <c r="U139" t="str">
        <f>IF(entities[[#This Row],[In HA?]]&lt;&gt;"ok",  "Not in Home Assistant",
IF(entities[[#This Row],[hidden]]="true",  "Hidden",
IF(entities[[#This Row],[Card]]&lt;&gt;"",
INDEX(cards[name],MATCH(entities[[#This Row],[Card]],cards[object_id],0)),  "Badge / automatic card")))</f>
        <v>Environment || Forecast</v>
      </c>
      <c r="V139" t="str">
        <f>IF(entities[[#This Row],[Card]]&lt;&gt;"","group."&amp;entities[[#This Row],[Card]],"")</f>
        <v>group.environment</v>
      </c>
      <c r="W139" t="str">
        <f t="array" ref="W139">IFERROR(IF(entities[[#This Row],[Assigned Card]]="","",INDEX(views[object_id],SMALL(IF(views[[1]:[25]]=entities[[#This Row],[Assigned Card]],ROW(views[])-7,99^99),1))),"")</f>
        <v>environment_view</v>
      </c>
      <c r="X139" t="str">
        <f t="array" ref="X139">IFERROR(INDEX(views[object_id],SMALL(IF(views[[1]:[25]]=entities[[#This Row],[entity_id]],ROW(views[])-7,99^99),1)),"")</f>
        <v/>
      </c>
      <c r="Y139" t="str">
        <f>IF(entities[[#This Row],[View from card]]&lt;&gt;"",entities[[#This Row],[View from card]],entities[[#This Row],[View from entitiy]])</f>
        <v>environment_view</v>
      </c>
      <c r="Z139" t="str">
        <f>IF(entities[[#This Row],[In HA?]]&lt;&gt;"ok",  "Not in Home Assistant",
IF(entities[[#This Row],[hidden]]="true",  "Hidden",
IF(entities[[#This Row],[View]]&lt;&gt;"",
INDEX(views[name],MATCH(entities[[#This Row],[View]],views[object_id],0)),  "Default view")))</f>
        <v>Environment</v>
      </c>
      <c r="AA139" t="str">
        <f>IF(entities[[#This Row],[View]]&lt;&gt;"","group."&amp;entities[[#This Row],[View]],"")</f>
        <v>group.environment_view</v>
      </c>
      <c r="AB139" s="6" t="str">
        <f>IF(COUNTIF(Table4[Entity],entities[[#This Row],[entity_id]]),"ok","Missing from States tab")</f>
        <v>ok</v>
      </c>
      <c r="AE139" s="14"/>
      <c r="AF139"/>
    </row>
    <row r="140" spans="2:32" x14ac:dyDescent="0.45">
      <c r="B140" t="s">
        <v>256</v>
      </c>
      <c r="C140" t="s">
        <v>270</v>
      </c>
      <c r="E140" t="s">
        <v>326</v>
      </c>
      <c r="I140" t="str">
        <f>entities[[#This Row],[domain]]&amp;"."&amp;entities[[#This Row],[object_id]]</f>
        <v>sensor.dark_sky_hourly_summary</v>
      </c>
      <c r="J140">
        <f>5-COUNTBLANK(entities[[#This Row],[hidden]:[icon]])</f>
        <v>1</v>
      </c>
      <c r="K140">
        <f>IF(entities[[#This Row],[Custom Attributes]]=0,"",
COUNTIFS(entities[Custom Attributes],"&gt;0",entities[entity_id],"&lt;="&amp;entities[[#This Row],[entity_id]]))</f>
        <v>81</v>
      </c>
      <c r="L140" s="6">
        <f t="array" aca="1" ref="L140" ca="1">IF(entities[[#This Row],[Custom Attributes]]&lt;1,"",
MATCH(FALSE, ISBLANK(OFFSET(entities[[#This Row],[hidden]],0,0,1,5)), 0))</f>
        <v>2</v>
      </c>
      <c r="M140" s="6" t="str">
        <f t="array" aca="1" ref="M140" ca="1">IF(entities[[#This Row],[Custom Attributes]]&lt;2,"",
IF(entities[[#This Row],[1]]=5-1,5,
MATCH(FALSE, ISBLANK(OFFSET(entities[[#This Row],[hidden]],0,entities[[#This Row],[1]],1,5-entities[[#This Row],[1]])), 0)+entities[[#This Row],[1]]))</f>
        <v/>
      </c>
      <c r="N140" s="6" t="str">
        <f t="array" aca="1" ref="N140" ca="1">IF(entities[[#This Row],[Custom Attributes]]&lt;3,"",
IF(entities[[#This Row],[2]]=5-1,5,
MATCH(FALSE, ISBLANK(OFFSET(entities[[#This Row],[hidden]],0,entities[[#This Row],[2]],1,5-entities[[#This Row],[2]])), 0)+entities[[#This Row],[2]]))</f>
        <v/>
      </c>
      <c r="O140" s="6" t="str">
        <f t="array" aca="1" ref="O140" ca="1">IF(entities[[#This Row],[Custom Attributes]]&lt;4,"",
IF(entities[[#This Row],[3]]=5-1,5,
MATCH(FALSE, ISBLANK(OFFSET(entities[[#This Row],[hidden]],0,entities[[#This Row],[3]],1,5-entities[[#This Row],[3]])), 0)+entities[[#This Row],[3]]))</f>
        <v/>
      </c>
      <c r="P140" s="14" t="str">
        <f ca="1">IF(entities[[#This Row],[1]]="","",
VLOOKUP(entities[[#This Row],[1]],Lookup!$B$5:$D$9,3,FALSE)  &amp;  INDEX(entities[[#This Row],[hidden]:[icon]],entities[[#This Row],[1]])
)</f>
        <v xml:space="preserve">  friendly_name: Today</v>
      </c>
      <c r="Q140" s="6" t="str">
        <f ca="1">IF(entities[[#This Row],[2]]="","",
VLOOKUP(entities[[#This Row],[2]],Lookup!$B$5:$D$9,3,FALSE)  &amp;  INDEX(entities[[#This Row],[hidden]:[icon]],entities[[#This Row],[2]])
)</f>
        <v/>
      </c>
      <c r="R140" s="6" t="str">
        <f ca="1">IF(entities[[#This Row],[3]]="","",
VLOOKUP(entities[[#This Row],[3]],Lookup!$B$5:$D$9,3,FALSE)  &amp;  INDEX(entities[[#This Row],[hidden]:[icon]],entities[[#This Row],[3]])
)</f>
        <v/>
      </c>
      <c r="S140" s="6" t="str">
        <f ca="1">IF(entities[[#This Row],[4]]="","",
VLOOKUP(entities[[#This Row],[4]],Lookup!$B$5:$D$9,3,FALSE)  &amp;  INDEX(entities[[#This Row],[hidden]:[icon]],entities[[#This Row],[4]])
)</f>
        <v/>
      </c>
      <c r="T140" t="str">
        <f t="array" ref="T140">IFERROR(INDEX(cards[object_id],SMALL(IF(cards[[1]:[25]]=entities[[#This Row],[entity_id]],ROW(cards[])-7,99^99),1)),"")</f>
        <v>environment</v>
      </c>
      <c r="U140" t="str">
        <f>IF(entities[[#This Row],[In HA?]]&lt;&gt;"ok",  "Not in Home Assistant",
IF(entities[[#This Row],[hidden]]="true",  "Hidden",
IF(entities[[#This Row],[Card]]&lt;&gt;"",
INDEX(cards[name],MATCH(entities[[#This Row],[Card]],cards[object_id],0)),  "Badge / automatic card")))</f>
        <v>Environment || Forecast</v>
      </c>
      <c r="V140" t="str">
        <f>IF(entities[[#This Row],[Card]]&lt;&gt;"","group."&amp;entities[[#This Row],[Card]],"")</f>
        <v>group.environment</v>
      </c>
      <c r="W140" t="str">
        <f t="array" ref="W140">IFERROR(IF(entities[[#This Row],[Assigned Card]]="","",INDEX(views[object_id],SMALL(IF(views[[1]:[25]]=entities[[#This Row],[Assigned Card]],ROW(views[])-7,99^99),1))),"")</f>
        <v>environment_view</v>
      </c>
      <c r="X140" t="str">
        <f t="array" ref="X140">IFERROR(INDEX(views[object_id],SMALL(IF(views[[1]:[25]]=entities[[#This Row],[entity_id]],ROW(views[])-7,99^99),1)),"")</f>
        <v/>
      </c>
      <c r="Y140" t="str">
        <f>IF(entities[[#This Row],[View from card]]&lt;&gt;"",entities[[#This Row],[View from card]],entities[[#This Row],[View from entitiy]])</f>
        <v>environment_view</v>
      </c>
      <c r="Z140" t="str">
        <f>IF(entities[[#This Row],[In HA?]]&lt;&gt;"ok",  "Not in Home Assistant",
IF(entities[[#This Row],[hidden]]="true",  "Hidden",
IF(entities[[#This Row],[View]]&lt;&gt;"",
INDEX(views[name],MATCH(entities[[#This Row],[View]],views[object_id],0)),  "Default view")))</f>
        <v>Environment</v>
      </c>
      <c r="AA140" t="str">
        <f>IF(entities[[#This Row],[View]]&lt;&gt;"","group."&amp;entities[[#This Row],[View]],"")</f>
        <v>group.environment_view</v>
      </c>
      <c r="AB140" s="6" t="str">
        <f>IF(COUNTIF(Table4[Entity],entities[[#This Row],[entity_id]]),"ok","Missing from States tab")</f>
        <v>ok</v>
      </c>
      <c r="AE140" s="14"/>
      <c r="AF140"/>
    </row>
    <row r="141" spans="2:32" x14ac:dyDescent="0.45">
      <c r="B141" t="s">
        <v>256</v>
      </c>
      <c r="C141" t="s">
        <v>271</v>
      </c>
      <c r="I141" t="str">
        <f>entities[[#This Row],[domain]]&amp;"."&amp;entities[[#This Row],[object_id]]</f>
        <v>sensor.dark_sky_humidity</v>
      </c>
      <c r="J141">
        <f>5-COUNTBLANK(entities[[#This Row],[hidden]:[icon]])</f>
        <v>0</v>
      </c>
      <c r="K141" t="str">
        <f>IF(entities[[#This Row],[Custom Attributes]]=0,"",
COUNTIFS(entities[Custom Attributes],"&gt;0",entities[entity_id],"&lt;="&amp;entities[[#This Row],[entity_id]]))</f>
        <v/>
      </c>
      <c r="L141" s="6" t="str">
        <f t="array" aca="1" ref="L141" ca="1">IF(entities[[#This Row],[Custom Attributes]]&lt;1,"",
MATCH(FALSE, ISBLANK(OFFSET(entities[[#This Row],[hidden]],0,0,1,5)), 0))</f>
        <v/>
      </c>
      <c r="M141" s="6" t="str">
        <f t="array" aca="1" ref="M141" ca="1">IF(entities[[#This Row],[Custom Attributes]]&lt;2,"",
IF(entities[[#This Row],[1]]=5-1,5,
MATCH(FALSE, ISBLANK(OFFSET(entities[[#This Row],[hidden]],0,entities[[#This Row],[1]],1,5-entities[[#This Row],[1]])), 0)+entities[[#This Row],[1]]))</f>
        <v/>
      </c>
      <c r="N141" s="6" t="str">
        <f t="array" aca="1" ref="N141" ca="1">IF(entities[[#This Row],[Custom Attributes]]&lt;3,"",
IF(entities[[#This Row],[2]]=5-1,5,
MATCH(FALSE, ISBLANK(OFFSET(entities[[#This Row],[hidden]],0,entities[[#This Row],[2]],1,5-entities[[#This Row],[2]])), 0)+entities[[#This Row],[2]]))</f>
        <v/>
      </c>
      <c r="O141" s="6" t="str">
        <f t="array" aca="1" ref="O141" ca="1">IF(entities[[#This Row],[Custom Attributes]]&lt;4,"",
IF(entities[[#This Row],[3]]=5-1,5,
MATCH(FALSE, ISBLANK(OFFSET(entities[[#This Row],[hidden]],0,entities[[#This Row],[3]],1,5-entities[[#This Row],[3]])), 0)+entities[[#This Row],[3]]))</f>
        <v/>
      </c>
      <c r="P141" s="14" t="str">
        <f ca="1">IF(entities[[#This Row],[1]]="","",
VLOOKUP(entities[[#This Row],[1]],Lookup!$B$5:$D$9,3,FALSE)  &amp;  INDEX(entities[[#This Row],[hidden]:[icon]],entities[[#This Row],[1]])
)</f>
        <v/>
      </c>
      <c r="Q141" s="6" t="str">
        <f ca="1">IF(entities[[#This Row],[2]]="","",
VLOOKUP(entities[[#This Row],[2]],Lookup!$B$5:$D$9,3,FALSE)  &amp;  INDEX(entities[[#This Row],[hidden]:[icon]],entities[[#This Row],[2]])
)</f>
        <v/>
      </c>
      <c r="R141" s="6" t="str">
        <f ca="1">IF(entities[[#This Row],[3]]="","",
VLOOKUP(entities[[#This Row],[3]],Lookup!$B$5:$D$9,3,FALSE)  &amp;  INDEX(entities[[#This Row],[hidden]:[icon]],entities[[#This Row],[3]])
)</f>
        <v/>
      </c>
      <c r="S141" s="6" t="str">
        <f ca="1">IF(entities[[#This Row],[4]]="","",
VLOOKUP(entities[[#This Row],[4]],Lookup!$B$5:$D$9,3,FALSE)  &amp;  INDEX(entities[[#This Row],[hidden]:[icon]],entities[[#This Row],[4]])
)</f>
        <v/>
      </c>
      <c r="T141" t="str">
        <f t="array" ref="T141">IFERROR(INDEX(cards[object_id],SMALL(IF(cards[[1]:[25]]=entities[[#This Row],[entity_id]],ROW(cards[])-7,99^99),1)),"")</f>
        <v>environment_detail</v>
      </c>
      <c r="U141" t="str">
        <f>IF(entities[[#This Row],[In HA?]]&lt;&gt;"ok",  "Not in Home Assistant",
IF(entities[[#This Row],[hidden]]="true",  "Hidden",
IF(entities[[#This Row],[Card]]&lt;&gt;"",
INDEX(cards[name],MATCH(entities[[#This Row],[Card]],cards[object_id],0)),  "Badge / automatic card")))</f>
        <v>Environment Detail</v>
      </c>
      <c r="V141" t="str">
        <f>IF(entities[[#This Row],[Card]]&lt;&gt;"","group."&amp;entities[[#This Row],[Card]],"")</f>
        <v>group.environment_detail</v>
      </c>
      <c r="W141" t="str">
        <f t="array" ref="W141">IFERROR(IF(entities[[#This Row],[Assigned Card]]="","",INDEX(views[object_id],SMALL(IF(views[[1]:[25]]=entities[[#This Row],[Assigned Card]],ROW(views[])-7,99^99),1))),"")</f>
        <v/>
      </c>
      <c r="X141" t="str">
        <f t="array" ref="X141">IFERROR(INDEX(views[object_id],SMALL(IF(views[[1]:[25]]=entities[[#This Row],[entity_id]],ROW(views[])-7,99^99),1)),"")</f>
        <v/>
      </c>
      <c r="Y141" t="str">
        <f>IF(entities[[#This Row],[View from card]]&lt;&gt;"",entities[[#This Row],[View from card]],entities[[#This Row],[View from entitiy]])</f>
        <v/>
      </c>
      <c r="Z141" t="str">
        <f>IF(entities[[#This Row],[In HA?]]&lt;&gt;"ok",  "Not in Home Assistant",
IF(entities[[#This Row],[hidden]]="true",  "Hidden",
IF(entities[[#This Row],[View]]&lt;&gt;"",
INDEX(views[name],MATCH(entities[[#This Row],[View]],views[object_id],0)),  "Default view")))</f>
        <v>Default view</v>
      </c>
      <c r="AA141" t="str">
        <f>IF(entities[[#This Row],[View]]&lt;&gt;"","group."&amp;entities[[#This Row],[View]],"")</f>
        <v/>
      </c>
      <c r="AB141" s="6" t="str">
        <f>IF(COUNTIF(Table4[Entity],entities[[#This Row],[entity_id]]),"ok","Missing from States tab")</f>
        <v>ok</v>
      </c>
      <c r="AE141" s="14"/>
      <c r="AF141"/>
    </row>
    <row r="142" spans="2:32" x14ac:dyDescent="0.45">
      <c r="B142" t="s">
        <v>256</v>
      </c>
      <c r="C142" t="s">
        <v>272</v>
      </c>
      <c r="E142" t="s">
        <v>325</v>
      </c>
      <c r="I142" t="str">
        <f>entities[[#This Row],[domain]]&amp;"."&amp;entities[[#This Row],[object_id]]</f>
        <v>sensor.dark_sky_minutely_summary</v>
      </c>
      <c r="J142">
        <f>5-COUNTBLANK(entities[[#This Row],[hidden]:[icon]])</f>
        <v>1</v>
      </c>
      <c r="K142">
        <f>IF(entities[[#This Row],[Custom Attributes]]=0,"",
COUNTIFS(entities[Custom Attributes],"&gt;0",entities[entity_id],"&lt;="&amp;entities[[#This Row],[entity_id]]))</f>
        <v>82</v>
      </c>
      <c r="L142" s="6">
        <f t="array" aca="1" ref="L142" ca="1">IF(entities[[#This Row],[Custom Attributes]]&lt;1,"",
MATCH(FALSE, ISBLANK(OFFSET(entities[[#This Row],[hidden]],0,0,1,5)), 0))</f>
        <v>2</v>
      </c>
      <c r="M142" s="6" t="str">
        <f t="array" aca="1" ref="M142" ca="1">IF(entities[[#This Row],[Custom Attributes]]&lt;2,"",
IF(entities[[#This Row],[1]]=5-1,5,
MATCH(FALSE, ISBLANK(OFFSET(entities[[#This Row],[hidden]],0,entities[[#This Row],[1]],1,5-entities[[#This Row],[1]])), 0)+entities[[#This Row],[1]]))</f>
        <v/>
      </c>
      <c r="N142" s="6" t="str">
        <f t="array" aca="1" ref="N142" ca="1">IF(entities[[#This Row],[Custom Attributes]]&lt;3,"",
IF(entities[[#This Row],[2]]=5-1,5,
MATCH(FALSE, ISBLANK(OFFSET(entities[[#This Row],[hidden]],0,entities[[#This Row],[2]],1,5-entities[[#This Row],[2]])), 0)+entities[[#This Row],[2]]))</f>
        <v/>
      </c>
      <c r="O142" s="6" t="str">
        <f t="array" aca="1" ref="O142" ca="1">IF(entities[[#This Row],[Custom Attributes]]&lt;4,"",
IF(entities[[#This Row],[3]]=5-1,5,
MATCH(FALSE, ISBLANK(OFFSET(entities[[#This Row],[hidden]],0,entities[[#This Row],[3]],1,5-entities[[#This Row],[3]])), 0)+entities[[#This Row],[3]]))</f>
        <v/>
      </c>
      <c r="P142" s="14" t="str">
        <f ca="1">IF(entities[[#This Row],[1]]="","",
VLOOKUP(entities[[#This Row],[1]],Lookup!$B$5:$D$9,3,FALSE)  &amp;  INDEX(entities[[#This Row],[hidden]:[icon]],entities[[#This Row],[1]])
)</f>
        <v xml:space="preserve">  friendly_name: Now</v>
      </c>
      <c r="Q142" s="6" t="str">
        <f ca="1">IF(entities[[#This Row],[2]]="","",
VLOOKUP(entities[[#This Row],[2]],Lookup!$B$5:$D$9,3,FALSE)  &amp;  INDEX(entities[[#This Row],[hidden]:[icon]],entities[[#This Row],[2]])
)</f>
        <v/>
      </c>
      <c r="R142" s="6" t="str">
        <f ca="1">IF(entities[[#This Row],[3]]="","",
VLOOKUP(entities[[#This Row],[3]],Lookup!$B$5:$D$9,3,FALSE)  &amp;  INDEX(entities[[#This Row],[hidden]:[icon]],entities[[#This Row],[3]])
)</f>
        <v/>
      </c>
      <c r="S142" s="6" t="str">
        <f ca="1">IF(entities[[#This Row],[4]]="","",
VLOOKUP(entities[[#This Row],[4]],Lookup!$B$5:$D$9,3,FALSE)  &amp;  INDEX(entities[[#This Row],[hidden]:[icon]],entities[[#This Row],[4]])
)</f>
        <v/>
      </c>
      <c r="T142" t="str">
        <f t="array" ref="T142">IFERROR(INDEX(cards[object_id],SMALL(IF(cards[[1]:[25]]=entities[[#This Row],[entity_id]],ROW(cards[])-7,99^99),1)),"")</f>
        <v>environment</v>
      </c>
      <c r="U142" t="str">
        <f>IF(entities[[#This Row],[In HA?]]&lt;&gt;"ok",  "Not in Home Assistant",
IF(entities[[#This Row],[hidden]]="true",  "Hidden",
IF(entities[[#This Row],[Card]]&lt;&gt;"",
INDEX(cards[name],MATCH(entities[[#This Row],[Card]],cards[object_id],0)),  "Badge / automatic card")))</f>
        <v>Environment || Forecast</v>
      </c>
      <c r="V142" t="str">
        <f>IF(entities[[#This Row],[Card]]&lt;&gt;"","group."&amp;entities[[#This Row],[Card]],"")</f>
        <v>group.environment</v>
      </c>
      <c r="W142" t="str">
        <f t="array" ref="W142">IFERROR(IF(entities[[#This Row],[Assigned Card]]="","",INDEX(views[object_id],SMALL(IF(views[[1]:[25]]=entities[[#This Row],[Assigned Card]],ROW(views[])-7,99^99),1))),"")</f>
        <v>environment_view</v>
      </c>
      <c r="X142" t="str">
        <f t="array" ref="X142">IFERROR(INDEX(views[object_id],SMALL(IF(views[[1]:[25]]=entities[[#This Row],[entity_id]],ROW(views[])-7,99^99),1)),"")</f>
        <v/>
      </c>
      <c r="Y142" t="str">
        <f>IF(entities[[#This Row],[View from card]]&lt;&gt;"",entities[[#This Row],[View from card]],entities[[#This Row],[View from entitiy]])</f>
        <v>environment_view</v>
      </c>
      <c r="Z142" t="str">
        <f>IF(entities[[#This Row],[In HA?]]&lt;&gt;"ok",  "Not in Home Assistant",
IF(entities[[#This Row],[hidden]]="true",  "Hidden",
IF(entities[[#This Row],[View]]&lt;&gt;"",
INDEX(views[name],MATCH(entities[[#This Row],[View]],views[object_id],0)),  "Default view")))</f>
        <v>Environment</v>
      </c>
      <c r="AA142" t="str">
        <f>IF(entities[[#This Row],[View]]&lt;&gt;"","group."&amp;entities[[#This Row],[View]],"")</f>
        <v>group.environment_view</v>
      </c>
      <c r="AB142" s="6" t="str">
        <f>IF(COUNTIF(Table4[Entity],entities[[#This Row],[entity_id]]),"ok","Missing from States tab")</f>
        <v>ok</v>
      </c>
      <c r="AE142" s="14"/>
      <c r="AF142"/>
    </row>
    <row r="143" spans="2:32" x14ac:dyDescent="0.45">
      <c r="B143" t="s">
        <v>256</v>
      </c>
      <c r="C143" t="s">
        <v>273</v>
      </c>
      <c r="I143" t="str">
        <f>entities[[#This Row],[domain]]&amp;"."&amp;entities[[#This Row],[object_id]]</f>
        <v>sensor.dark_sky_precip</v>
      </c>
      <c r="J143">
        <f>5-COUNTBLANK(entities[[#This Row],[hidden]:[icon]])</f>
        <v>0</v>
      </c>
      <c r="K143" t="str">
        <f>IF(entities[[#This Row],[Custom Attributes]]=0,"",
COUNTIFS(entities[Custom Attributes],"&gt;0",entities[entity_id],"&lt;="&amp;entities[[#This Row],[entity_id]]))</f>
        <v/>
      </c>
      <c r="L143" s="6" t="str">
        <f t="array" aca="1" ref="L143" ca="1">IF(entities[[#This Row],[Custom Attributes]]&lt;1,"",
MATCH(FALSE, ISBLANK(OFFSET(entities[[#This Row],[hidden]],0,0,1,5)), 0))</f>
        <v/>
      </c>
      <c r="M143" s="6" t="str">
        <f t="array" aca="1" ref="M143" ca="1">IF(entities[[#This Row],[Custom Attributes]]&lt;2,"",
IF(entities[[#This Row],[1]]=5-1,5,
MATCH(FALSE, ISBLANK(OFFSET(entities[[#This Row],[hidden]],0,entities[[#This Row],[1]],1,5-entities[[#This Row],[1]])), 0)+entities[[#This Row],[1]]))</f>
        <v/>
      </c>
      <c r="N143" s="6" t="str">
        <f t="array" aca="1" ref="N143" ca="1">IF(entities[[#This Row],[Custom Attributes]]&lt;3,"",
IF(entities[[#This Row],[2]]=5-1,5,
MATCH(FALSE, ISBLANK(OFFSET(entities[[#This Row],[hidden]],0,entities[[#This Row],[2]],1,5-entities[[#This Row],[2]])), 0)+entities[[#This Row],[2]]))</f>
        <v/>
      </c>
      <c r="O143" s="6" t="str">
        <f t="array" aca="1" ref="O143" ca="1">IF(entities[[#This Row],[Custom Attributes]]&lt;4,"",
IF(entities[[#This Row],[3]]=5-1,5,
MATCH(FALSE, ISBLANK(OFFSET(entities[[#This Row],[hidden]],0,entities[[#This Row],[3]],1,5-entities[[#This Row],[3]])), 0)+entities[[#This Row],[3]]))</f>
        <v/>
      </c>
      <c r="P143" s="14" t="str">
        <f ca="1">IF(entities[[#This Row],[1]]="","",
VLOOKUP(entities[[#This Row],[1]],Lookup!$B$5:$D$9,3,FALSE)  &amp;  INDEX(entities[[#This Row],[hidden]:[icon]],entities[[#This Row],[1]])
)</f>
        <v/>
      </c>
      <c r="Q143" s="6" t="str">
        <f ca="1">IF(entities[[#This Row],[2]]="","",
VLOOKUP(entities[[#This Row],[2]],Lookup!$B$5:$D$9,3,FALSE)  &amp;  INDEX(entities[[#This Row],[hidden]:[icon]],entities[[#This Row],[2]])
)</f>
        <v/>
      </c>
      <c r="R143" s="6" t="str">
        <f ca="1">IF(entities[[#This Row],[3]]="","",
VLOOKUP(entities[[#This Row],[3]],Lookup!$B$5:$D$9,3,FALSE)  &amp;  INDEX(entities[[#This Row],[hidden]:[icon]],entities[[#This Row],[3]])
)</f>
        <v/>
      </c>
      <c r="S143" s="6" t="str">
        <f ca="1">IF(entities[[#This Row],[4]]="","",
VLOOKUP(entities[[#This Row],[4]],Lookup!$B$5:$D$9,3,FALSE)  &amp;  INDEX(entities[[#This Row],[hidden]:[icon]],entities[[#This Row],[4]])
)</f>
        <v/>
      </c>
      <c r="T143" t="str">
        <f t="array" ref="T143">IFERROR(INDEX(cards[object_id],SMALL(IF(cards[[1]:[25]]=entities[[#This Row],[entity_id]],ROW(cards[])-7,99^99),1)),"")</f>
        <v>environment_detail</v>
      </c>
      <c r="U143" t="str">
        <f>IF(entities[[#This Row],[In HA?]]&lt;&gt;"ok",  "Not in Home Assistant",
IF(entities[[#This Row],[hidden]]="true",  "Hidden",
IF(entities[[#This Row],[Card]]&lt;&gt;"",
INDEX(cards[name],MATCH(entities[[#This Row],[Card]],cards[object_id],0)),  "Badge / automatic card")))</f>
        <v>Environment Detail</v>
      </c>
      <c r="V143" t="str">
        <f>IF(entities[[#This Row],[Card]]&lt;&gt;"","group."&amp;entities[[#This Row],[Card]],"")</f>
        <v>group.environment_detail</v>
      </c>
      <c r="W143" t="str">
        <f t="array" ref="W143">IFERROR(IF(entities[[#This Row],[Assigned Card]]="","",INDEX(views[object_id],SMALL(IF(views[[1]:[25]]=entities[[#This Row],[Assigned Card]],ROW(views[])-7,99^99),1))),"")</f>
        <v/>
      </c>
      <c r="X143" t="str">
        <f t="array" ref="X143">IFERROR(INDEX(views[object_id],SMALL(IF(views[[1]:[25]]=entities[[#This Row],[entity_id]],ROW(views[])-7,99^99),1)),"")</f>
        <v/>
      </c>
      <c r="Y143" t="str">
        <f>IF(entities[[#This Row],[View from card]]&lt;&gt;"",entities[[#This Row],[View from card]],entities[[#This Row],[View from entitiy]])</f>
        <v/>
      </c>
      <c r="Z143" t="str">
        <f>IF(entities[[#This Row],[In HA?]]&lt;&gt;"ok",  "Not in Home Assistant",
IF(entities[[#This Row],[hidden]]="true",  "Hidden",
IF(entities[[#This Row],[View]]&lt;&gt;"",
INDEX(views[name],MATCH(entities[[#This Row],[View]],views[object_id],0)),  "Default view")))</f>
        <v>Default view</v>
      </c>
      <c r="AA143" t="str">
        <f>IF(entities[[#This Row],[View]]&lt;&gt;"","group."&amp;entities[[#This Row],[View]],"")</f>
        <v/>
      </c>
      <c r="AB143" s="6" t="str">
        <f>IF(COUNTIF(Table4[Entity],entities[[#This Row],[entity_id]]),"ok","Missing from States tab")</f>
        <v>ok</v>
      </c>
      <c r="AE143" s="14"/>
      <c r="AF143"/>
    </row>
    <row r="144" spans="2:32" x14ac:dyDescent="0.45">
      <c r="B144" t="s">
        <v>256</v>
      </c>
      <c r="C144" t="s">
        <v>274</v>
      </c>
      <c r="I144" t="str">
        <f>entities[[#This Row],[domain]]&amp;"."&amp;entities[[#This Row],[object_id]]</f>
        <v>sensor.dark_sky_precip_intensity</v>
      </c>
      <c r="J144">
        <f>5-COUNTBLANK(entities[[#This Row],[hidden]:[icon]])</f>
        <v>0</v>
      </c>
      <c r="K144" t="str">
        <f>IF(entities[[#This Row],[Custom Attributes]]=0,"",
COUNTIFS(entities[Custom Attributes],"&gt;0",entities[entity_id],"&lt;="&amp;entities[[#This Row],[entity_id]]))</f>
        <v/>
      </c>
      <c r="L144" s="6" t="str">
        <f t="array" aca="1" ref="L144" ca="1">IF(entities[[#This Row],[Custom Attributes]]&lt;1,"",
MATCH(FALSE, ISBLANK(OFFSET(entities[[#This Row],[hidden]],0,0,1,5)), 0))</f>
        <v/>
      </c>
      <c r="M144" s="6" t="str">
        <f t="array" aca="1" ref="M144" ca="1">IF(entities[[#This Row],[Custom Attributes]]&lt;2,"",
IF(entities[[#This Row],[1]]=5-1,5,
MATCH(FALSE, ISBLANK(OFFSET(entities[[#This Row],[hidden]],0,entities[[#This Row],[1]],1,5-entities[[#This Row],[1]])), 0)+entities[[#This Row],[1]]))</f>
        <v/>
      </c>
      <c r="N144" s="6" t="str">
        <f t="array" aca="1" ref="N144" ca="1">IF(entities[[#This Row],[Custom Attributes]]&lt;3,"",
IF(entities[[#This Row],[2]]=5-1,5,
MATCH(FALSE, ISBLANK(OFFSET(entities[[#This Row],[hidden]],0,entities[[#This Row],[2]],1,5-entities[[#This Row],[2]])), 0)+entities[[#This Row],[2]]))</f>
        <v/>
      </c>
      <c r="O144" s="6" t="str">
        <f t="array" aca="1" ref="O144" ca="1">IF(entities[[#This Row],[Custom Attributes]]&lt;4,"",
IF(entities[[#This Row],[3]]=5-1,5,
MATCH(FALSE, ISBLANK(OFFSET(entities[[#This Row],[hidden]],0,entities[[#This Row],[3]],1,5-entities[[#This Row],[3]])), 0)+entities[[#This Row],[3]]))</f>
        <v/>
      </c>
      <c r="P144" s="14" t="str">
        <f ca="1">IF(entities[[#This Row],[1]]="","",
VLOOKUP(entities[[#This Row],[1]],Lookup!$B$5:$D$9,3,FALSE)  &amp;  INDEX(entities[[#This Row],[hidden]:[icon]],entities[[#This Row],[1]])
)</f>
        <v/>
      </c>
      <c r="Q144" s="6" t="str">
        <f ca="1">IF(entities[[#This Row],[2]]="","",
VLOOKUP(entities[[#This Row],[2]],Lookup!$B$5:$D$9,3,FALSE)  &amp;  INDEX(entities[[#This Row],[hidden]:[icon]],entities[[#This Row],[2]])
)</f>
        <v/>
      </c>
      <c r="R144" s="6" t="str">
        <f ca="1">IF(entities[[#This Row],[3]]="","",
VLOOKUP(entities[[#This Row],[3]],Lookup!$B$5:$D$9,3,FALSE)  &amp;  INDEX(entities[[#This Row],[hidden]:[icon]],entities[[#This Row],[3]])
)</f>
        <v/>
      </c>
      <c r="S144" s="6" t="str">
        <f ca="1">IF(entities[[#This Row],[4]]="","",
VLOOKUP(entities[[#This Row],[4]],Lookup!$B$5:$D$9,3,FALSE)  &amp;  INDEX(entities[[#This Row],[hidden]:[icon]],entities[[#This Row],[4]])
)</f>
        <v/>
      </c>
      <c r="T144" t="str">
        <f t="array" ref="T144">IFERROR(INDEX(cards[object_id],SMALL(IF(cards[[1]:[25]]=entities[[#This Row],[entity_id]],ROW(cards[])-7,99^99),1)),"")</f>
        <v>environment_detail</v>
      </c>
      <c r="U144" t="str">
        <f>IF(entities[[#This Row],[In HA?]]&lt;&gt;"ok",  "Not in Home Assistant",
IF(entities[[#This Row],[hidden]]="true",  "Hidden",
IF(entities[[#This Row],[Card]]&lt;&gt;"",
INDEX(cards[name],MATCH(entities[[#This Row],[Card]],cards[object_id],0)),  "Badge / automatic card")))</f>
        <v>Environment Detail</v>
      </c>
      <c r="V144" t="str">
        <f>IF(entities[[#This Row],[Card]]&lt;&gt;"","group."&amp;entities[[#This Row],[Card]],"")</f>
        <v>group.environment_detail</v>
      </c>
      <c r="W144" t="str">
        <f t="array" ref="W144">IFERROR(IF(entities[[#This Row],[Assigned Card]]="","",INDEX(views[object_id],SMALL(IF(views[[1]:[25]]=entities[[#This Row],[Assigned Card]],ROW(views[])-7,99^99),1))),"")</f>
        <v/>
      </c>
      <c r="X144" t="str">
        <f t="array" ref="X144">IFERROR(INDEX(views[object_id],SMALL(IF(views[[1]:[25]]=entities[[#This Row],[entity_id]],ROW(views[])-7,99^99),1)),"")</f>
        <v/>
      </c>
      <c r="Y144" t="str">
        <f>IF(entities[[#This Row],[View from card]]&lt;&gt;"",entities[[#This Row],[View from card]],entities[[#This Row],[View from entitiy]])</f>
        <v/>
      </c>
      <c r="Z144" t="str">
        <f>IF(entities[[#This Row],[In HA?]]&lt;&gt;"ok",  "Not in Home Assistant",
IF(entities[[#This Row],[hidden]]="true",  "Hidden",
IF(entities[[#This Row],[View]]&lt;&gt;"",
INDEX(views[name],MATCH(entities[[#This Row],[View]],views[object_id],0)),  "Default view")))</f>
        <v>Default view</v>
      </c>
      <c r="AA144" t="str">
        <f>IF(entities[[#This Row],[View]]&lt;&gt;"","group."&amp;entities[[#This Row],[View]],"")</f>
        <v/>
      </c>
      <c r="AB144" s="6" t="str">
        <f>IF(COUNTIF(Table4[Entity],entities[[#This Row],[entity_id]]),"ok","Missing from States tab")</f>
        <v>ok</v>
      </c>
      <c r="AE144" s="14"/>
      <c r="AF144"/>
    </row>
    <row r="145" spans="2:32" x14ac:dyDescent="0.45">
      <c r="B145" t="s">
        <v>256</v>
      </c>
      <c r="C145" t="s">
        <v>275</v>
      </c>
      <c r="E145" t="s">
        <v>328</v>
      </c>
      <c r="I145" t="str">
        <f>entities[[#This Row],[domain]]&amp;"."&amp;entities[[#This Row],[object_id]]</f>
        <v>sensor.dark_sky_precip_probability</v>
      </c>
      <c r="J145">
        <f>5-COUNTBLANK(entities[[#This Row],[hidden]:[icon]])</f>
        <v>1</v>
      </c>
      <c r="K145">
        <f>IF(entities[[#This Row],[Custom Attributes]]=0,"",
COUNTIFS(entities[Custom Attributes],"&gt;0",entities[entity_id],"&lt;="&amp;entities[[#This Row],[entity_id]]))</f>
        <v>83</v>
      </c>
      <c r="L145" s="6">
        <f t="array" aca="1" ref="L145" ca="1">IF(entities[[#This Row],[Custom Attributes]]&lt;1,"",
MATCH(FALSE, ISBLANK(OFFSET(entities[[#This Row],[hidden]],0,0,1,5)), 0))</f>
        <v>2</v>
      </c>
      <c r="M145" s="6" t="str">
        <f t="array" aca="1" ref="M145" ca="1">IF(entities[[#This Row],[Custom Attributes]]&lt;2,"",
IF(entities[[#This Row],[1]]=5-1,5,
MATCH(FALSE, ISBLANK(OFFSET(entities[[#This Row],[hidden]],0,entities[[#This Row],[1]],1,5-entities[[#This Row],[1]])), 0)+entities[[#This Row],[1]]))</f>
        <v/>
      </c>
      <c r="N145" s="6" t="str">
        <f t="array" aca="1" ref="N145" ca="1">IF(entities[[#This Row],[Custom Attributes]]&lt;3,"",
IF(entities[[#This Row],[2]]=5-1,5,
MATCH(FALSE, ISBLANK(OFFSET(entities[[#This Row],[hidden]],0,entities[[#This Row],[2]],1,5-entities[[#This Row],[2]])), 0)+entities[[#This Row],[2]]))</f>
        <v/>
      </c>
      <c r="O145" s="6" t="str">
        <f t="array" aca="1" ref="O145" ca="1">IF(entities[[#This Row],[Custom Attributes]]&lt;4,"",
IF(entities[[#This Row],[3]]=5-1,5,
MATCH(FALSE, ISBLANK(OFFSET(entities[[#This Row],[hidden]],0,entities[[#This Row],[3]],1,5-entities[[#This Row],[3]])), 0)+entities[[#This Row],[3]]))</f>
        <v/>
      </c>
      <c r="P145" s="14" t="str">
        <f ca="1">IF(entities[[#This Row],[1]]="","",
VLOOKUP(entities[[#This Row],[1]],Lookup!$B$5:$D$9,3,FALSE)  &amp;  INDEX(entities[[#This Row],[hidden]:[icon]],entities[[#This Row],[1]])
)</f>
        <v xml:space="preserve">  friendly_name: Precip Chance</v>
      </c>
      <c r="Q145" s="6" t="str">
        <f ca="1">IF(entities[[#This Row],[2]]="","",
VLOOKUP(entities[[#This Row],[2]],Lookup!$B$5:$D$9,3,FALSE)  &amp;  INDEX(entities[[#This Row],[hidden]:[icon]],entities[[#This Row],[2]])
)</f>
        <v/>
      </c>
      <c r="R145" s="6" t="str">
        <f ca="1">IF(entities[[#This Row],[3]]="","",
VLOOKUP(entities[[#This Row],[3]],Lookup!$B$5:$D$9,3,FALSE)  &amp;  INDEX(entities[[#This Row],[hidden]:[icon]],entities[[#This Row],[3]])
)</f>
        <v/>
      </c>
      <c r="S145" s="6" t="str">
        <f ca="1">IF(entities[[#This Row],[4]]="","",
VLOOKUP(entities[[#This Row],[4]],Lookup!$B$5:$D$9,3,FALSE)  &amp;  INDEX(entities[[#This Row],[hidden]:[icon]],entities[[#This Row],[4]])
)</f>
        <v/>
      </c>
      <c r="T145" t="str">
        <f t="array" ref="T145">IFERROR(INDEX(cards[object_id],SMALL(IF(cards[[1]:[25]]=entities[[#This Row],[entity_id]],ROW(cards[])-7,99^99),1)),"")</f>
        <v>environment</v>
      </c>
      <c r="U145" t="str">
        <f>IF(entities[[#This Row],[In HA?]]&lt;&gt;"ok",  "Not in Home Assistant",
IF(entities[[#This Row],[hidden]]="true",  "Hidden",
IF(entities[[#This Row],[Card]]&lt;&gt;"",
INDEX(cards[name],MATCH(entities[[#This Row],[Card]],cards[object_id],0)),  "Badge / automatic card")))</f>
        <v>Environment || Forecast</v>
      </c>
      <c r="V145" t="str">
        <f>IF(entities[[#This Row],[Card]]&lt;&gt;"","group."&amp;entities[[#This Row],[Card]],"")</f>
        <v>group.environment</v>
      </c>
      <c r="W145" t="str">
        <f t="array" ref="W145">IFERROR(IF(entities[[#This Row],[Assigned Card]]="","",INDEX(views[object_id],SMALL(IF(views[[1]:[25]]=entities[[#This Row],[Assigned Card]],ROW(views[])-7,99^99),1))),"")</f>
        <v>environment_view</v>
      </c>
      <c r="X145" t="str">
        <f t="array" ref="X145">IFERROR(INDEX(views[object_id],SMALL(IF(views[[1]:[25]]=entities[[#This Row],[entity_id]],ROW(views[])-7,99^99),1)),"")</f>
        <v/>
      </c>
      <c r="Y145" t="str">
        <f>IF(entities[[#This Row],[View from card]]&lt;&gt;"",entities[[#This Row],[View from card]],entities[[#This Row],[View from entitiy]])</f>
        <v>environment_view</v>
      </c>
      <c r="Z145" t="str">
        <f>IF(entities[[#This Row],[In HA?]]&lt;&gt;"ok",  "Not in Home Assistant",
IF(entities[[#This Row],[hidden]]="true",  "Hidden",
IF(entities[[#This Row],[View]]&lt;&gt;"",
INDEX(views[name],MATCH(entities[[#This Row],[View]],views[object_id],0)),  "Default view")))</f>
        <v>Environment</v>
      </c>
      <c r="AA145" t="str">
        <f>IF(entities[[#This Row],[View]]&lt;&gt;"","group."&amp;entities[[#This Row],[View]],"")</f>
        <v>group.environment_view</v>
      </c>
      <c r="AB145" s="6" t="str">
        <f>IF(COUNTIF(Table4[Entity],entities[[#This Row],[entity_id]]),"ok","Missing from States tab")</f>
        <v>ok</v>
      </c>
      <c r="AE145" s="14"/>
      <c r="AF145"/>
    </row>
    <row r="146" spans="2:32" x14ac:dyDescent="0.45">
      <c r="B146" t="s">
        <v>256</v>
      </c>
      <c r="C146" t="s">
        <v>276</v>
      </c>
      <c r="E146" t="s">
        <v>315</v>
      </c>
      <c r="I146" t="str">
        <f>entities[[#This Row],[domain]]&amp;"."&amp;entities[[#This Row],[object_id]]</f>
        <v>sensor.dark_sky_temperature</v>
      </c>
      <c r="J146">
        <f>5-COUNTBLANK(entities[[#This Row],[hidden]:[icon]])</f>
        <v>1</v>
      </c>
      <c r="K146">
        <f>IF(entities[[#This Row],[Custom Attributes]]=0,"",
COUNTIFS(entities[Custom Attributes],"&gt;0",entities[entity_id],"&lt;="&amp;entities[[#This Row],[entity_id]]))</f>
        <v>84</v>
      </c>
      <c r="L146" s="6">
        <f t="array" aca="1" ref="L146" ca="1">IF(entities[[#This Row],[Custom Attributes]]&lt;1,"",
MATCH(FALSE, ISBLANK(OFFSET(entities[[#This Row],[hidden]],0,0,1,5)), 0))</f>
        <v>2</v>
      </c>
      <c r="M146" s="6" t="str">
        <f t="array" aca="1" ref="M146" ca="1">IF(entities[[#This Row],[Custom Attributes]]&lt;2,"",
IF(entities[[#This Row],[1]]=5-1,5,
MATCH(FALSE, ISBLANK(OFFSET(entities[[#This Row],[hidden]],0,entities[[#This Row],[1]],1,5-entities[[#This Row],[1]])), 0)+entities[[#This Row],[1]]))</f>
        <v/>
      </c>
      <c r="N146" s="6" t="str">
        <f t="array" aca="1" ref="N146" ca="1">IF(entities[[#This Row],[Custom Attributes]]&lt;3,"",
IF(entities[[#This Row],[2]]=5-1,5,
MATCH(FALSE, ISBLANK(OFFSET(entities[[#This Row],[hidden]],0,entities[[#This Row],[2]],1,5-entities[[#This Row],[2]])), 0)+entities[[#This Row],[2]]))</f>
        <v/>
      </c>
      <c r="O146" s="6" t="str">
        <f t="array" aca="1" ref="O146" ca="1">IF(entities[[#This Row],[Custom Attributes]]&lt;4,"",
IF(entities[[#This Row],[3]]=5-1,5,
MATCH(FALSE, ISBLANK(OFFSET(entities[[#This Row],[hidden]],0,entities[[#This Row],[3]],1,5-entities[[#This Row],[3]])), 0)+entities[[#This Row],[3]]))</f>
        <v/>
      </c>
      <c r="P146" s="14" t="str">
        <f ca="1">IF(entities[[#This Row],[1]]="","",
VLOOKUP(entities[[#This Row],[1]],Lookup!$B$5:$D$9,3,FALSE)  &amp;  INDEX(entities[[#This Row],[hidden]:[icon]],entities[[#This Row],[1]])
)</f>
        <v xml:space="preserve">  friendly_name: Temp</v>
      </c>
      <c r="Q146" s="6" t="str">
        <f ca="1">IF(entities[[#This Row],[2]]="","",
VLOOKUP(entities[[#This Row],[2]],Lookup!$B$5:$D$9,3,FALSE)  &amp;  INDEX(entities[[#This Row],[hidden]:[icon]],entities[[#This Row],[2]])
)</f>
        <v/>
      </c>
      <c r="R146" s="6" t="str">
        <f ca="1">IF(entities[[#This Row],[3]]="","",
VLOOKUP(entities[[#This Row],[3]],Lookup!$B$5:$D$9,3,FALSE)  &amp;  INDEX(entities[[#This Row],[hidden]:[icon]],entities[[#This Row],[3]])
)</f>
        <v/>
      </c>
      <c r="S146" s="6" t="str">
        <f ca="1">IF(entities[[#This Row],[4]]="","",
VLOOKUP(entities[[#This Row],[4]],Lookup!$B$5:$D$9,3,FALSE)  &amp;  INDEX(entities[[#This Row],[hidden]:[icon]],entities[[#This Row],[4]])
)</f>
        <v/>
      </c>
      <c r="T146" t="str">
        <f t="array" ref="T146">IFERROR(INDEX(cards[object_id],SMALL(IF(cards[[1]:[25]]=entities[[#This Row],[entity_id]],ROW(cards[])-7,99^99),1)),"")</f>
        <v>environment_detail</v>
      </c>
      <c r="U146" t="str">
        <f>IF(entities[[#This Row],[In HA?]]&lt;&gt;"ok",  "Not in Home Assistant",
IF(entities[[#This Row],[hidden]]="true",  "Hidden",
IF(entities[[#This Row],[Card]]&lt;&gt;"",
INDEX(cards[name],MATCH(entities[[#This Row],[Card]],cards[object_id],0)),  "Badge / automatic card")))</f>
        <v>Environment Detail</v>
      </c>
      <c r="V146" t="str">
        <f>IF(entities[[#This Row],[Card]]&lt;&gt;"","group."&amp;entities[[#This Row],[Card]],"")</f>
        <v>group.environment_detail</v>
      </c>
      <c r="W146" t="str">
        <f t="array" ref="W146">IFERROR(IF(entities[[#This Row],[Assigned Card]]="","",INDEX(views[object_id],SMALL(IF(views[[1]:[25]]=entities[[#This Row],[Assigned Card]],ROW(views[])-7,99^99),1))),"")</f>
        <v/>
      </c>
      <c r="X146" t="str">
        <f t="array" ref="X146">IFERROR(INDEX(views[object_id],SMALL(IF(views[[1]:[25]]=entities[[#This Row],[entity_id]],ROW(views[])-7,99^99),1)),"")</f>
        <v/>
      </c>
      <c r="Y146" t="str">
        <f>IF(entities[[#This Row],[View from card]]&lt;&gt;"",entities[[#This Row],[View from card]],entities[[#This Row],[View from entitiy]])</f>
        <v/>
      </c>
      <c r="Z146" t="str">
        <f>IF(entities[[#This Row],[In HA?]]&lt;&gt;"ok",  "Not in Home Assistant",
IF(entities[[#This Row],[hidden]]="true",  "Hidden",
IF(entities[[#This Row],[View]]&lt;&gt;"",
INDEX(views[name],MATCH(entities[[#This Row],[View]],views[object_id],0)),  "Default view")))</f>
        <v>Default view</v>
      </c>
      <c r="AA146" t="str">
        <f>IF(entities[[#This Row],[View]]&lt;&gt;"","group."&amp;entities[[#This Row],[View]],"")</f>
        <v/>
      </c>
      <c r="AB146" s="6" t="str">
        <f>IF(COUNTIF(Table4[Entity],entities[[#This Row],[entity_id]]),"ok","Missing from States tab")</f>
        <v>ok</v>
      </c>
      <c r="AE146" s="14"/>
      <c r="AF146"/>
    </row>
    <row r="147" spans="2:32" x14ac:dyDescent="0.45">
      <c r="B147" t="s">
        <v>256</v>
      </c>
      <c r="C147" t="s">
        <v>277</v>
      </c>
      <c r="I147" t="str">
        <f>entities[[#This Row],[domain]]&amp;"."&amp;entities[[#This Row],[object_id]]</f>
        <v>sensor.dark_sky_visibility</v>
      </c>
      <c r="J147">
        <f>5-COUNTBLANK(entities[[#This Row],[hidden]:[icon]])</f>
        <v>0</v>
      </c>
      <c r="K147" t="str">
        <f>IF(entities[[#This Row],[Custom Attributes]]=0,"",
COUNTIFS(entities[Custom Attributes],"&gt;0",entities[entity_id],"&lt;="&amp;entities[[#This Row],[entity_id]]))</f>
        <v/>
      </c>
      <c r="L147" s="6" t="str">
        <f t="array" aca="1" ref="L147" ca="1">IF(entities[[#This Row],[Custom Attributes]]&lt;1,"",
MATCH(FALSE, ISBLANK(OFFSET(entities[[#This Row],[hidden]],0,0,1,5)), 0))</f>
        <v/>
      </c>
      <c r="M147" s="6" t="str">
        <f t="array" aca="1" ref="M147" ca="1">IF(entities[[#This Row],[Custom Attributes]]&lt;2,"",
IF(entities[[#This Row],[1]]=5-1,5,
MATCH(FALSE, ISBLANK(OFFSET(entities[[#This Row],[hidden]],0,entities[[#This Row],[1]],1,5-entities[[#This Row],[1]])), 0)+entities[[#This Row],[1]]))</f>
        <v/>
      </c>
      <c r="N147" s="6" t="str">
        <f t="array" aca="1" ref="N147" ca="1">IF(entities[[#This Row],[Custom Attributes]]&lt;3,"",
IF(entities[[#This Row],[2]]=5-1,5,
MATCH(FALSE, ISBLANK(OFFSET(entities[[#This Row],[hidden]],0,entities[[#This Row],[2]],1,5-entities[[#This Row],[2]])), 0)+entities[[#This Row],[2]]))</f>
        <v/>
      </c>
      <c r="O147" s="6" t="str">
        <f t="array" aca="1" ref="O147" ca="1">IF(entities[[#This Row],[Custom Attributes]]&lt;4,"",
IF(entities[[#This Row],[3]]=5-1,5,
MATCH(FALSE, ISBLANK(OFFSET(entities[[#This Row],[hidden]],0,entities[[#This Row],[3]],1,5-entities[[#This Row],[3]])), 0)+entities[[#This Row],[3]]))</f>
        <v/>
      </c>
      <c r="P147" s="14" t="str">
        <f ca="1">IF(entities[[#This Row],[1]]="","",
VLOOKUP(entities[[#This Row],[1]],Lookup!$B$5:$D$9,3,FALSE)  &amp;  INDEX(entities[[#This Row],[hidden]:[icon]],entities[[#This Row],[1]])
)</f>
        <v/>
      </c>
      <c r="Q147" s="6" t="str">
        <f ca="1">IF(entities[[#This Row],[2]]="","",
VLOOKUP(entities[[#This Row],[2]],Lookup!$B$5:$D$9,3,FALSE)  &amp;  INDEX(entities[[#This Row],[hidden]:[icon]],entities[[#This Row],[2]])
)</f>
        <v/>
      </c>
      <c r="R147" s="6" t="str">
        <f ca="1">IF(entities[[#This Row],[3]]="","",
VLOOKUP(entities[[#This Row],[3]],Lookup!$B$5:$D$9,3,FALSE)  &amp;  INDEX(entities[[#This Row],[hidden]:[icon]],entities[[#This Row],[3]])
)</f>
        <v/>
      </c>
      <c r="S147" s="6" t="str">
        <f ca="1">IF(entities[[#This Row],[4]]="","",
VLOOKUP(entities[[#This Row],[4]],Lookup!$B$5:$D$9,3,FALSE)  &amp;  INDEX(entities[[#This Row],[hidden]:[icon]],entities[[#This Row],[4]])
)</f>
        <v/>
      </c>
      <c r="T147" t="str">
        <f t="array" ref="T147">IFERROR(INDEX(cards[object_id],SMALL(IF(cards[[1]:[25]]=entities[[#This Row],[entity_id]],ROW(cards[])-7,99^99),1)),"")</f>
        <v>environment_detail</v>
      </c>
      <c r="U147" t="str">
        <f>IF(entities[[#This Row],[In HA?]]&lt;&gt;"ok",  "Not in Home Assistant",
IF(entities[[#This Row],[hidden]]="true",  "Hidden",
IF(entities[[#This Row],[Card]]&lt;&gt;"",
INDEX(cards[name],MATCH(entities[[#This Row],[Card]],cards[object_id],0)),  "Badge / automatic card")))</f>
        <v>Environment Detail</v>
      </c>
      <c r="V147" t="str">
        <f>IF(entities[[#This Row],[Card]]&lt;&gt;"","group."&amp;entities[[#This Row],[Card]],"")</f>
        <v>group.environment_detail</v>
      </c>
      <c r="W147" t="str">
        <f t="array" ref="W147">IFERROR(IF(entities[[#This Row],[Assigned Card]]="","",INDEX(views[object_id],SMALL(IF(views[[1]:[25]]=entities[[#This Row],[Assigned Card]],ROW(views[])-7,99^99),1))),"")</f>
        <v/>
      </c>
      <c r="X147" t="str">
        <f t="array" ref="X147">IFERROR(INDEX(views[object_id],SMALL(IF(views[[1]:[25]]=entities[[#This Row],[entity_id]],ROW(views[])-7,99^99),1)),"")</f>
        <v/>
      </c>
      <c r="Y147" t="str">
        <f>IF(entities[[#This Row],[View from card]]&lt;&gt;"",entities[[#This Row],[View from card]],entities[[#This Row],[View from entitiy]])</f>
        <v/>
      </c>
      <c r="Z147" t="str">
        <f>IF(entities[[#This Row],[In HA?]]&lt;&gt;"ok",  "Not in Home Assistant",
IF(entities[[#This Row],[hidden]]="true",  "Hidden",
IF(entities[[#This Row],[View]]&lt;&gt;"",
INDEX(views[name],MATCH(entities[[#This Row],[View]],views[object_id],0)),  "Default view")))</f>
        <v>Default view</v>
      </c>
      <c r="AA147" t="str">
        <f>IF(entities[[#This Row],[View]]&lt;&gt;"","group."&amp;entities[[#This Row],[View]],"")</f>
        <v/>
      </c>
      <c r="AB147" s="6" t="str">
        <f>IF(COUNTIF(Table4[Entity],entities[[#This Row],[entity_id]]),"ok","Missing from States tab")</f>
        <v>ok</v>
      </c>
      <c r="AE147" s="14"/>
      <c r="AF147"/>
    </row>
    <row r="148" spans="2:32" x14ac:dyDescent="0.45">
      <c r="B148" t="s">
        <v>256</v>
      </c>
      <c r="C148" t="s">
        <v>278</v>
      </c>
      <c r="D148" s="4" t="s">
        <v>294</v>
      </c>
      <c r="I148" t="str">
        <f>entities[[#This Row],[domain]]&amp;"."&amp;entities[[#This Row],[object_id]]</f>
        <v>sensor.date</v>
      </c>
      <c r="J148">
        <f>5-COUNTBLANK(entities[[#This Row],[hidden]:[icon]])</f>
        <v>1</v>
      </c>
      <c r="K148">
        <f>IF(entities[[#This Row],[Custom Attributes]]=0,"",
COUNTIFS(entities[Custom Attributes],"&gt;0",entities[entity_id],"&lt;="&amp;entities[[#This Row],[entity_id]]))</f>
        <v>85</v>
      </c>
      <c r="L148" s="6">
        <f t="array" aca="1" ref="L148" ca="1">IF(entities[[#This Row],[Custom Attributes]]&lt;1,"",
MATCH(FALSE, ISBLANK(OFFSET(entities[[#This Row],[hidden]],0,0,1,5)), 0))</f>
        <v>1</v>
      </c>
      <c r="M148" s="6" t="str">
        <f t="array" aca="1" ref="M148" ca="1">IF(entities[[#This Row],[Custom Attributes]]&lt;2,"",
IF(entities[[#This Row],[1]]=5-1,5,
MATCH(FALSE, ISBLANK(OFFSET(entities[[#This Row],[hidden]],0,entities[[#This Row],[1]],1,5-entities[[#This Row],[1]])), 0)+entities[[#This Row],[1]]))</f>
        <v/>
      </c>
      <c r="N148" s="6" t="str">
        <f t="array" aca="1" ref="N148" ca="1">IF(entities[[#This Row],[Custom Attributes]]&lt;3,"",
IF(entities[[#This Row],[2]]=5-1,5,
MATCH(FALSE, ISBLANK(OFFSET(entities[[#This Row],[hidden]],0,entities[[#This Row],[2]],1,5-entities[[#This Row],[2]])), 0)+entities[[#This Row],[2]]))</f>
        <v/>
      </c>
      <c r="O148" s="6" t="str">
        <f t="array" aca="1" ref="O148" ca="1">IF(entities[[#This Row],[Custom Attributes]]&lt;4,"",
IF(entities[[#This Row],[3]]=5-1,5,
MATCH(FALSE, ISBLANK(OFFSET(entities[[#This Row],[hidden]],0,entities[[#This Row],[3]],1,5-entities[[#This Row],[3]])), 0)+entities[[#This Row],[3]]))</f>
        <v/>
      </c>
      <c r="P148" s="14" t="str">
        <f ca="1">IF(entities[[#This Row],[1]]="","",
VLOOKUP(entities[[#This Row],[1]],Lookup!$B$5:$D$9,3,FALSE)  &amp;  INDEX(entities[[#This Row],[hidden]:[icon]],entities[[#This Row],[1]])
)</f>
        <v xml:space="preserve">  hidden: true</v>
      </c>
      <c r="Q148" s="6" t="str">
        <f ca="1">IF(entities[[#This Row],[2]]="","",
VLOOKUP(entities[[#This Row],[2]],Lookup!$B$5:$D$9,3,FALSE)  &amp;  INDEX(entities[[#This Row],[hidden]:[icon]],entities[[#This Row],[2]])
)</f>
        <v/>
      </c>
      <c r="R148" s="6" t="str">
        <f ca="1">IF(entities[[#This Row],[3]]="","",
VLOOKUP(entities[[#This Row],[3]],Lookup!$B$5:$D$9,3,FALSE)  &amp;  INDEX(entities[[#This Row],[hidden]:[icon]],entities[[#This Row],[3]])
)</f>
        <v/>
      </c>
      <c r="S148" s="6" t="str">
        <f ca="1">IF(entities[[#This Row],[4]]="","",
VLOOKUP(entities[[#This Row],[4]],Lookup!$B$5:$D$9,3,FALSE)  &amp;  INDEX(entities[[#This Row],[hidden]:[icon]],entities[[#This Row],[4]])
)</f>
        <v/>
      </c>
      <c r="T148" t="str">
        <f t="array" ref="T148">IFERROR(INDEX(cards[object_id],SMALL(IF(cards[[1]:[25]]=entities[[#This Row],[entity_id]],ROW(cards[])-7,99^99),1)),"")</f>
        <v/>
      </c>
      <c r="U148" t="str">
        <f>IF(entities[[#This Row],[In HA?]]&lt;&gt;"ok",  "Not in Home Assistant",
IF(entities[[#This Row],[hidden]]="true",  "Hidden",
IF(entities[[#This Row],[Card]]&lt;&gt;"",
INDEX(cards[name],MATCH(entities[[#This Row],[Card]],cards[object_id],0)),  "Badge / automatic card")))</f>
        <v>Hidden</v>
      </c>
      <c r="V148" t="str">
        <f>IF(entities[[#This Row],[Card]]&lt;&gt;"","group."&amp;entities[[#This Row],[Card]],"")</f>
        <v/>
      </c>
      <c r="W148" t="str">
        <f t="array" ref="W148">IFERROR(IF(entities[[#This Row],[Assigned Card]]="","",INDEX(views[object_id],SMALL(IF(views[[1]:[25]]=entities[[#This Row],[Assigned Card]],ROW(views[])-7,99^99),1))),"")</f>
        <v/>
      </c>
      <c r="X148" t="str">
        <f t="array" ref="X148">IFERROR(INDEX(views[object_id],SMALL(IF(views[[1]:[25]]=entities[[#This Row],[entity_id]],ROW(views[])-7,99^99),1)),"")</f>
        <v/>
      </c>
      <c r="Y148" t="str">
        <f>IF(entities[[#This Row],[View from card]]&lt;&gt;"",entities[[#This Row],[View from card]],entities[[#This Row],[View from entitiy]])</f>
        <v/>
      </c>
      <c r="Z148" t="str">
        <f>IF(entities[[#This Row],[In HA?]]&lt;&gt;"ok",  "Not in Home Assistant",
IF(entities[[#This Row],[hidden]]="true",  "Hidden",
IF(entities[[#This Row],[View]]&lt;&gt;"",
INDEX(views[name],MATCH(entities[[#This Row],[View]],views[object_id],0)),  "Default view")))</f>
        <v>Hidden</v>
      </c>
      <c r="AA148" t="str">
        <f>IF(entities[[#This Row],[View]]&lt;&gt;"","group."&amp;entities[[#This Row],[View]],"")</f>
        <v/>
      </c>
      <c r="AB148" s="6" t="str">
        <f>IF(COUNTIF(Table4[Entity],entities[[#This Row],[entity_id]]),"ok","Missing from States tab")</f>
        <v>ok</v>
      </c>
      <c r="AE148" s="14"/>
      <c r="AF148"/>
    </row>
    <row r="149" spans="2:32" x14ac:dyDescent="0.45">
      <c r="B149" t="s">
        <v>256</v>
      </c>
      <c r="C149" t="s">
        <v>279</v>
      </c>
      <c r="D149" s="4" t="s">
        <v>294</v>
      </c>
      <c r="I149" t="str">
        <f>entities[[#This Row],[domain]]&amp;"."&amp;entities[[#This Row],[object_id]]</f>
        <v>sensor.date_odd</v>
      </c>
      <c r="J149">
        <f>5-COUNTBLANK(entities[[#This Row],[hidden]:[icon]])</f>
        <v>1</v>
      </c>
      <c r="K149">
        <f>IF(entities[[#This Row],[Custom Attributes]]=0,"",
COUNTIFS(entities[Custom Attributes],"&gt;0",entities[entity_id],"&lt;="&amp;entities[[#This Row],[entity_id]]))</f>
        <v>86</v>
      </c>
      <c r="L149" s="6">
        <f t="array" aca="1" ref="L149" ca="1">IF(entities[[#This Row],[Custom Attributes]]&lt;1,"",
MATCH(FALSE, ISBLANK(OFFSET(entities[[#This Row],[hidden]],0,0,1,5)), 0))</f>
        <v>1</v>
      </c>
      <c r="M149" s="6" t="str">
        <f t="array" aca="1" ref="M149" ca="1">IF(entities[[#This Row],[Custom Attributes]]&lt;2,"",
IF(entities[[#This Row],[1]]=5-1,5,
MATCH(FALSE, ISBLANK(OFFSET(entities[[#This Row],[hidden]],0,entities[[#This Row],[1]],1,5-entities[[#This Row],[1]])), 0)+entities[[#This Row],[1]]))</f>
        <v/>
      </c>
      <c r="N149" s="6" t="str">
        <f t="array" aca="1" ref="N149" ca="1">IF(entities[[#This Row],[Custom Attributes]]&lt;3,"",
IF(entities[[#This Row],[2]]=5-1,5,
MATCH(FALSE, ISBLANK(OFFSET(entities[[#This Row],[hidden]],0,entities[[#This Row],[2]],1,5-entities[[#This Row],[2]])), 0)+entities[[#This Row],[2]]))</f>
        <v/>
      </c>
      <c r="O149" s="6" t="str">
        <f t="array" aca="1" ref="O149" ca="1">IF(entities[[#This Row],[Custom Attributes]]&lt;4,"",
IF(entities[[#This Row],[3]]=5-1,5,
MATCH(FALSE, ISBLANK(OFFSET(entities[[#This Row],[hidden]],0,entities[[#This Row],[3]],1,5-entities[[#This Row],[3]])), 0)+entities[[#This Row],[3]]))</f>
        <v/>
      </c>
      <c r="P149" s="14" t="str">
        <f ca="1">IF(entities[[#This Row],[1]]="","",
VLOOKUP(entities[[#This Row],[1]],Lookup!$B$5:$D$9,3,FALSE)  &amp;  INDEX(entities[[#This Row],[hidden]:[icon]],entities[[#This Row],[1]])
)</f>
        <v xml:space="preserve">  hidden: true</v>
      </c>
      <c r="Q149" s="6" t="str">
        <f ca="1">IF(entities[[#This Row],[2]]="","",
VLOOKUP(entities[[#This Row],[2]],Lookup!$B$5:$D$9,3,FALSE)  &amp;  INDEX(entities[[#This Row],[hidden]:[icon]],entities[[#This Row],[2]])
)</f>
        <v/>
      </c>
      <c r="R149" s="6" t="str">
        <f ca="1">IF(entities[[#This Row],[3]]="","",
VLOOKUP(entities[[#This Row],[3]],Lookup!$B$5:$D$9,3,FALSE)  &amp;  INDEX(entities[[#This Row],[hidden]:[icon]],entities[[#This Row],[3]])
)</f>
        <v/>
      </c>
      <c r="S149" s="6" t="str">
        <f ca="1">IF(entities[[#This Row],[4]]="","",
VLOOKUP(entities[[#This Row],[4]],Lookup!$B$5:$D$9,3,FALSE)  &amp;  INDEX(entities[[#This Row],[hidden]:[icon]],entities[[#This Row],[4]])
)</f>
        <v/>
      </c>
      <c r="T149" t="str">
        <f t="array" ref="T149">IFERROR(INDEX(cards[object_id],SMALL(IF(cards[[1]:[25]]=entities[[#This Row],[entity_id]],ROW(cards[])-7,99^99),1)),"")</f>
        <v/>
      </c>
      <c r="U149" t="str">
        <f>IF(entities[[#This Row],[In HA?]]&lt;&gt;"ok",  "Not in Home Assistant",
IF(entities[[#This Row],[hidden]]="true",  "Hidden",
IF(entities[[#This Row],[Card]]&lt;&gt;"",
INDEX(cards[name],MATCH(entities[[#This Row],[Card]],cards[object_id],0)),  "Badge / automatic card")))</f>
        <v>Hidden</v>
      </c>
      <c r="V149" t="str">
        <f>IF(entities[[#This Row],[Card]]&lt;&gt;"","group."&amp;entities[[#This Row],[Card]],"")</f>
        <v/>
      </c>
      <c r="W149" t="str">
        <f t="array" ref="W149">IFERROR(IF(entities[[#This Row],[Assigned Card]]="","",INDEX(views[object_id],SMALL(IF(views[[1]:[25]]=entities[[#This Row],[Assigned Card]],ROW(views[])-7,99^99),1))),"")</f>
        <v/>
      </c>
      <c r="X149" t="str">
        <f t="array" ref="X149">IFERROR(INDEX(views[object_id],SMALL(IF(views[[1]:[25]]=entities[[#This Row],[entity_id]],ROW(views[])-7,99^99),1)),"")</f>
        <v/>
      </c>
      <c r="Y149" t="str">
        <f>IF(entities[[#This Row],[View from card]]&lt;&gt;"",entities[[#This Row],[View from card]],entities[[#This Row],[View from entitiy]])</f>
        <v/>
      </c>
      <c r="Z149" t="str">
        <f>IF(entities[[#This Row],[In HA?]]&lt;&gt;"ok",  "Not in Home Assistant",
IF(entities[[#This Row],[hidden]]="true",  "Hidden",
IF(entities[[#This Row],[View]]&lt;&gt;"",
INDEX(views[name],MATCH(entities[[#This Row],[View]],views[object_id],0)),  "Default view")))</f>
        <v>Hidden</v>
      </c>
      <c r="AA149" t="str">
        <f>IF(entities[[#This Row],[View]]&lt;&gt;"","group."&amp;entities[[#This Row],[View]],"")</f>
        <v/>
      </c>
      <c r="AB149" s="6" t="str">
        <f>IF(COUNTIF(Table4[Entity],entities[[#This Row],[entity_id]]),"ok","Missing from States tab")</f>
        <v>ok</v>
      </c>
      <c r="AE149" s="14"/>
      <c r="AF149"/>
    </row>
    <row r="150" spans="2:32" x14ac:dyDescent="0.45">
      <c r="B150" t="s">
        <v>256</v>
      </c>
      <c r="C150" t="s">
        <v>280</v>
      </c>
      <c r="I150" t="str">
        <f>entities[[#This Row],[domain]]&amp;"."&amp;entities[[#This Row],[object_id]]</f>
        <v>sensor.disk_use_home</v>
      </c>
      <c r="J150">
        <f>5-COUNTBLANK(entities[[#This Row],[hidden]:[icon]])</f>
        <v>0</v>
      </c>
      <c r="K150" t="str">
        <f>IF(entities[[#This Row],[Custom Attributes]]=0,"",
COUNTIFS(entities[Custom Attributes],"&gt;0",entities[entity_id],"&lt;="&amp;entities[[#This Row],[entity_id]]))</f>
        <v/>
      </c>
      <c r="L150" s="6" t="str">
        <f t="array" aca="1" ref="L150" ca="1">IF(entities[[#This Row],[Custom Attributes]]&lt;1,"",
MATCH(FALSE, ISBLANK(OFFSET(entities[[#This Row],[hidden]],0,0,1,5)), 0))</f>
        <v/>
      </c>
      <c r="M150" s="6" t="str">
        <f t="array" aca="1" ref="M150" ca="1">IF(entities[[#This Row],[Custom Attributes]]&lt;2,"",
IF(entities[[#This Row],[1]]=5-1,5,
MATCH(FALSE, ISBLANK(OFFSET(entities[[#This Row],[hidden]],0,entities[[#This Row],[1]],1,5-entities[[#This Row],[1]])), 0)+entities[[#This Row],[1]]))</f>
        <v/>
      </c>
      <c r="N150" s="6" t="str">
        <f t="array" aca="1" ref="N150" ca="1">IF(entities[[#This Row],[Custom Attributes]]&lt;3,"",
IF(entities[[#This Row],[2]]=5-1,5,
MATCH(FALSE, ISBLANK(OFFSET(entities[[#This Row],[hidden]],0,entities[[#This Row],[2]],1,5-entities[[#This Row],[2]])), 0)+entities[[#This Row],[2]]))</f>
        <v/>
      </c>
      <c r="O150" s="6" t="str">
        <f t="array" aca="1" ref="O150" ca="1">IF(entities[[#This Row],[Custom Attributes]]&lt;4,"",
IF(entities[[#This Row],[3]]=5-1,5,
MATCH(FALSE, ISBLANK(OFFSET(entities[[#This Row],[hidden]],0,entities[[#This Row],[3]],1,5-entities[[#This Row],[3]])), 0)+entities[[#This Row],[3]]))</f>
        <v/>
      </c>
      <c r="P150" s="14" t="str">
        <f ca="1">IF(entities[[#This Row],[1]]="","",
VLOOKUP(entities[[#This Row],[1]],Lookup!$B$5:$D$9,3,FALSE)  &amp;  INDEX(entities[[#This Row],[hidden]:[icon]],entities[[#This Row],[1]])
)</f>
        <v/>
      </c>
      <c r="Q150" s="6" t="str">
        <f ca="1">IF(entities[[#This Row],[2]]="","",
VLOOKUP(entities[[#This Row],[2]],Lookup!$B$5:$D$9,3,FALSE)  &amp;  INDEX(entities[[#This Row],[hidden]:[icon]],entities[[#This Row],[2]])
)</f>
        <v/>
      </c>
      <c r="R150" s="6" t="str">
        <f ca="1">IF(entities[[#This Row],[3]]="","",
VLOOKUP(entities[[#This Row],[3]],Lookup!$B$5:$D$9,3,FALSE)  &amp;  INDEX(entities[[#This Row],[hidden]:[icon]],entities[[#This Row],[3]])
)</f>
        <v/>
      </c>
      <c r="S150" s="6" t="str">
        <f ca="1">IF(entities[[#This Row],[4]]="","",
VLOOKUP(entities[[#This Row],[4]],Lookup!$B$5:$D$9,3,FALSE)  &amp;  INDEX(entities[[#This Row],[hidden]:[icon]],entities[[#This Row],[4]])
)</f>
        <v/>
      </c>
      <c r="T150" t="str">
        <f t="array" ref="T150">IFERROR(INDEX(cards[object_id],SMALL(IF(cards[[1]:[25]]=entities[[#This Row],[entity_id]],ROW(cards[])-7,99^99),1)),"")</f>
        <v>host_device</v>
      </c>
      <c r="U150" t="str">
        <f>IF(entities[[#This Row],[In HA?]]&lt;&gt;"ok",  "Not in Home Assistant",
IF(entities[[#This Row],[hidden]]="true",  "Hidden",
IF(entities[[#This Row],[Card]]&lt;&gt;"",
INDEX(cards[name],MATCH(entities[[#This Row],[Card]],cards[object_id],0)),  "Badge / automatic card")))</f>
        <v>HA Host</v>
      </c>
      <c r="V150" t="str">
        <f>IF(entities[[#This Row],[Card]]&lt;&gt;"","group."&amp;entities[[#This Row],[Card]],"")</f>
        <v>group.host_device</v>
      </c>
      <c r="W150" t="str">
        <f t="array" ref="W150">IFERROR(IF(entities[[#This Row],[Assigned Card]]="","",INDEX(views[object_id],SMALL(IF(views[[1]:[25]]=entities[[#This Row],[Assigned Card]],ROW(views[])-7,99^99),1))),"")</f>
        <v>network_view</v>
      </c>
      <c r="X150" t="str">
        <f t="array" ref="X150">IFERROR(INDEX(views[object_id],SMALL(IF(views[[1]:[25]]=entities[[#This Row],[entity_id]],ROW(views[])-7,99^99),1)),"")</f>
        <v/>
      </c>
      <c r="Y150" t="str">
        <f>IF(entities[[#This Row],[View from card]]&lt;&gt;"",entities[[#This Row],[View from card]],entities[[#This Row],[View from entitiy]])</f>
        <v>network_view</v>
      </c>
      <c r="Z150" t="str">
        <f>IF(entities[[#This Row],[In HA?]]&lt;&gt;"ok",  "Not in Home Assistant",
IF(entities[[#This Row],[hidden]]="true",  "Hidden",
IF(entities[[#This Row],[View]]&lt;&gt;"",
INDEX(views[name],MATCH(entities[[#This Row],[View]],views[object_id],0)),  "Default view")))</f>
        <v>Network</v>
      </c>
      <c r="AA150" t="str">
        <f>IF(entities[[#This Row],[View]]&lt;&gt;"","group."&amp;entities[[#This Row],[View]],"")</f>
        <v>group.network_view</v>
      </c>
      <c r="AB150" s="6" t="str">
        <f>IF(COUNTIF(Table4[Entity],entities[[#This Row],[entity_id]]),"ok","Missing from States tab")</f>
        <v>ok</v>
      </c>
      <c r="AE150" s="14"/>
      <c r="AF150"/>
    </row>
    <row r="151" spans="2:32" x14ac:dyDescent="0.45">
      <c r="B151" t="s">
        <v>256</v>
      </c>
      <c r="C151" t="s">
        <v>782</v>
      </c>
      <c r="E151" t="s">
        <v>319</v>
      </c>
      <c r="H151" t="s">
        <v>318</v>
      </c>
      <c r="I151" t="str">
        <f>entities[[#This Row],[domain]]&amp;"."&amp;entities[[#This Row],[object_id]]</f>
        <v>sensor.humidity_sensor_14</v>
      </c>
      <c r="J151">
        <f>5-COUNTBLANK(entities[[#This Row],[hidden]:[icon]])</f>
        <v>2</v>
      </c>
      <c r="K151">
        <f>IF(entities[[#This Row],[Custom Attributes]]=0,"",
COUNTIFS(entities[Custom Attributes],"&gt;0",entities[entity_id],"&lt;="&amp;entities[[#This Row],[entity_id]]))</f>
        <v>87</v>
      </c>
      <c r="L151" s="6">
        <f t="array" aca="1" ref="L151" ca="1">IF(entities[[#This Row],[Custom Attributes]]&lt;1,"",
MATCH(FALSE, ISBLANK(OFFSET(entities[[#This Row],[hidden]],0,0,1,5)), 0))</f>
        <v>2</v>
      </c>
      <c r="M151" s="6">
        <f t="array" aca="1" ref="M151" ca="1">IF(entities[[#This Row],[Custom Attributes]]&lt;2,"",
IF(entities[[#This Row],[1]]=5-1,5,
MATCH(FALSE, ISBLANK(OFFSET(entities[[#This Row],[hidden]],0,entities[[#This Row],[1]],1,5-entities[[#This Row],[1]])), 0)+entities[[#This Row],[1]]))</f>
        <v>5</v>
      </c>
      <c r="N151" s="6" t="str">
        <f t="array" aca="1" ref="N151" ca="1">IF(entities[[#This Row],[Custom Attributes]]&lt;3,"",
IF(entities[[#This Row],[2]]=5-1,5,
MATCH(FALSE, ISBLANK(OFFSET(entities[[#This Row],[hidden]],0,entities[[#This Row],[2]],1,5-entities[[#This Row],[2]])), 0)+entities[[#This Row],[2]]))</f>
        <v/>
      </c>
      <c r="O151" s="6" t="str">
        <f t="array" aca="1" ref="O151" ca="1">IF(entities[[#This Row],[Custom Attributes]]&lt;4,"",
IF(entities[[#This Row],[3]]=5-1,5,
MATCH(FALSE, ISBLANK(OFFSET(entities[[#This Row],[hidden]],0,entities[[#This Row],[3]],1,5-entities[[#This Row],[3]])), 0)+entities[[#This Row],[3]]))</f>
        <v/>
      </c>
      <c r="P151" s="14" t="str">
        <f ca="1">IF(entities[[#This Row],[1]]="","",
VLOOKUP(entities[[#This Row],[1]],Lookup!$B$5:$D$9,3,FALSE)  &amp;  INDEX(entities[[#This Row],[hidden]:[icon]],entities[[#This Row],[1]])
)</f>
        <v xml:space="preserve">  friendly_name: Humidity</v>
      </c>
      <c r="Q151" s="6" t="str">
        <f ca="1">IF(entities[[#This Row],[2]]="","",
VLOOKUP(entities[[#This Row],[2]],Lookup!$B$5:$D$9,3,FALSE)  &amp;  INDEX(entities[[#This Row],[hidden]:[icon]],entities[[#This Row],[2]])
)</f>
        <v xml:space="preserve">  icon: mdi:water-percent</v>
      </c>
      <c r="R151" s="6" t="str">
        <f ca="1">IF(entities[[#This Row],[3]]="","",
VLOOKUP(entities[[#This Row],[3]],Lookup!$B$5:$D$9,3,FALSE)  &amp;  INDEX(entities[[#This Row],[hidden]:[icon]],entities[[#This Row],[3]])
)</f>
        <v/>
      </c>
      <c r="S151" s="6" t="str">
        <f ca="1">IF(entities[[#This Row],[4]]="","",
VLOOKUP(entities[[#This Row],[4]],Lookup!$B$5:$D$9,3,FALSE)  &amp;  INDEX(entities[[#This Row],[hidden]:[icon]],entities[[#This Row],[4]])
)</f>
        <v/>
      </c>
      <c r="T151" t="str">
        <f t="array" ref="T151">IFERROR(INDEX(cards[object_id],SMALL(IF(cards[[1]:[25]]=entities[[#This Row],[entity_id]],ROW(cards[])-7,99^99),1)),"")</f>
        <v>environment_living_room</v>
      </c>
      <c r="U151" t="str">
        <f>IF(entities[[#This Row],[In HA?]]&lt;&gt;"ok",  "Not in Home Assistant",
IF(entities[[#This Row],[hidden]]="true",  "Hidden",
IF(entities[[#This Row],[Card]]&lt;&gt;"",
INDEX(cards[name],MATCH(entities[[#This Row],[Card]],cards[object_id],0)),  "Badge / automatic card")))</f>
        <v>Environment || Living Room</v>
      </c>
      <c r="V151" t="str">
        <f>IF(entities[[#This Row],[Card]]&lt;&gt;"","group."&amp;entities[[#This Row],[Card]],"")</f>
        <v>group.environment_living_room</v>
      </c>
      <c r="W151" t="str">
        <f t="array" ref="W151">IFERROR(IF(entities[[#This Row],[Assigned Card]]="","",INDEX(views[object_id],SMALL(IF(views[[1]:[25]]=entities[[#This Row],[Assigned Card]],ROW(views[])-7,99^99),1))),"")</f>
        <v>environment_view</v>
      </c>
      <c r="X151" t="str">
        <f t="array" ref="X151">IFERROR(INDEX(views[object_id],SMALL(IF(views[[1]:[25]]=entities[[#This Row],[entity_id]],ROW(views[])-7,99^99),1)),"")</f>
        <v/>
      </c>
      <c r="Y151" t="str">
        <f>IF(entities[[#This Row],[View from card]]&lt;&gt;"",entities[[#This Row],[View from card]],entities[[#This Row],[View from entitiy]])</f>
        <v>environment_view</v>
      </c>
      <c r="Z151" t="str">
        <f>IF(entities[[#This Row],[In HA?]]&lt;&gt;"ok",  "Not in Home Assistant",
IF(entities[[#This Row],[hidden]]="true",  "Hidden",
IF(entities[[#This Row],[View]]&lt;&gt;"",
INDEX(views[name],MATCH(entities[[#This Row],[View]],views[object_id],0)),  "Default view")))</f>
        <v>Environment</v>
      </c>
      <c r="AA151" t="str">
        <f>IF(entities[[#This Row],[View]]&lt;&gt;"","group."&amp;entities[[#This Row],[View]],"")</f>
        <v>group.environment_view</v>
      </c>
      <c r="AB151" s="6" t="str">
        <f>IF(COUNTIF(Table4[Entity],entities[[#This Row],[entity_id]]),"ok","Missing from States tab")</f>
        <v>ok</v>
      </c>
      <c r="AE151" s="14"/>
      <c r="AF151"/>
    </row>
    <row r="152" spans="2:32" x14ac:dyDescent="0.45">
      <c r="B152" t="s">
        <v>256</v>
      </c>
      <c r="C152" t="s">
        <v>281</v>
      </c>
      <c r="I152" t="str">
        <f>entities[[#This Row],[domain]]&amp;"."&amp;entities[[#This Row],[object_id]]</f>
        <v>sensor.last_boot</v>
      </c>
      <c r="J152">
        <f>5-COUNTBLANK(entities[[#This Row],[hidden]:[icon]])</f>
        <v>0</v>
      </c>
      <c r="K152" t="str">
        <f>IF(entities[[#This Row],[Custom Attributes]]=0,"",
COUNTIFS(entities[Custom Attributes],"&gt;0",entities[entity_id],"&lt;="&amp;entities[[#This Row],[entity_id]]))</f>
        <v/>
      </c>
      <c r="L152" s="6" t="str">
        <f t="array" aca="1" ref="L152" ca="1">IF(entities[[#This Row],[Custom Attributes]]&lt;1,"",
MATCH(FALSE, ISBLANK(OFFSET(entities[[#This Row],[hidden]],0,0,1,5)), 0))</f>
        <v/>
      </c>
      <c r="M152" s="6" t="str">
        <f t="array" aca="1" ref="M152" ca="1">IF(entities[[#This Row],[Custom Attributes]]&lt;2,"",
IF(entities[[#This Row],[1]]=5-1,5,
MATCH(FALSE, ISBLANK(OFFSET(entities[[#This Row],[hidden]],0,entities[[#This Row],[1]],1,5-entities[[#This Row],[1]])), 0)+entities[[#This Row],[1]]))</f>
        <v/>
      </c>
      <c r="N152" s="6" t="str">
        <f t="array" aca="1" ref="N152" ca="1">IF(entities[[#This Row],[Custom Attributes]]&lt;3,"",
IF(entities[[#This Row],[2]]=5-1,5,
MATCH(FALSE, ISBLANK(OFFSET(entities[[#This Row],[hidden]],0,entities[[#This Row],[2]],1,5-entities[[#This Row],[2]])), 0)+entities[[#This Row],[2]]))</f>
        <v/>
      </c>
      <c r="O152" s="6" t="str">
        <f t="array" aca="1" ref="O152" ca="1">IF(entities[[#This Row],[Custom Attributes]]&lt;4,"",
IF(entities[[#This Row],[3]]=5-1,5,
MATCH(FALSE, ISBLANK(OFFSET(entities[[#This Row],[hidden]],0,entities[[#This Row],[3]],1,5-entities[[#This Row],[3]])), 0)+entities[[#This Row],[3]]))</f>
        <v/>
      </c>
      <c r="P152" s="14" t="str">
        <f ca="1">IF(entities[[#This Row],[1]]="","",
VLOOKUP(entities[[#This Row],[1]],Lookup!$B$5:$D$9,3,FALSE)  &amp;  INDEX(entities[[#This Row],[hidden]:[icon]],entities[[#This Row],[1]])
)</f>
        <v/>
      </c>
      <c r="Q152" s="6" t="str">
        <f ca="1">IF(entities[[#This Row],[2]]="","",
VLOOKUP(entities[[#This Row],[2]],Lookup!$B$5:$D$9,3,FALSE)  &amp;  INDEX(entities[[#This Row],[hidden]:[icon]],entities[[#This Row],[2]])
)</f>
        <v/>
      </c>
      <c r="R152" s="6" t="str">
        <f ca="1">IF(entities[[#This Row],[3]]="","",
VLOOKUP(entities[[#This Row],[3]],Lookup!$B$5:$D$9,3,FALSE)  &amp;  INDEX(entities[[#This Row],[hidden]:[icon]],entities[[#This Row],[3]])
)</f>
        <v/>
      </c>
      <c r="S152" s="6" t="str">
        <f ca="1">IF(entities[[#This Row],[4]]="","",
VLOOKUP(entities[[#This Row],[4]],Lookup!$B$5:$D$9,3,FALSE)  &amp;  INDEX(entities[[#This Row],[hidden]:[icon]],entities[[#This Row],[4]])
)</f>
        <v/>
      </c>
      <c r="T152" t="str">
        <f t="array" ref="T152">IFERROR(INDEX(cards[object_id],SMALL(IF(cards[[1]:[25]]=entities[[#This Row],[entity_id]],ROW(cards[])-7,99^99),1)),"")</f>
        <v>host_device</v>
      </c>
      <c r="U152" t="str">
        <f>IF(entities[[#This Row],[In HA?]]&lt;&gt;"ok",  "Not in Home Assistant",
IF(entities[[#This Row],[hidden]]="true",  "Hidden",
IF(entities[[#This Row],[Card]]&lt;&gt;"",
INDEX(cards[name],MATCH(entities[[#This Row],[Card]],cards[object_id],0)),  "Badge / automatic card")))</f>
        <v>HA Host</v>
      </c>
      <c r="V152" t="str">
        <f>IF(entities[[#This Row],[Card]]&lt;&gt;"","group."&amp;entities[[#This Row],[Card]],"")</f>
        <v>group.host_device</v>
      </c>
      <c r="W152" t="str">
        <f t="array" ref="W152">IFERROR(IF(entities[[#This Row],[Assigned Card]]="","",INDEX(views[object_id],SMALL(IF(views[[1]:[25]]=entities[[#This Row],[Assigned Card]],ROW(views[])-7,99^99),1))),"")</f>
        <v>network_view</v>
      </c>
      <c r="X152" t="str">
        <f t="array" ref="X152">IFERROR(INDEX(views[object_id],SMALL(IF(views[[1]:[25]]=entities[[#This Row],[entity_id]],ROW(views[])-7,99^99),1)),"")</f>
        <v/>
      </c>
      <c r="Y152" t="str">
        <f>IF(entities[[#This Row],[View from card]]&lt;&gt;"",entities[[#This Row],[View from card]],entities[[#This Row],[View from entitiy]])</f>
        <v>network_view</v>
      </c>
      <c r="Z152" t="str">
        <f>IF(entities[[#This Row],[In HA?]]&lt;&gt;"ok",  "Not in Home Assistant",
IF(entities[[#This Row],[hidden]]="true",  "Hidden",
IF(entities[[#This Row],[View]]&lt;&gt;"",
INDEX(views[name],MATCH(entities[[#This Row],[View]],views[object_id],0)),  "Default view")))</f>
        <v>Network</v>
      </c>
      <c r="AA152" t="str">
        <f>IF(entities[[#This Row],[View]]&lt;&gt;"","group."&amp;entities[[#This Row],[View]],"")</f>
        <v>group.network_view</v>
      </c>
      <c r="AB152" s="6" t="str">
        <f>IF(COUNTIF(Table4[Entity],entities[[#This Row],[entity_id]]),"ok","Missing from States tab")</f>
        <v>ok</v>
      </c>
      <c r="AE152" s="14"/>
      <c r="AF152"/>
    </row>
    <row r="153" spans="2:32" x14ac:dyDescent="0.45">
      <c r="B153" t="s">
        <v>256</v>
      </c>
      <c r="C153" t="s">
        <v>783</v>
      </c>
      <c r="E153" t="s">
        <v>316</v>
      </c>
      <c r="H153" t="s">
        <v>317</v>
      </c>
      <c r="I153" t="str">
        <f>entities[[#This Row],[domain]]&amp;"."&amp;entities[[#This Row],[object_id]]</f>
        <v>sensor.light_sensor_13</v>
      </c>
      <c r="J153">
        <f>5-COUNTBLANK(entities[[#This Row],[hidden]:[icon]])</f>
        <v>2</v>
      </c>
      <c r="K153">
        <f>IF(entities[[#This Row],[Custom Attributes]]=0,"",
COUNTIFS(entities[Custom Attributes],"&gt;0",entities[entity_id],"&lt;="&amp;entities[[#This Row],[entity_id]]))</f>
        <v>88</v>
      </c>
      <c r="L153" s="6">
        <f t="array" aca="1" ref="L153" ca="1">IF(entities[[#This Row],[Custom Attributes]]&lt;1,"",
MATCH(FALSE, ISBLANK(OFFSET(entities[[#This Row],[hidden]],0,0,1,5)), 0))</f>
        <v>2</v>
      </c>
      <c r="M153" s="6">
        <f t="array" aca="1" ref="M153" ca="1">IF(entities[[#This Row],[Custom Attributes]]&lt;2,"",
IF(entities[[#This Row],[1]]=5-1,5,
MATCH(FALSE, ISBLANK(OFFSET(entities[[#This Row],[hidden]],0,entities[[#This Row],[1]],1,5-entities[[#This Row],[1]])), 0)+entities[[#This Row],[1]]))</f>
        <v>5</v>
      </c>
      <c r="N153" s="6" t="str">
        <f t="array" aca="1" ref="N153" ca="1">IF(entities[[#This Row],[Custom Attributes]]&lt;3,"",
IF(entities[[#This Row],[2]]=5-1,5,
MATCH(FALSE, ISBLANK(OFFSET(entities[[#This Row],[hidden]],0,entities[[#This Row],[2]],1,5-entities[[#This Row],[2]])), 0)+entities[[#This Row],[2]]))</f>
        <v/>
      </c>
      <c r="O153" s="6" t="str">
        <f t="array" aca="1" ref="O153" ca="1">IF(entities[[#This Row],[Custom Attributes]]&lt;4,"",
IF(entities[[#This Row],[3]]=5-1,5,
MATCH(FALSE, ISBLANK(OFFSET(entities[[#This Row],[hidden]],0,entities[[#This Row],[3]],1,5-entities[[#This Row],[3]])), 0)+entities[[#This Row],[3]]))</f>
        <v/>
      </c>
      <c r="P153" s="14" t="str">
        <f ca="1">IF(entities[[#This Row],[1]]="","",
VLOOKUP(entities[[#This Row],[1]],Lookup!$B$5:$D$9,3,FALSE)  &amp;  INDEX(entities[[#This Row],[hidden]:[icon]],entities[[#This Row],[1]])
)</f>
        <v xml:space="preserve">  friendly_name: Light</v>
      </c>
      <c r="Q153" s="6" t="str">
        <f ca="1">IF(entities[[#This Row],[2]]="","",
VLOOKUP(entities[[#This Row],[2]],Lookup!$B$5:$D$9,3,FALSE)  &amp;  INDEX(entities[[#This Row],[hidden]:[icon]],entities[[#This Row],[2]])
)</f>
        <v xml:space="preserve">  icon: mdi:candle</v>
      </c>
      <c r="R153" s="6" t="str">
        <f ca="1">IF(entities[[#This Row],[3]]="","",
VLOOKUP(entities[[#This Row],[3]],Lookup!$B$5:$D$9,3,FALSE)  &amp;  INDEX(entities[[#This Row],[hidden]:[icon]],entities[[#This Row],[3]])
)</f>
        <v/>
      </c>
      <c r="S153" s="6" t="str">
        <f ca="1">IF(entities[[#This Row],[4]]="","",
VLOOKUP(entities[[#This Row],[4]],Lookup!$B$5:$D$9,3,FALSE)  &amp;  INDEX(entities[[#This Row],[hidden]:[icon]],entities[[#This Row],[4]])
)</f>
        <v/>
      </c>
      <c r="T153" t="str">
        <f t="array" ref="T153">IFERROR(INDEX(cards[object_id],SMALL(IF(cards[[1]:[25]]=entities[[#This Row],[entity_id]],ROW(cards[])-7,99^99),1)),"")</f>
        <v>environment_living_room</v>
      </c>
      <c r="U153" t="str">
        <f>IF(entities[[#This Row],[In HA?]]&lt;&gt;"ok",  "Not in Home Assistant",
IF(entities[[#This Row],[hidden]]="true",  "Hidden",
IF(entities[[#This Row],[Card]]&lt;&gt;"",
INDEX(cards[name],MATCH(entities[[#This Row],[Card]],cards[object_id],0)),  "Badge / automatic card")))</f>
        <v>Environment || Living Room</v>
      </c>
      <c r="V153" t="str">
        <f>IF(entities[[#This Row],[Card]]&lt;&gt;"","group."&amp;entities[[#This Row],[Card]],"")</f>
        <v>group.environment_living_room</v>
      </c>
      <c r="W153" t="str">
        <f t="array" ref="W153">IFERROR(IF(entities[[#This Row],[Assigned Card]]="","",INDEX(views[object_id],SMALL(IF(views[[1]:[25]]=entities[[#This Row],[Assigned Card]],ROW(views[])-7,99^99),1))),"")</f>
        <v>environment_view</v>
      </c>
      <c r="X153" t="str">
        <f t="array" ref="X153">IFERROR(INDEX(views[object_id],SMALL(IF(views[[1]:[25]]=entities[[#This Row],[entity_id]],ROW(views[])-7,99^99),1)),"")</f>
        <v/>
      </c>
      <c r="Y153" t="str">
        <f>IF(entities[[#This Row],[View from card]]&lt;&gt;"",entities[[#This Row],[View from card]],entities[[#This Row],[View from entitiy]])</f>
        <v>environment_view</v>
      </c>
      <c r="Z153" t="str">
        <f>IF(entities[[#This Row],[In HA?]]&lt;&gt;"ok",  "Not in Home Assistant",
IF(entities[[#This Row],[hidden]]="true",  "Hidden",
IF(entities[[#This Row],[View]]&lt;&gt;"",
INDEX(views[name],MATCH(entities[[#This Row],[View]],views[object_id],0)),  "Default view")))</f>
        <v>Environment</v>
      </c>
      <c r="AA153" t="str">
        <f>IF(entities[[#This Row],[View]]&lt;&gt;"","group."&amp;entities[[#This Row],[View]],"")</f>
        <v>group.environment_view</v>
      </c>
      <c r="AB153" s="6" t="str">
        <f>IF(COUNTIF(Table4[Entity],entities[[#This Row],[entity_id]]),"ok","Missing from States tab")</f>
        <v>ok</v>
      </c>
      <c r="AE153" s="14"/>
      <c r="AF153"/>
    </row>
    <row r="154" spans="2:32" x14ac:dyDescent="0.45">
      <c r="B154" t="s">
        <v>256</v>
      </c>
      <c r="C154" t="s">
        <v>282</v>
      </c>
      <c r="H154" t="s">
        <v>320</v>
      </c>
      <c r="I154" t="str">
        <f>entities[[#This Row],[domain]]&amp;"."&amp;entities[[#This Row],[object_id]]</f>
        <v>sensor.ram_free</v>
      </c>
      <c r="J154">
        <f>5-COUNTBLANK(entities[[#This Row],[hidden]:[icon]])</f>
        <v>1</v>
      </c>
      <c r="K154">
        <f>IF(entities[[#This Row],[Custom Attributes]]=0,"",
COUNTIFS(entities[Custom Attributes],"&gt;0",entities[entity_id],"&lt;="&amp;entities[[#This Row],[entity_id]]))</f>
        <v>89</v>
      </c>
      <c r="L154" s="6">
        <f t="array" aca="1" ref="L154" ca="1">IF(entities[[#This Row],[Custom Attributes]]&lt;1,"",
MATCH(FALSE, ISBLANK(OFFSET(entities[[#This Row],[hidden]],0,0,1,5)), 0))</f>
        <v>5</v>
      </c>
      <c r="M154" s="6" t="str">
        <f t="array" aca="1" ref="M154" ca="1">IF(entities[[#This Row],[Custom Attributes]]&lt;2,"",
IF(entities[[#This Row],[1]]=5-1,5,
MATCH(FALSE, ISBLANK(OFFSET(entities[[#This Row],[hidden]],0,entities[[#This Row],[1]],1,5-entities[[#This Row],[1]])), 0)+entities[[#This Row],[1]]))</f>
        <v/>
      </c>
      <c r="N154" s="6" t="str">
        <f t="array" aca="1" ref="N154" ca="1">IF(entities[[#This Row],[Custom Attributes]]&lt;3,"",
IF(entities[[#This Row],[2]]=5-1,5,
MATCH(FALSE, ISBLANK(OFFSET(entities[[#This Row],[hidden]],0,entities[[#This Row],[2]],1,5-entities[[#This Row],[2]])), 0)+entities[[#This Row],[2]]))</f>
        <v/>
      </c>
      <c r="O154" s="6" t="str">
        <f t="array" aca="1" ref="O154" ca="1">IF(entities[[#This Row],[Custom Attributes]]&lt;4,"",
IF(entities[[#This Row],[3]]=5-1,5,
MATCH(FALSE, ISBLANK(OFFSET(entities[[#This Row],[hidden]],0,entities[[#This Row],[3]],1,5-entities[[#This Row],[3]])), 0)+entities[[#This Row],[3]]))</f>
        <v/>
      </c>
      <c r="P154" s="14" t="str">
        <f ca="1">IF(entities[[#This Row],[1]]="","",
VLOOKUP(entities[[#This Row],[1]],Lookup!$B$5:$D$9,3,FALSE)  &amp;  INDEX(entities[[#This Row],[hidden]:[icon]],entities[[#This Row],[1]])
)</f>
        <v xml:space="preserve">  icon: mdi:raspberrypi</v>
      </c>
      <c r="Q154" s="6" t="str">
        <f ca="1">IF(entities[[#This Row],[2]]="","",
VLOOKUP(entities[[#This Row],[2]],Lookup!$B$5:$D$9,3,FALSE)  &amp;  INDEX(entities[[#This Row],[hidden]:[icon]],entities[[#This Row],[2]])
)</f>
        <v/>
      </c>
      <c r="R154" s="6" t="str">
        <f ca="1">IF(entities[[#This Row],[3]]="","",
VLOOKUP(entities[[#This Row],[3]],Lookup!$B$5:$D$9,3,FALSE)  &amp;  INDEX(entities[[#This Row],[hidden]:[icon]],entities[[#This Row],[3]])
)</f>
        <v/>
      </c>
      <c r="S154" s="6" t="str">
        <f ca="1">IF(entities[[#This Row],[4]]="","",
VLOOKUP(entities[[#This Row],[4]],Lookup!$B$5:$D$9,3,FALSE)  &amp;  INDEX(entities[[#This Row],[hidden]:[icon]],entities[[#This Row],[4]])
)</f>
        <v/>
      </c>
      <c r="T154" t="str">
        <f t="array" ref="T154">IFERROR(INDEX(cards[object_id],SMALL(IF(cards[[1]:[25]]=entities[[#This Row],[entity_id]],ROW(cards[])-7,99^99),1)),"")</f>
        <v>host_device</v>
      </c>
      <c r="U154" t="str">
        <f>IF(entities[[#This Row],[In HA?]]&lt;&gt;"ok",  "Not in Home Assistant",
IF(entities[[#This Row],[hidden]]="true",  "Hidden",
IF(entities[[#This Row],[Card]]&lt;&gt;"",
INDEX(cards[name],MATCH(entities[[#This Row],[Card]],cards[object_id],0)),  "Badge / automatic card")))</f>
        <v>HA Host</v>
      </c>
      <c r="V154" t="str">
        <f>IF(entities[[#This Row],[Card]]&lt;&gt;"","group."&amp;entities[[#This Row],[Card]],"")</f>
        <v>group.host_device</v>
      </c>
      <c r="W154" t="str">
        <f t="array" ref="W154">IFERROR(IF(entities[[#This Row],[Assigned Card]]="","",INDEX(views[object_id],SMALL(IF(views[[1]:[25]]=entities[[#This Row],[Assigned Card]],ROW(views[])-7,99^99),1))),"")</f>
        <v>network_view</v>
      </c>
      <c r="X154" t="str">
        <f t="array" ref="X154">IFERROR(INDEX(views[object_id],SMALL(IF(views[[1]:[25]]=entities[[#This Row],[entity_id]],ROW(views[])-7,99^99),1)),"")</f>
        <v/>
      </c>
      <c r="Y154" t="str">
        <f>IF(entities[[#This Row],[View from card]]&lt;&gt;"",entities[[#This Row],[View from card]],entities[[#This Row],[View from entitiy]])</f>
        <v>network_view</v>
      </c>
      <c r="Z154" t="str">
        <f>IF(entities[[#This Row],[In HA?]]&lt;&gt;"ok",  "Not in Home Assistant",
IF(entities[[#This Row],[hidden]]="true",  "Hidden",
IF(entities[[#This Row],[View]]&lt;&gt;"",
INDEX(views[name],MATCH(entities[[#This Row],[View]],views[object_id],0)),  "Default view")))</f>
        <v>Network</v>
      </c>
      <c r="AA154" t="str">
        <f>IF(entities[[#This Row],[View]]&lt;&gt;"","group."&amp;entities[[#This Row],[View]],"")</f>
        <v>group.network_view</v>
      </c>
      <c r="AB154" s="6" t="str">
        <f>IF(COUNTIF(Table4[Entity],entities[[#This Row],[entity_id]]),"ok","Missing from States tab")</f>
        <v>ok</v>
      </c>
      <c r="AE154" s="14"/>
      <c r="AF154"/>
    </row>
    <row r="155" spans="2:32" x14ac:dyDescent="0.45">
      <c r="B155" t="s">
        <v>256</v>
      </c>
      <c r="C155" t="s">
        <v>283</v>
      </c>
      <c r="H155" t="s">
        <v>321</v>
      </c>
      <c r="I155" t="str">
        <f>entities[[#This Row],[domain]]&amp;"."&amp;entities[[#This Row],[object_id]]</f>
        <v>sensor.speedtest_download</v>
      </c>
      <c r="J155">
        <f>5-COUNTBLANK(entities[[#This Row],[hidden]:[icon]])</f>
        <v>1</v>
      </c>
      <c r="K155">
        <f>IF(entities[[#This Row],[Custom Attributes]]=0,"",
COUNTIFS(entities[Custom Attributes],"&gt;0",entities[entity_id],"&lt;="&amp;entities[[#This Row],[entity_id]]))</f>
        <v>90</v>
      </c>
      <c r="L155" s="6">
        <f t="array" aca="1" ref="L155" ca="1">IF(entities[[#This Row],[Custom Attributes]]&lt;1,"",
MATCH(FALSE, ISBLANK(OFFSET(entities[[#This Row],[hidden]],0,0,1,5)), 0))</f>
        <v>5</v>
      </c>
      <c r="M155" s="6" t="str">
        <f t="array" aca="1" ref="M155" ca="1">IF(entities[[#This Row],[Custom Attributes]]&lt;2,"",
IF(entities[[#This Row],[1]]=5-1,5,
MATCH(FALSE, ISBLANK(OFFSET(entities[[#This Row],[hidden]],0,entities[[#This Row],[1]],1,5-entities[[#This Row],[1]])), 0)+entities[[#This Row],[1]]))</f>
        <v/>
      </c>
      <c r="N155" s="6" t="str">
        <f t="array" aca="1" ref="N155" ca="1">IF(entities[[#This Row],[Custom Attributes]]&lt;3,"",
IF(entities[[#This Row],[2]]=5-1,5,
MATCH(FALSE, ISBLANK(OFFSET(entities[[#This Row],[hidden]],0,entities[[#This Row],[2]],1,5-entities[[#This Row],[2]])), 0)+entities[[#This Row],[2]]))</f>
        <v/>
      </c>
      <c r="O155" s="6" t="str">
        <f t="array" aca="1" ref="O155" ca="1">IF(entities[[#This Row],[Custom Attributes]]&lt;4,"",
IF(entities[[#This Row],[3]]=5-1,5,
MATCH(FALSE, ISBLANK(OFFSET(entities[[#This Row],[hidden]],0,entities[[#This Row],[3]],1,5-entities[[#This Row],[3]])), 0)+entities[[#This Row],[3]]))</f>
        <v/>
      </c>
      <c r="P155" s="14" t="str">
        <f ca="1">IF(entities[[#This Row],[1]]="","",
VLOOKUP(entities[[#This Row],[1]],Lookup!$B$5:$D$9,3,FALSE)  &amp;  INDEX(entities[[#This Row],[hidden]:[icon]],entities[[#This Row],[1]])
)</f>
        <v xml:space="preserve">  icon: mdi:download</v>
      </c>
      <c r="Q155" s="6" t="str">
        <f ca="1">IF(entities[[#This Row],[2]]="","",
VLOOKUP(entities[[#This Row],[2]],Lookup!$B$5:$D$9,3,FALSE)  &amp;  INDEX(entities[[#This Row],[hidden]:[icon]],entities[[#This Row],[2]])
)</f>
        <v/>
      </c>
      <c r="R155" s="6" t="str">
        <f ca="1">IF(entities[[#This Row],[3]]="","",
VLOOKUP(entities[[#This Row],[3]],Lookup!$B$5:$D$9,3,FALSE)  &amp;  INDEX(entities[[#This Row],[hidden]:[icon]],entities[[#This Row],[3]])
)</f>
        <v/>
      </c>
      <c r="S155" s="6" t="str">
        <f ca="1">IF(entities[[#This Row],[4]]="","",
VLOOKUP(entities[[#This Row],[4]],Lookup!$B$5:$D$9,3,FALSE)  &amp;  INDEX(entities[[#This Row],[hidden]:[icon]],entities[[#This Row],[4]])
)</f>
        <v/>
      </c>
      <c r="T155" t="str">
        <f t="array" ref="T155">IFERROR(INDEX(cards[object_id],SMALL(IF(cards[[1]:[25]]=entities[[#This Row],[entity_id]],ROW(cards[])-7,99^99),1)),"")</f>
        <v>network</v>
      </c>
      <c r="U155" t="str">
        <f>IF(entities[[#This Row],[In HA?]]&lt;&gt;"ok",  "Not in Home Assistant",
IF(entities[[#This Row],[hidden]]="true",  "Hidden",
IF(entities[[#This Row],[Card]]&lt;&gt;"",
INDEX(cards[name],MATCH(entities[[#This Row],[Card]],cards[object_id],0)),  "Badge / automatic card")))</f>
        <v>Network</v>
      </c>
      <c r="V155" t="str">
        <f>IF(entities[[#This Row],[Card]]&lt;&gt;"","group."&amp;entities[[#This Row],[Card]],"")</f>
        <v>group.network</v>
      </c>
      <c r="W155" t="str">
        <f t="array" ref="W155">IFERROR(IF(entities[[#This Row],[Assigned Card]]="","",INDEX(views[object_id],SMALL(IF(views[[1]:[25]]=entities[[#This Row],[Assigned Card]],ROW(views[])-7,99^99),1))),"")</f>
        <v>network_view</v>
      </c>
      <c r="X155" t="str">
        <f t="array" ref="X155">IFERROR(INDEX(views[object_id],SMALL(IF(views[[1]:[25]]=entities[[#This Row],[entity_id]],ROW(views[])-7,99^99),1)),"")</f>
        <v/>
      </c>
      <c r="Y155" t="str">
        <f>IF(entities[[#This Row],[View from card]]&lt;&gt;"",entities[[#This Row],[View from card]],entities[[#This Row],[View from entitiy]])</f>
        <v>network_view</v>
      </c>
      <c r="Z155" t="str">
        <f>IF(entities[[#This Row],[In HA?]]&lt;&gt;"ok",  "Not in Home Assistant",
IF(entities[[#This Row],[hidden]]="true",  "Hidden",
IF(entities[[#This Row],[View]]&lt;&gt;"",
INDEX(views[name],MATCH(entities[[#This Row],[View]],views[object_id],0)),  "Default view")))</f>
        <v>Network</v>
      </c>
      <c r="AA155" t="str">
        <f>IF(entities[[#This Row],[View]]&lt;&gt;"","group."&amp;entities[[#This Row],[View]],"")</f>
        <v>group.network_view</v>
      </c>
      <c r="AB155" s="6" t="str">
        <f>IF(COUNTIF(Table4[Entity],entities[[#This Row],[entity_id]]),"ok","Missing from States tab")</f>
        <v>ok</v>
      </c>
      <c r="AE155" s="14"/>
      <c r="AF155"/>
    </row>
    <row r="156" spans="2:32" x14ac:dyDescent="0.45">
      <c r="B156" t="s">
        <v>256</v>
      </c>
      <c r="C156" t="s">
        <v>284</v>
      </c>
      <c r="H156" t="s">
        <v>322</v>
      </c>
      <c r="I156" t="str">
        <f>entities[[#This Row],[domain]]&amp;"."&amp;entities[[#This Row],[object_id]]</f>
        <v>sensor.speedtest_ping</v>
      </c>
      <c r="J156">
        <f>5-COUNTBLANK(entities[[#This Row],[hidden]:[icon]])</f>
        <v>1</v>
      </c>
      <c r="K156">
        <f>IF(entities[[#This Row],[Custom Attributes]]=0,"",
COUNTIFS(entities[Custom Attributes],"&gt;0",entities[entity_id],"&lt;="&amp;entities[[#This Row],[entity_id]]))</f>
        <v>91</v>
      </c>
      <c r="L156" s="6">
        <f t="array" aca="1" ref="L156" ca="1">IF(entities[[#This Row],[Custom Attributes]]&lt;1,"",
MATCH(FALSE, ISBLANK(OFFSET(entities[[#This Row],[hidden]],0,0,1,5)), 0))</f>
        <v>5</v>
      </c>
      <c r="M156" s="6" t="str">
        <f t="array" aca="1" ref="M156" ca="1">IF(entities[[#This Row],[Custom Attributes]]&lt;2,"",
IF(entities[[#This Row],[1]]=5-1,5,
MATCH(FALSE, ISBLANK(OFFSET(entities[[#This Row],[hidden]],0,entities[[#This Row],[1]],1,5-entities[[#This Row],[1]])), 0)+entities[[#This Row],[1]]))</f>
        <v/>
      </c>
      <c r="N156" s="6" t="str">
        <f t="array" aca="1" ref="N156" ca="1">IF(entities[[#This Row],[Custom Attributes]]&lt;3,"",
IF(entities[[#This Row],[2]]=5-1,5,
MATCH(FALSE, ISBLANK(OFFSET(entities[[#This Row],[hidden]],0,entities[[#This Row],[2]],1,5-entities[[#This Row],[2]])), 0)+entities[[#This Row],[2]]))</f>
        <v/>
      </c>
      <c r="O156" s="6" t="str">
        <f t="array" aca="1" ref="O156" ca="1">IF(entities[[#This Row],[Custom Attributes]]&lt;4,"",
IF(entities[[#This Row],[3]]=5-1,5,
MATCH(FALSE, ISBLANK(OFFSET(entities[[#This Row],[hidden]],0,entities[[#This Row],[3]],1,5-entities[[#This Row],[3]])), 0)+entities[[#This Row],[3]]))</f>
        <v/>
      </c>
      <c r="P156" s="14" t="str">
        <f ca="1">IF(entities[[#This Row],[1]]="","",
VLOOKUP(entities[[#This Row],[1]],Lookup!$B$5:$D$9,3,FALSE)  &amp;  INDEX(entities[[#This Row],[hidden]:[icon]],entities[[#This Row],[1]])
)</f>
        <v xml:space="preserve">  icon: mdi:lan-connect</v>
      </c>
      <c r="Q156" s="6" t="str">
        <f ca="1">IF(entities[[#This Row],[2]]="","",
VLOOKUP(entities[[#This Row],[2]],Lookup!$B$5:$D$9,3,FALSE)  &amp;  INDEX(entities[[#This Row],[hidden]:[icon]],entities[[#This Row],[2]])
)</f>
        <v/>
      </c>
      <c r="R156" s="6" t="str">
        <f ca="1">IF(entities[[#This Row],[3]]="","",
VLOOKUP(entities[[#This Row],[3]],Lookup!$B$5:$D$9,3,FALSE)  &amp;  INDEX(entities[[#This Row],[hidden]:[icon]],entities[[#This Row],[3]])
)</f>
        <v/>
      </c>
      <c r="S156" s="6" t="str">
        <f ca="1">IF(entities[[#This Row],[4]]="","",
VLOOKUP(entities[[#This Row],[4]],Lookup!$B$5:$D$9,3,FALSE)  &amp;  INDEX(entities[[#This Row],[hidden]:[icon]],entities[[#This Row],[4]])
)</f>
        <v/>
      </c>
      <c r="T156" t="str">
        <f t="array" ref="T156">IFERROR(INDEX(cards[object_id],SMALL(IF(cards[[1]:[25]]=entities[[#This Row],[entity_id]],ROW(cards[])-7,99^99),1)),"")</f>
        <v>network</v>
      </c>
      <c r="U156" t="str">
        <f>IF(entities[[#This Row],[In HA?]]&lt;&gt;"ok",  "Not in Home Assistant",
IF(entities[[#This Row],[hidden]]="true",  "Hidden",
IF(entities[[#This Row],[Card]]&lt;&gt;"",
INDEX(cards[name],MATCH(entities[[#This Row],[Card]],cards[object_id],0)),  "Badge / automatic card")))</f>
        <v>Network</v>
      </c>
      <c r="V156" t="str">
        <f>IF(entities[[#This Row],[Card]]&lt;&gt;"","group."&amp;entities[[#This Row],[Card]],"")</f>
        <v>group.network</v>
      </c>
      <c r="W156" t="str">
        <f t="array" ref="W156">IFERROR(IF(entities[[#This Row],[Assigned Card]]="","",INDEX(views[object_id],SMALL(IF(views[[1]:[25]]=entities[[#This Row],[Assigned Card]],ROW(views[])-7,99^99),1))),"")</f>
        <v>network_view</v>
      </c>
      <c r="X156" t="str">
        <f t="array" ref="X156">IFERROR(INDEX(views[object_id],SMALL(IF(views[[1]:[25]]=entities[[#This Row],[entity_id]],ROW(views[])-7,99^99),1)),"")</f>
        <v/>
      </c>
      <c r="Y156" t="str">
        <f>IF(entities[[#This Row],[View from card]]&lt;&gt;"",entities[[#This Row],[View from card]],entities[[#This Row],[View from entitiy]])</f>
        <v>network_view</v>
      </c>
      <c r="Z156" t="str">
        <f>IF(entities[[#This Row],[In HA?]]&lt;&gt;"ok",  "Not in Home Assistant",
IF(entities[[#This Row],[hidden]]="true",  "Hidden",
IF(entities[[#This Row],[View]]&lt;&gt;"",
INDEX(views[name],MATCH(entities[[#This Row],[View]],views[object_id],0)),  "Default view")))</f>
        <v>Network</v>
      </c>
      <c r="AA156" t="str">
        <f>IF(entities[[#This Row],[View]]&lt;&gt;"","group."&amp;entities[[#This Row],[View]],"")</f>
        <v>group.network_view</v>
      </c>
      <c r="AB156" s="6" t="str">
        <f>IF(COUNTIF(Table4[Entity],entities[[#This Row],[entity_id]]),"ok","Missing from States tab")</f>
        <v>ok</v>
      </c>
      <c r="AE156" s="14"/>
      <c r="AF156"/>
    </row>
    <row r="157" spans="2:32" x14ac:dyDescent="0.45">
      <c r="B157" t="s">
        <v>256</v>
      </c>
      <c r="C157" t="s">
        <v>285</v>
      </c>
      <c r="H157" t="s">
        <v>323</v>
      </c>
      <c r="I157" t="str">
        <f>entities[[#This Row],[domain]]&amp;"."&amp;entities[[#This Row],[object_id]]</f>
        <v>sensor.speedtest_upload</v>
      </c>
      <c r="J157">
        <f>5-COUNTBLANK(entities[[#This Row],[hidden]:[icon]])</f>
        <v>1</v>
      </c>
      <c r="K157">
        <f>IF(entities[[#This Row],[Custom Attributes]]=0,"",
COUNTIFS(entities[Custom Attributes],"&gt;0",entities[entity_id],"&lt;="&amp;entities[[#This Row],[entity_id]]))</f>
        <v>92</v>
      </c>
      <c r="L157" s="6">
        <f t="array" aca="1" ref="L157" ca="1">IF(entities[[#This Row],[Custom Attributes]]&lt;1,"",
MATCH(FALSE, ISBLANK(OFFSET(entities[[#This Row],[hidden]],0,0,1,5)), 0))</f>
        <v>5</v>
      </c>
      <c r="M157" s="6" t="str">
        <f t="array" aca="1" ref="M157" ca="1">IF(entities[[#This Row],[Custom Attributes]]&lt;2,"",
IF(entities[[#This Row],[1]]=5-1,5,
MATCH(FALSE, ISBLANK(OFFSET(entities[[#This Row],[hidden]],0,entities[[#This Row],[1]],1,5-entities[[#This Row],[1]])), 0)+entities[[#This Row],[1]]))</f>
        <v/>
      </c>
      <c r="N157" s="6" t="str">
        <f t="array" aca="1" ref="N157" ca="1">IF(entities[[#This Row],[Custom Attributes]]&lt;3,"",
IF(entities[[#This Row],[2]]=5-1,5,
MATCH(FALSE, ISBLANK(OFFSET(entities[[#This Row],[hidden]],0,entities[[#This Row],[2]],1,5-entities[[#This Row],[2]])), 0)+entities[[#This Row],[2]]))</f>
        <v/>
      </c>
      <c r="O157" s="6" t="str">
        <f t="array" aca="1" ref="O157" ca="1">IF(entities[[#This Row],[Custom Attributes]]&lt;4,"",
IF(entities[[#This Row],[3]]=5-1,5,
MATCH(FALSE, ISBLANK(OFFSET(entities[[#This Row],[hidden]],0,entities[[#This Row],[3]],1,5-entities[[#This Row],[3]])), 0)+entities[[#This Row],[3]]))</f>
        <v/>
      </c>
      <c r="P157" s="14" t="str">
        <f ca="1">IF(entities[[#This Row],[1]]="","",
VLOOKUP(entities[[#This Row],[1]],Lookup!$B$5:$D$9,3,FALSE)  &amp;  INDEX(entities[[#This Row],[hidden]:[icon]],entities[[#This Row],[1]])
)</f>
        <v xml:space="preserve">  icon: mdi:upload</v>
      </c>
      <c r="Q157" s="6" t="str">
        <f ca="1">IF(entities[[#This Row],[2]]="","",
VLOOKUP(entities[[#This Row],[2]],Lookup!$B$5:$D$9,3,FALSE)  &amp;  INDEX(entities[[#This Row],[hidden]:[icon]],entities[[#This Row],[2]])
)</f>
        <v/>
      </c>
      <c r="R157" s="6" t="str">
        <f ca="1">IF(entities[[#This Row],[3]]="","",
VLOOKUP(entities[[#This Row],[3]],Lookup!$B$5:$D$9,3,FALSE)  &amp;  INDEX(entities[[#This Row],[hidden]:[icon]],entities[[#This Row],[3]])
)</f>
        <v/>
      </c>
      <c r="S157" s="6" t="str">
        <f ca="1">IF(entities[[#This Row],[4]]="","",
VLOOKUP(entities[[#This Row],[4]],Lookup!$B$5:$D$9,3,FALSE)  &amp;  INDEX(entities[[#This Row],[hidden]:[icon]],entities[[#This Row],[4]])
)</f>
        <v/>
      </c>
      <c r="T157" t="str">
        <f t="array" ref="T157">IFERROR(INDEX(cards[object_id],SMALL(IF(cards[[1]:[25]]=entities[[#This Row],[entity_id]],ROW(cards[])-7,99^99),1)),"")</f>
        <v>network</v>
      </c>
      <c r="U157" t="str">
        <f>IF(entities[[#This Row],[In HA?]]&lt;&gt;"ok",  "Not in Home Assistant",
IF(entities[[#This Row],[hidden]]="true",  "Hidden",
IF(entities[[#This Row],[Card]]&lt;&gt;"",
INDEX(cards[name],MATCH(entities[[#This Row],[Card]],cards[object_id],0)),  "Badge / automatic card")))</f>
        <v>Network</v>
      </c>
      <c r="V157" t="str">
        <f>IF(entities[[#This Row],[Card]]&lt;&gt;"","group."&amp;entities[[#This Row],[Card]],"")</f>
        <v>group.network</v>
      </c>
      <c r="W157" t="str">
        <f t="array" ref="W157">IFERROR(IF(entities[[#This Row],[Assigned Card]]="","",INDEX(views[object_id],SMALL(IF(views[[1]:[25]]=entities[[#This Row],[Assigned Card]],ROW(views[])-7,99^99),1))),"")</f>
        <v>network_view</v>
      </c>
      <c r="X157" t="str">
        <f t="array" ref="X157">IFERROR(INDEX(views[object_id],SMALL(IF(views[[1]:[25]]=entities[[#This Row],[entity_id]],ROW(views[])-7,99^99),1)),"")</f>
        <v/>
      </c>
      <c r="Y157" t="str">
        <f>IF(entities[[#This Row],[View from card]]&lt;&gt;"",entities[[#This Row],[View from card]],entities[[#This Row],[View from entitiy]])</f>
        <v>network_view</v>
      </c>
      <c r="Z157" t="str">
        <f>IF(entities[[#This Row],[In HA?]]&lt;&gt;"ok",  "Not in Home Assistant",
IF(entities[[#This Row],[hidden]]="true",  "Hidden",
IF(entities[[#This Row],[View]]&lt;&gt;"",
INDEX(views[name],MATCH(entities[[#This Row],[View]],views[object_id],0)),  "Default view")))</f>
        <v>Network</v>
      </c>
      <c r="AA157" t="str">
        <f>IF(entities[[#This Row],[View]]&lt;&gt;"","group."&amp;entities[[#This Row],[View]],"")</f>
        <v>group.network_view</v>
      </c>
      <c r="AB157" s="6" t="str">
        <f>IF(COUNTIF(Table4[Entity],entities[[#This Row],[entity_id]]),"ok","Missing from States tab")</f>
        <v>ok</v>
      </c>
      <c r="AE157" s="14"/>
      <c r="AF157"/>
    </row>
    <row r="158" spans="2:32" x14ac:dyDescent="0.45">
      <c r="B158" t="s">
        <v>256</v>
      </c>
      <c r="C158" t="s">
        <v>784</v>
      </c>
      <c r="E158" t="s">
        <v>315</v>
      </c>
      <c r="I158" t="str">
        <f>entities[[#This Row],[domain]]&amp;"."&amp;entities[[#This Row],[object_id]]</f>
        <v>sensor.temperature_sensor_12</v>
      </c>
      <c r="J158">
        <f>5-COUNTBLANK(entities[[#This Row],[hidden]:[icon]])</f>
        <v>1</v>
      </c>
      <c r="K158">
        <f>IF(entities[[#This Row],[Custom Attributes]]=0,"",
COUNTIFS(entities[Custom Attributes],"&gt;0",entities[entity_id],"&lt;="&amp;entities[[#This Row],[entity_id]]))</f>
        <v>93</v>
      </c>
      <c r="L158" s="6">
        <f t="array" aca="1" ref="L158" ca="1">IF(entities[[#This Row],[Custom Attributes]]&lt;1,"",
MATCH(FALSE, ISBLANK(OFFSET(entities[[#This Row],[hidden]],0,0,1,5)), 0))</f>
        <v>2</v>
      </c>
      <c r="M158" s="6" t="str">
        <f t="array" aca="1" ref="M158" ca="1">IF(entities[[#This Row],[Custom Attributes]]&lt;2,"",
IF(entities[[#This Row],[1]]=5-1,5,
MATCH(FALSE, ISBLANK(OFFSET(entities[[#This Row],[hidden]],0,entities[[#This Row],[1]],1,5-entities[[#This Row],[1]])), 0)+entities[[#This Row],[1]]))</f>
        <v/>
      </c>
      <c r="N158" s="6" t="str">
        <f t="array" aca="1" ref="N158" ca="1">IF(entities[[#This Row],[Custom Attributes]]&lt;3,"",
IF(entities[[#This Row],[2]]=5-1,5,
MATCH(FALSE, ISBLANK(OFFSET(entities[[#This Row],[hidden]],0,entities[[#This Row],[2]],1,5-entities[[#This Row],[2]])), 0)+entities[[#This Row],[2]]))</f>
        <v/>
      </c>
      <c r="O158" s="6" t="str">
        <f t="array" aca="1" ref="O158" ca="1">IF(entities[[#This Row],[Custom Attributes]]&lt;4,"",
IF(entities[[#This Row],[3]]=5-1,5,
MATCH(FALSE, ISBLANK(OFFSET(entities[[#This Row],[hidden]],0,entities[[#This Row],[3]],1,5-entities[[#This Row],[3]])), 0)+entities[[#This Row],[3]]))</f>
        <v/>
      </c>
      <c r="P158" s="14" t="str">
        <f ca="1">IF(entities[[#This Row],[1]]="","",
VLOOKUP(entities[[#This Row],[1]],Lookup!$B$5:$D$9,3,FALSE)  &amp;  INDEX(entities[[#This Row],[hidden]:[icon]],entities[[#This Row],[1]])
)</f>
        <v xml:space="preserve">  friendly_name: Temp</v>
      </c>
      <c r="Q158" s="6" t="str">
        <f ca="1">IF(entities[[#This Row],[2]]="","",
VLOOKUP(entities[[#This Row],[2]],Lookup!$B$5:$D$9,3,FALSE)  &amp;  INDEX(entities[[#This Row],[hidden]:[icon]],entities[[#This Row],[2]])
)</f>
        <v/>
      </c>
      <c r="R158" s="6" t="str">
        <f ca="1">IF(entities[[#This Row],[3]]="","",
VLOOKUP(entities[[#This Row],[3]],Lookup!$B$5:$D$9,3,FALSE)  &amp;  INDEX(entities[[#This Row],[hidden]:[icon]],entities[[#This Row],[3]])
)</f>
        <v/>
      </c>
      <c r="S158" s="6" t="str">
        <f ca="1">IF(entities[[#This Row],[4]]="","",
VLOOKUP(entities[[#This Row],[4]],Lookup!$B$5:$D$9,3,FALSE)  &amp;  INDEX(entities[[#This Row],[hidden]:[icon]],entities[[#This Row],[4]])
)</f>
        <v/>
      </c>
      <c r="T158" t="str">
        <f t="array" ref="T158">IFERROR(INDEX(cards[object_id],SMALL(IF(cards[[1]:[25]]=entities[[#This Row],[entity_id]],ROW(cards[])-7,99^99),1)),"")</f>
        <v>environment_living_room</v>
      </c>
      <c r="U158" t="str">
        <f>IF(entities[[#This Row],[In HA?]]&lt;&gt;"ok",  "Not in Home Assistant",
IF(entities[[#This Row],[hidden]]="true",  "Hidden",
IF(entities[[#This Row],[Card]]&lt;&gt;"",
INDEX(cards[name],MATCH(entities[[#This Row],[Card]],cards[object_id],0)),  "Badge / automatic card")))</f>
        <v>Environment || Living Room</v>
      </c>
      <c r="V158" t="str">
        <f>IF(entities[[#This Row],[Card]]&lt;&gt;"","group."&amp;entities[[#This Row],[Card]],"")</f>
        <v>group.environment_living_room</v>
      </c>
      <c r="W158" t="str">
        <f t="array" ref="W158">IFERROR(IF(entities[[#This Row],[Assigned Card]]="","",INDEX(views[object_id],SMALL(IF(views[[1]:[25]]=entities[[#This Row],[Assigned Card]],ROW(views[])-7,99^99),1))),"")</f>
        <v>environment_view</v>
      </c>
      <c r="X158" t="str">
        <f t="array" ref="X158">IFERROR(INDEX(views[object_id],SMALL(IF(views[[1]:[25]]=entities[[#This Row],[entity_id]],ROW(views[])-7,99^99),1)),"")</f>
        <v/>
      </c>
      <c r="Y158" t="str">
        <f>IF(entities[[#This Row],[View from card]]&lt;&gt;"",entities[[#This Row],[View from card]],entities[[#This Row],[View from entitiy]])</f>
        <v>environment_view</v>
      </c>
      <c r="Z158" t="str">
        <f>IF(entities[[#This Row],[In HA?]]&lt;&gt;"ok",  "Not in Home Assistant",
IF(entities[[#This Row],[hidden]]="true",  "Hidden",
IF(entities[[#This Row],[View]]&lt;&gt;"",
INDEX(views[name],MATCH(entities[[#This Row],[View]],views[object_id],0)),  "Default view")))</f>
        <v>Environment</v>
      </c>
      <c r="AA158" t="str">
        <f>IF(entities[[#This Row],[View]]&lt;&gt;"","group."&amp;entities[[#This Row],[View]],"")</f>
        <v>group.environment_view</v>
      </c>
      <c r="AB158" s="6" t="str">
        <f>IF(COUNTIF(Table4[Entity],entities[[#This Row],[entity_id]]),"ok","Missing from States tab")</f>
        <v>ok</v>
      </c>
      <c r="AE158" s="14"/>
      <c r="AF158"/>
    </row>
    <row r="159" spans="2:32" x14ac:dyDescent="0.45">
      <c r="B159" t="s">
        <v>256</v>
      </c>
      <c r="C159" t="s">
        <v>286</v>
      </c>
      <c r="D159" s="4" t="s">
        <v>294</v>
      </c>
      <c r="I159" t="str">
        <f>entities[[#This Row],[domain]]&amp;"."&amp;entities[[#This Row],[object_id]]</f>
        <v>sensor.time</v>
      </c>
      <c r="J159">
        <f>5-COUNTBLANK(entities[[#This Row],[hidden]:[icon]])</f>
        <v>1</v>
      </c>
      <c r="K159">
        <f>IF(entities[[#This Row],[Custom Attributes]]=0,"",
COUNTIFS(entities[Custom Attributes],"&gt;0",entities[entity_id],"&lt;="&amp;entities[[#This Row],[entity_id]]))</f>
        <v>94</v>
      </c>
      <c r="L159" s="6">
        <f t="array" aca="1" ref="L159" ca="1">IF(entities[[#This Row],[Custom Attributes]]&lt;1,"",
MATCH(FALSE, ISBLANK(OFFSET(entities[[#This Row],[hidden]],0,0,1,5)), 0))</f>
        <v>1</v>
      </c>
      <c r="M159" s="6" t="str">
        <f t="array" aca="1" ref="M159" ca="1">IF(entities[[#This Row],[Custom Attributes]]&lt;2,"",
IF(entities[[#This Row],[1]]=5-1,5,
MATCH(FALSE, ISBLANK(OFFSET(entities[[#This Row],[hidden]],0,entities[[#This Row],[1]],1,5-entities[[#This Row],[1]])), 0)+entities[[#This Row],[1]]))</f>
        <v/>
      </c>
      <c r="N159" s="6" t="str">
        <f t="array" aca="1" ref="N159" ca="1">IF(entities[[#This Row],[Custom Attributes]]&lt;3,"",
IF(entities[[#This Row],[2]]=5-1,5,
MATCH(FALSE, ISBLANK(OFFSET(entities[[#This Row],[hidden]],0,entities[[#This Row],[2]],1,5-entities[[#This Row],[2]])), 0)+entities[[#This Row],[2]]))</f>
        <v/>
      </c>
      <c r="O159" s="6" t="str">
        <f t="array" aca="1" ref="O159" ca="1">IF(entities[[#This Row],[Custom Attributes]]&lt;4,"",
IF(entities[[#This Row],[3]]=5-1,5,
MATCH(FALSE, ISBLANK(OFFSET(entities[[#This Row],[hidden]],0,entities[[#This Row],[3]],1,5-entities[[#This Row],[3]])), 0)+entities[[#This Row],[3]]))</f>
        <v/>
      </c>
      <c r="P159" s="14" t="str">
        <f ca="1">IF(entities[[#This Row],[1]]="","",
VLOOKUP(entities[[#This Row],[1]],Lookup!$B$5:$D$9,3,FALSE)  &amp;  INDEX(entities[[#This Row],[hidden]:[icon]],entities[[#This Row],[1]])
)</f>
        <v xml:space="preserve">  hidden: true</v>
      </c>
      <c r="Q159" s="6" t="str">
        <f ca="1">IF(entities[[#This Row],[2]]="","",
VLOOKUP(entities[[#This Row],[2]],Lookup!$B$5:$D$9,3,FALSE)  &amp;  INDEX(entities[[#This Row],[hidden]:[icon]],entities[[#This Row],[2]])
)</f>
        <v/>
      </c>
      <c r="R159" s="6" t="str">
        <f ca="1">IF(entities[[#This Row],[3]]="","",
VLOOKUP(entities[[#This Row],[3]],Lookup!$B$5:$D$9,3,FALSE)  &amp;  INDEX(entities[[#This Row],[hidden]:[icon]],entities[[#This Row],[3]])
)</f>
        <v/>
      </c>
      <c r="S159" s="6" t="str">
        <f ca="1">IF(entities[[#This Row],[4]]="","",
VLOOKUP(entities[[#This Row],[4]],Lookup!$B$5:$D$9,3,FALSE)  &amp;  INDEX(entities[[#This Row],[hidden]:[icon]],entities[[#This Row],[4]])
)</f>
        <v/>
      </c>
      <c r="T159" t="str">
        <f t="array" ref="T159">IFERROR(INDEX(cards[object_id],SMALL(IF(cards[[1]:[25]]=entities[[#This Row],[entity_id]],ROW(cards[])-7,99^99),1)),"")</f>
        <v/>
      </c>
      <c r="U159" t="str">
        <f>IF(entities[[#This Row],[In HA?]]&lt;&gt;"ok",  "Not in Home Assistant",
IF(entities[[#This Row],[hidden]]="true",  "Hidden",
IF(entities[[#This Row],[Card]]&lt;&gt;"",
INDEX(cards[name],MATCH(entities[[#This Row],[Card]],cards[object_id],0)),  "Badge / automatic card")))</f>
        <v>Hidden</v>
      </c>
      <c r="V159" t="str">
        <f>IF(entities[[#This Row],[Card]]&lt;&gt;"","group."&amp;entities[[#This Row],[Card]],"")</f>
        <v/>
      </c>
      <c r="W159" t="str">
        <f t="array" ref="W159">IFERROR(IF(entities[[#This Row],[Assigned Card]]="","",INDEX(views[object_id],SMALL(IF(views[[1]:[25]]=entities[[#This Row],[Assigned Card]],ROW(views[])-7,99^99),1))),"")</f>
        <v/>
      </c>
      <c r="X159" t="str">
        <f t="array" ref="X159">IFERROR(INDEX(views[object_id],SMALL(IF(views[[1]:[25]]=entities[[#This Row],[entity_id]],ROW(views[])-7,99^99),1)),"")</f>
        <v/>
      </c>
      <c r="Y159" t="str">
        <f>IF(entities[[#This Row],[View from card]]&lt;&gt;"",entities[[#This Row],[View from card]],entities[[#This Row],[View from entitiy]])</f>
        <v/>
      </c>
      <c r="Z159" t="str">
        <f>IF(entities[[#This Row],[In HA?]]&lt;&gt;"ok",  "Not in Home Assistant",
IF(entities[[#This Row],[hidden]]="true",  "Hidden",
IF(entities[[#This Row],[View]]&lt;&gt;"",
INDEX(views[name],MATCH(entities[[#This Row],[View]],views[object_id],0)),  "Default view")))</f>
        <v>Hidden</v>
      </c>
      <c r="AA159" t="str">
        <f>IF(entities[[#This Row],[View]]&lt;&gt;"","group."&amp;entities[[#This Row],[View]],"")</f>
        <v/>
      </c>
      <c r="AB159" s="6" t="str">
        <f>IF(COUNTIF(Table4[Entity],entities[[#This Row],[entity_id]]),"ok","Missing from States tab")</f>
        <v>ok</v>
      </c>
      <c r="AE159" s="14"/>
      <c r="AF159"/>
    </row>
    <row r="160" spans="2:32" x14ac:dyDescent="0.45">
      <c r="B160" t="s">
        <v>287</v>
      </c>
      <c r="C160" t="s">
        <v>287</v>
      </c>
      <c r="I160" t="str">
        <f>entities[[#This Row],[domain]]&amp;"."&amp;entities[[#This Row],[object_id]]</f>
        <v>sun.sun</v>
      </c>
      <c r="J160">
        <f>5-COUNTBLANK(entities[[#This Row],[hidden]:[icon]])</f>
        <v>0</v>
      </c>
      <c r="K160" t="str">
        <f>IF(entities[[#This Row],[Custom Attributes]]=0,"",
COUNTIFS(entities[Custom Attributes],"&gt;0",entities[entity_id],"&lt;="&amp;entities[[#This Row],[entity_id]]))</f>
        <v/>
      </c>
      <c r="L160" s="6" t="str">
        <f t="array" aca="1" ref="L160" ca="1">IF(entities[[#This Row],[Custom Attributes]]&lt;1,"",
MATCH(FALSE, ISBLANK(OFFSET(entities[[#This Row],[hidden]],0,0,1,5)), 0))</f>
        <v/>
      </c>
      <c r="M160" s="6" t="str">
        <f t="array" aca="1" ref="M160" ca="1">IF(entities[[#This Row],[Custom Attributes]]&lt;2,"",
IF(entities[[#This Row],[1]]=5-1,5,
MATCH(FALSE, ISBLANK(OFFSET(entities[[#This Row],[hidden]],0,entities[[#This Row],[1]],1,5-entities[[#This Row],[1]])), 0)+entities[[#This Row],[1]]))</f>
        <v/>
      </c>
      <c r="N160" s="6" t="str">
        <f t="array" aca="1" ref="N160" ca="1">IF(entities[[#This Row],[Custom Attributes]]&lt;3,"",
IF(entities[[#This Row],[2]]=5-1,5,
MATCH(FALSE, ISBLANK(OFFSET(entities[[#This Row],[hidden]],0,entities[[#This Row],[2]],1,5-entities[[#This Row],[2]])), 0)+entities[[#This Row],[2]]))</f>
        <v/>
      </c>
      <c r="O160" s="6" t="str">
        <f t="array" aca="1" ref="O160" ca="1">IF(entities[[#This Row],[Custom Attributes]]&lt;4,"",
IF(entities[[#This Row],[3]]=5-1,5,
MATCH(FALSE, ISBLANK(OFFSET(entities[[#This Row],[hidden]],0,entities[[#This Row],[3]],1,5-entities[[#This Row],[3]])), 0)+entities[[#This Row],[3]]))</f>
        <v/>
      </c>
      <c r="P160" s="14" t="str">
        <f ca="1">IF(entities[[#This Row],[1]]="","",
VLOOKUP(entities[[#This Row],[1]],Lookup!$B$5:$D$9,3,FALSE)  &amp;  INDEX(entities[[#This Row],[hidden]:[icon]],entities[[#This Row],[1]])
)</f>
        <v/>
      </c>
      <c r="Q160" s="6" t="str">
        <f ca="1">IF(entities[[#This Row],[2]]="","",
VLOOKUP(entities[[#This Row],[2]],Lookup!$B$5:$D$9,3,FALSE)  &amp;  INDEX(entities[[#This Row],[hidden]:[icon]],entities[[#This Row],[2]])
)</f>
        <v/>
      </c>
      <c r="R160" s="6" t="str">
        <f ca="1">IF(entities[[#This Row],[3]]="","",
VLOOKUP(entities[[#This Row],[3]],Lookup!$B$5:$D$9,3,FALSE)  &amp;  INDEX(entities[[#This Row],[hidden]:[icon]],entities[[#This Row],[3]])
)</f>
        <v/>
      </c>
      <c r="S160" s="6" t="str">
        <f ca="1">IF(entities[[#This Row],[4]]="","",
VLOOKUP(entities[[#This Row],[4]],Lookup!$B$5:$D$9,3,FALSE)  &amp;  INDEX(entities[[#This Row],[hidden]:[icon]],entities[[#This Row],[4]])
)</f>
        <v/>
      </c>
      <c r="T160" t="str">
        <f t="array" ref="T160">IFERROR(INDEX(cards[object_id],SMALL(IF(cards[[1]:[25]]=entities[[#This Row],[entity_id]],ROW(cards[])-7,99^99),1)),"")</f>
        <v>environment_detail</v>
      </c>
      <c r="U160" t="str">
        <f>IF(entities[[#This Row],[In HA?]]&lt;&gt;"ok",  "Not in Home Assistant",
IF(entities[[#This Row],[hidden]]="true",  "Hidden",
IF(entities[[#This Row],[Card]]&lt;&gt;"",
INDEX(cards[name],MATCH(entities[[#This Row],[Card]],cards[object_id],0)),  "Badge / automatic card")))</f>
        <v>Environment Detail</v>
      </c>
      <c r="V160" t="str">
        <f>IF(entities[[#This Row],[Card]]&lt;&gt;"","group."&amp;entities[[#This Row],[Card]],"")</f>
        <v>group.environment_detail</v>
      </c>
      <c r="W160" t="str">
        <f t="array" ref="W160">IFERROR(IF(entities[[#This Row],[Assigned Card]]="","",INDEX(views[object_id],SMALL(IF(views[[1]:[25]]=entities[[#This Row],[Assigned Card]],ROW(views[])-7,99^99),1))),"")</f>
        <v/>
      </c>
      <c r="X160" t="str">
        <f t="array" ref="X160">IFERROR(INDEX(views[object_id],SMALL(IF(views[[1]:[25]]=entities[[#This Row],[entity_id]],ROW(views[])-7,99^99),1)),"")</f>
        <v/>
      </c>
      <c r="Y160" t="str">
        <f>IF(entities[[#This Row],[View from card]]&lt;&gt;"",entities[[#This Row],[View from card]],entities[[#This Row],[View from entitiy]])</f>
        <v/>
      </c>
      <c r="Z160" t="str">
        <f>IF(entities[[#This Row],[In HA?]]&lt;&gt;"ok",  "Not in Home Assistant",
IF(entities[[#This Row],[hidden]]="true",  "Hidden",
IF(entities[[#This Row],[View]]&lt;&gt;"",
INDEX(views[name],MATCH(entities[[#This Row],[View]],views[object_id],0)),  "Default view")))</f>
        <v>Default view</v>
      </c>
      <c r="AA160" t="str">
        <f>IF(entities[[#This Row],[View]]&lt;&gt;"","group."&amp;entities[[#This Row],[View]],"")</f>
        <v/>
      </c>
      <c r="AB160" s="6" t="str">
        <f>IF(COUNTIF(Table4[Entity],entities[[#This Row],[entity_id]]),"ok","Missing from States tab")</f>
        <v>ok</v>
      </c>
      <c r="AE160" s="14"/>
      <c r="AF160"/>
    </row>
    <row r="161" spans="2:32" x14ac:dyDescent="0.45">
      <c r="B161" t="s">
        <v>288</v>
      </c>
      <c r="C161" t="s">
        <v>289</v>
      </c>
      <c r="E161" t="s">
        <v>330</v>
      </c>
      <c r="F161" s="4" t="s">
        <v>294</v>
      </c>
      <c r="H161" t="s">
        <v>369</v>
      </c>
      <c r="I161" t="str">
        <f>entities[[#This Row],[domain]]&amp;"."&amp;entities[[#This Row],[object_id]]</f>
        <v>switch.amp</v>
      </c>
      <c r="J161">
        <f>5-COUNTBLANK(entities[[#This Row],[hidden]:[icon]])</f>
        <v>3</v>
      </c>
      <c r="K161">
        <f>IF(entities[[#This Row],[Custom Attributes]]=0,"",
COUNTIFS(entities[Custom Attributes],"&gt;0",entities[entity_id],"&lt;="&amp;entities[[#This Row],[entity_id]]))</f>
        <v>95</v>
      </c>
      <c r="L161" s="6">
        <f t="array" aca="1" ref="L161" ca="1">IF(entities[[#This Row],[Custom Attributes]]&lt;1,"",
MATCH(FALSE, ISBLANK(OFFSET(entities[[#This Row],[hidden]],0,0,1,5)), 0))</f>
        <v>2</v>
      </c>
      <c r="M161" s="6">
        <f t="array" aca="1" ref="M161" ca="1">IF(entities[[#This Row],[Custom Attributes]]&lt;2,"",
IF(entities[[#This Row],[1]]=5-1,5,
MATCH(FALSE, ISBLANK(OFFSET(entities[[#This Row],[hidden]],0,entities[[#This Row],[1]],1,5-entities[[#This Row],[1]])), 0)+entities[[#This Row],[1]]))</f>
        <v>3</v>
      </c>
      <c r="N161" s="6">
        <f t="array" aca="1" ref="N161" ca="1">IF(entities[[#This Row],[Custom Attributes]]&lt;3,"",
IF(entities[[#This Row],[2]]=5-1,5,
MATCH(FALSE, ISBLANK(OFFSET(entities[[#This Row],[hidden]],0,entities[[#This Row],[2]],1,5-entities[[#This Row],[2]])), 0)+entities[[#This Row],[2]]))</f>
        <v>5</v>
      </c>
      <c r="O161" s="6" t="str">
        <f t="array" aca="1" ref="O161" ca="1">IF(entities[[#This Row],[Custom Attributes]]&lt;4,"",
IF(entities[[#This Row],[3]]=5-1,5,
MATCH(FALSE, ISBLANK(OFFSET(entities[[#This Row],[hidden]],0,entities[[#This Row],[3]],1,5-entities[[#This Row],[3]])), 0)+entities[[#This Row],[3]]))</f>
        <v/>
      </c>
      <c r="P161" s="14" t="str">
        <f ca="1">IF(entities[[#This Row],[1]]="","",
VLOOKUP(entities[[#This Row],[1]],Lookup!$B$5:$D$9,3,FALSE)  &amp;  INDEX(entities[[#This Row],[hidden]:[icon]],entities[[#This Row],[1]])
)</f>
        <v xml:space="preserve">  friendly_name: Headphone Amp</v>
      </c>
      <c r="Q161" s="6" t="str">
        <f ca="1">IF(entities[[#This Row],[2]]="","",
VLOOKUP(entities[[#This Row],[2]],Lookup!$B$5:$D$9,3,FALSE)  &amp;  INDEX(entities[[#This Row],[hidden]:[icon]],entities[[#This Row],[2]])
)</f>
        <v xml:space="preserve">  emulated_hue: true</v>
      </c>
      <c r="R161" s="6" t="str">
        <f ca="1">IF(entities[[#This Row],[3]]="","",
VLOOKUP(entities[[#This Row],[3]],Lookup!$B$5:$D$9,3,FALSE)  &amp;  INDEX(entities[[#This Row],[hidden]:[icon]],entities[[#This Row],[3]])
)</f>
        <v xml:space="preserve">  icon: mdi:amplifier</v>
      </c>
      <c r="S161" s="6" t="str">
        <f ca="1">IF(entities[[#This Row],[4]]="","",
VLOOKUP(entities[[#This Row],[4]],Lookup!$B$5:$D$9,3,FALSE)  &amp;  INDEX(entities[[#This Row],[hidden]:[icon]],entities[[#This Row],[4]])
)</f>
        <v/>
      </c>
      <c r="T161" t="str">
        <f t="array" ref="T161">IFERROR(INDEX(cards[object_id],SMALL(IF(cards[[1]:[25]]=entities[[#This Row],[entity_id]],ROW(cards[])-7,99^99),1)),"")</f>
        <v>living_room</v>
      </c>
      <c r="U161" t="str">
        <f>IF(entities[[#This Row],[In HA?]]&lt;&gt;"ok",  "Not in Home Assistant",
IF(entities[[#This Row],[hidden]]="true",  "Hidden",
IF(entities[[#This Row],[Card]]&lt;&gt;"",
INDEX(cards[name],MATCH(entities[[#This Row],[Card]],cards[object_id],0)),  "Badge / automatic card")))</f>
        <v>Living Room</v>
      </c>
      <c r="V161" t="str">
        <f>IF(entities[[#This Row],[Card]]&lt;&gt;"","group."&amp;entities[[#This Row],[Card]],"")</f>
        <v>group.living_room</v>
      </c>
      <c r="W161" t="str">
        <f t="array" ref="W161">IFERROR(IF(entities[[#This Row],[Assigned Card]]="","",INDEX(views[object_id],SMALL(IF(views[[1]:[25]]=entities[[#This Row],[Assigned Card]],ROW(views[])-7,99^99),1))),"")</f>
        <v>default_view</v>
      </c>
      <c r="X161" t="str">
        <f t="array" ref="X161">IFERROR(INDEX(views[object_id],SMALL(IF(views[[1]:[25]]=entities[[#This Row],[entity_id]],ROW(views[])-7,99^99),1)),"")</f>
        <v/>
      </c>
      <c r="Y161" t="str">
        <f>IF(entities[[#This Row],[View from card]]&lt;&gt;"",entities[[#This Row],[View from card]],entities[[#This Row],[View from entitiy]])</f>
        <v>default_view</v>
      </c>
      <c r="Z161">
        <f>IF(entities[[#This Row],[In HA?]]&lt;&gt;"ok",  "Not in Home Assistant",
IF(entities[[#This Row],[hidden]]="true",  "Hidden",
IF(entities[[#This Row],[View]]&lt;&gt;"",
INDEX(views[name],MATCH(entities[[#This Row],[View]],views[object_id],0)),  "Default view")))</f>
        <v>0</v>
      </c>
      <c r="AA161" t="str">
        <f>IF(entities[[#This Row],[View]]&lt;&gt;"","group."&amp;entities[[#This Row],[View]],"")</f>
        <v>group.default_view</v>
      </c>
      <c r="AB161" s="6" t="str">
        <f>IF(COUNTIF(Table4[Entity],entities[[#This Row],[entity_id]]),"ok","Missing from States tab")</f>
        <v>ok</v>
      </c>
      <c r="AE161" s="14"/>
      <c r="AF161"/>
    </row>
    <row r="162" spans="2:32" x14ac:dyDescent="0.45">
      <c r="B162" t="s">
        <v>288</v>
      </c>
      <c r="C162" t="s">
        <v>290</v>
      </c>
      <c r="E162" t="s">
        <v>331</v>
      </c>
      <c r="F162" s="4" t="s">
        <v>294</v>
      </c>
      <c r="H162" t="s">
        <v>370</v>
      </c>
      <c r="I162" t="str">
        <f>entities[[#This Row],[domain]]&amp;"."&amp;entities[[#This Row],[object_id]]</f>
        <v>switch.bedroom_fan</v>
      </c>
      <c r="J162">
        <f>5-COUNTBLANK(entities[[#This Row],[hidden]:[icon]])</f>
        <v>3</v>
      </c>
      <c r="K162">
        <f>IF(entities[[#This Row],[Custom Attributes]]=0,"",
COUNTIFS(entities[Custom Attributes],"&gt;0",entities[entity_id],"&lt;="&amp;entities[[#This Row],[entity_id]]))</f>
        <v>96</v>
      </c>
      <c r="L162" s="6">
        <f t="array" aca="1" ref="L162" ca="1">IF(entities[[#This Row],[Custom Attributes]]&lt;1,"",
MATCH(FALSE, ISBLANK(OFFSET(entities[[#This Row],[hidden]],0,0,1,5)), 0))</f>
        <v>2</v>
      </c>
      <c r="M162" s="6">
        <f t="array" aca="1" ref="M162" ca="1">IF(entities[[#This Row],[Custom Attributes]]&lt;2,"",
IF(entities[[#This Row],[1]]=5-1,5,
MATCH(FALSE, ISBLANK(OFFSET(entities[[#This Row],[hidden]],0,entities[[#This Row],[1]],1,5-entities[[#This Row],[1]])), 0)+entities[[#This Row],[1]]))</f>
        <v>3</v>
      </c>
      <c r="N162" s="6">
        <f t="array" aca="1" ref="N162" ca="1">IF(entities[[#This Row],[Custom Attributes]]&lt;3,"",
IF(entities[[#This Row],[2]]=5-1,5,
MATCH(FALSE, ISBLANK(OFFSET(entities[[#This Row],[hidden]],0,entities[[#This Row],[2]],1,5-entities[[#This Row],[2]])), 0)+entities[[#This Row],[2]]))</f>
        <v>5</v>
      </c>
      <c r="O162" s="6" t="str">
        <f t="array" aca="1" ref="O162" ca="1">IF(entities[[#This Row],[Custom Attributes]]&lt;4,"",
IF(entities[[#This Row],[3]]=5-1,5,
MATCH(FALSE, ISBLANK(OFFSET(entities[[#This Row],[hidden]],0,entities[[#This Row],[3]],1,5-entities[[#This Row],[3]])), 0)+entities[[#This Row],[3]]))</f>
        <v/>
      </c>
      <c r="P162" s="14" t="str">
        <f ca="1">IF(entities[[#This Row],[1]]="","",
VLOOKUP(entities[[#This Row],[1]],Lookup!$B$5:$D$9,3,FALSE)  &amp;  INDEX(entities[[#This Row],[hidden]:[icon]],entities[[#This Row],[1]])
)</f>
        <v xml:space="preserve">  friendly_name: Bedroom Fan</v>
      </c>
      <c r="Q162" s="6" t="str">
        <f ca="1">IF(entities[[#This Row],[2]]="","",
VLOOKUP(entities[[#This Row],[2]],Lookup!$B$5:$D$9,3,FALSE)  &amp;  INDEX(entities[[#This Row],[hidden]:[icon]],entities[[#This Row],[2]])
)</f>
        <v xml:space="preserve">  emulated_hue: true</v>
      </c>
      <c r="R162" s="6" t="str">
        <f ca="1">IF(entities[[#This Row],[3]]="","",
VLOOKUP(entities[[#This Row],[3]],Lookup!$B$5:$D$9,3,FALSE)  &amp;  INDEX(entities[[#This Row],[hidden]:[icon]],entities[[#This Row],[3]])
)</f>
        <v xml:space="preserve">  icon: mdi:fan</v>
      </c>
      <c r="S162" s="6" t="str">
        <f ca="1">IF(entities[[#This Row],[4]]="","",
VLOOKUP(entities[[#This Row],[4]],Lookup!$B$5:$D$9,3,FALSE)  &amp;  INDEX(entities[[#This Row],[hidden]:[icon]],entities[[#This Row],[4]])
)</f>
        <v/>
      </c>
      <c r="T162" t="str">
        <f t="array" ref="T162">IFERROR(INDEX(cards[object_id],SMALL(IF(cards[[1]:[25]]=entities[[#This Row],[entity_id]],ROW(cards[])-7,99^99),1)),"")</f>
        <v>bedroom_devices</v>
      </c>
      <c r="U162" t="str">
        <f>IF(entities[[#This Row],[In HA?]]&lt;&gt;"ok",  "Not in Home Assistant",
IF(entities[[#This Row],[hidden]]="true",  "Hidden",
IF(entities[[#This Row],[Card]]&lt;&gt;"",
INDEX(cards[name],MATCH(entities[[#This Row],[Card]],cards[object_id],0)),  "Badge / automatic card")))</f>
        <v>Bedroom || Devices</v>
      </c>
      <c r="V162" t="str">
        <f>IF(entities[[#This Row],[Card]]&lt;&gt;"","group."&amp;entities[[#This Row],[Card]],"")</f>
        <v>group.bedroom_devices</v>
      </c>
      <c r="W162" t="str">
        <f t="array" ref="W162">IFERROR(IF(entities[[#This Row],[Assigned Card]]="","",INDEX(views[object_id],SMALL(IF(views[[1]:[25]]=entities[[#This Row],[Assigned Card]],ROW(views[])-7,99^99),1))),"")</f>
        <v>bedroom_view</v>
      </c>
      <c r="X162" t="str">
        <f t="array" ref="X162">IFERROR(INDEX(views[object_id],SMALL(IF(views[[1]:[25]]=entities[[#This Row],[entity_id]],ROW(views[])-7,99^99),1)),"")</f>
        <v/>
      </c>
      <c r="Y162" t="str">
        <f>IF(entities[[#This Row],[View from card]]&lt;&gt;"",entities[[#This Row],[View from card]],entities[[#This Row],[View from entitiy]])</f>
        <v>bedroom_view</v>
      </c>
      <c r="Z162" t="str">
        <f>IF(entities[[#This Row],[In HA?]]&lt;&gt;"ok",  "Not in Home Assistant",
IF(entities[[#This Row],[hidden]]="true",  "Hidden",
IF(entities[[#This Row],[View]]&lt;&gt;"",
INDEX(views[name],MATCH(entities[[#This Row],[View]],views[object_id],0)),  "Default view")))</f>
        <v>Bedroom</v>
      </c>
      <c r="AA162" t="str">
        <f>IF(entities[[#This Row],[View]]&lt;&gt;"","group."&amp;entities[[#This Row],[View]],"")</f>
        <v>group.bedroom_view</v>
      </c>
      <c r="AB162" s="6" t="str">
        <f>IF(COUNTIF(Table4[Entity],entities[[#This Row],[entity_id]]),"ok","Missing from States tab")</f>
        <v>ok</v>
      </c>
      <c r="AE162" s="14"/>
      <c r="AF162"/>
    </row>
    <row r="163" spans="2:32" x14ac:dyDescent="0.45">
      <c r="B163" t="s">
        <v>288</v>
      </c>
      <c r="C163" t="s">
        <v>291</v>
      </c>
      <c r="E163" t="s">
        <v>334</v>
      </c>
      <c r="F163" s="4" t="s">
        <v>294</v>
      </c>
      <c r="G163" t="s">
        <v>332</v>
      </c>
      <c r="H163" t="s">
        <v>371</v>
      </c>
      <c r="I163" t="str">
        <f>entities[[#This Row],[domain]]&amp;"."&amp;entities[[#This Row],[object_id]]</f>
        <v>switch.bedroom_nightstand</v>
      </c>
      <c r="J163">
        <f>5-COUNTBLANK(entities[[#This Row],[hidden]:[icon]])</f>
        <v>4</v>
      </c>
      <c r="K163">
        <f>IF(entities[[#This Row],[Custom Attributes]]=0,"",
COUNTIFS(entities[Custom Attributes],"&gt;0",entities[entity_id],"&lt;="&amp;entities[[#This Row],[entity_id]]))</f>
        <v>97</v>
      </c>
      <c r="L163" s="6">
        <f t="array" aca="1" ref="L163" ca="1">IF(entities[[#This Row],[Custom Attributes]]&lt;1,"",
MATCH(FALSE, ISBLANK(OFFSET(entities[[#This Row],[hidden]],0,0,1,5)), 0))</f>
        <v>2</v>
      </c>
      <c r="M163" s="6">
        <f t="array" aca="1" ref="M163" ca="1">IF(entities[[#This Row],[Custom Attributes]]&lt;2,"",
IF(entities[[#This Row],[1]]=5-1,5,
MATCH(FALSE, ISBLANK(OFFSET(entities[[#This Row],[hidden]],0,entities[[#This Row],[1]],1,5-entities[[#This Row],[1]])), 0)+entities[[#This Row],[1]]))</f>
        <v>3</v>
      </c>
      <c r="N163" s="6">
        <f t="array" aca="1" ref="N163" ca="1">IF(entities[[#This Row],[Custom Attributes]]&lt;3,"",
IF(entities[[#This Row],[2]]=5-1,5,
MATCH(FALSE, ISBLANK(OFFSET(entities[[#This Row],[hidden]],0,entities[[#This Row],[2]],1,5-entities[[#This Row],[2]])), 0)+entities[[#This Row],[2]]))</f>
        <v>4</v>
      </c>
      <c r="O163" s="6">
        <f t="array" aca="1" ref="O163" ca="1">IF(entities[[#This Row],[Custom Attributes]]&lt;4,"",
IF(entities[[#This Row],[3]]=5-1,5,
MATCH(FALSE, ISBLANK(OFFSET(entities[[#This Row],[hidden]],0,entities[[#This Row],[3]],1,5-entities[[#This Row],[3]])), 0)+entities[[#This Row],[3]]))</f>
        <v>5</v>
      </c>
      <c r="P163" s="14" t="str">
        <f ca="1">IF(entities[[#This Row],[1]]="","",
VLOOKUP(entities[[#This Row],[1]],Lookup!$B$5:$D$9,3,FALSE)  &amp;  INDEX(entities[[#This Row],[hidden]:[icon]],entities[[#This Row],[1]])
)</f>
        <v xml:space="preserve">  friendly_name: Nightstand Light</v>
      </c>
      <c r="Q163" s="6" t="str">
        <f ca="1">IF(entities[[#This Row],[2]]="","",
VLOOKUP(entities[[#This Row],[2]],Lookup!$B$5:$D$9,3,FALSE)  &amp;  INDEX(entities[[#This Row],[hidden]:[icon]],entities[[#This Row],[2]])
)</f>
        <v xml:space="preserve">  emulated_hue: true</v>
      </c>
      <c r="R163" s="6" t="str">
        <f ca="1">IF(entities[[#This Row],[3]]="","",
VLOOKUP(entities[[#This Row],[3]],Lookup!$B$5:$D$9,3,FALSE)  &amp;  INDEX(entities[[#This Row],[hidden]:[icon]],entities[[#This Row],[3]])
)</f>
        <v xml:space="preserve">  emulated_hue_name: Nightstand</v>
      </c>
      <c r="S163" s="6" t="str">
        <f ca="1">IF(entities[[#This Row],[4]]="","",
VLOOKUP(entities[[#This Row],[4]],Lookup!$B$5:$D$9,3,FALSE)  &amp;  INDEX(entities[[#This Row],[hidden]:[icon]],entities[[#This Row],[4]])
)</f>
        <v xml:space="preserve">  icon: mdi:lamp</v>
      </c>
      <c r="T163" t="str">
        <f t="array" ref="T163">IFERROR(INDEX(cards[object_id],SMALL(IF(cards[[1]:[25]]=entities[[#This Row],[entity_id]],ROW(cards[])-7,99^99),1)),"")</f>
        <v>bedroom_devices</v>
      </c>
      <c r="U163" t="str">
        <f>IF(entities[[#This Row],[In HA?]]&lt;&gt;"ok",  "Not in Home Assistant",
IF(entities[[#This Row],[hidden]]="true",  "Hidden",
IF(entities[[#This Row],[Card]]&lt;&gt;"",
INDEX(cards[name],MATCH(entities[[#This Row],[Card]],cards[object_id],0)),  "Badge / automatic card")))</f>
        <v>Bedroom || Devices</v>
      </c>
      <c r="V163" t="str">
        <f>IF(entities[[#This Row],[Card]]&lt;&gt;"","group."&amp;entities[[#This Row],[Card]],"")</f>
        <v>group.bedroom_devices</v>
      </c>
      <c r="W163" t="str">
        <f t="array" ref="W163">IFERROR(IF(entities[[#This Row],[Assigned Card]]="","",INDEX(views[object_id],SMALL(IF(views[[1]:[25]]=entities[[#This Row],[Assigned Card]],ROW(views[])-7,99^99),1))),"")</f>
        <v>bedroom_view</v>
      </c>
      <c r="X163" t="str">
        <f t="array" ref="X163">IFERROR(INDEX(views[object_id],SMALL(IF(views[[1]:[25]]=entities[[#This Row],[entity_id]],ROW(views[])-7,99^99),1)),"")</f>
        <v/>
      </c>
      <c r="Y163" t="str">
        <f>IF(entities[[#This Row],[View from card]]&lt;&gt;"",entities[[#This Row],[View from card]],entities[[#This Row],[View from entitiy]])</f>
        <v>bedroom_view</v>
      </c>
      <c r="Z163" t="str">
        <f>IF(entities[[#This Row],[In HA?]]&lt;&gt;"ok",  "Not in Home Assistant",
IF(entities[[#This Row],[hidden]]="true",  "Hidden",
IF(entities[[#This Row],[View]]&lt;&gt;"",
INDEX(views[name],MATCH(entities[[#This Row],[View]],views[object_id],0)),  "Default view")))</f>
        <v>Bedroom</v>
      </c>
      <c r="AA163" t="str">
        <f>IF(entities[[#This Row],[View]]&lt;&gt;"","group."&amp;entities[[#This Row],[View]],"")</f>
        <v>group.bedroom_view</v>
      </c>
      <c r="AB163" s="6" t="str">
        <f>IF(COUNTIF(Table4[Entity],entities[[#This Row],[entity_id]]),"ok","Missing from States tab")</f>
        <v>ok</v>
      </c>
      <c r="AE163" s="14"/>
      <c r="AF163"/>
    </row>
    <row r="164" spans="2:32" x14ac:dyDescent="0.45">
      <c r="B164" t="s">
        <v>288</v>
      </c>
      <c r="C164" t="s">
        <v>788</v>
      </c>
      <c r="E164" t="s">
        <v>333</v>
      </c>
      <c r="H164" t="s">
        <v>372</v>
      </c>
      <c r="I164" t="str">
        <f>entities[[#This Row],[domain]]&amp;"."&amp;entities[[#This Row],[object_id]]</f>
        <v>switch.multi_sensor_4</v>
      </c>
      <c r="J164">
        <f>5-COUNTBLANK(entities[[#This Row],[hidden]:[icon]])</f>
        <v>2</v>
      </c>
      <c r="K164">
        <f>IF(entities[[#This Row],[Custom Attributes]]=0,"",
COUNTIFS(entities[Custom Attributes],"&gt;0",entities[entity_id],"&lt;="&amp;entities[[#This Row],[entity_id]]))</f>
        <v>98</v>
      </c>
      <c r="L164" s="6">
        <f t="array" aca="1" ref="L164" ca="1">IF(entities[[#This Row],[Custom Attributes]]&lt;1,"",
MATCH(FALSE, ISBLANK(OFFSET(entities[[#This Row],[hidden]],0,0,1,5)), 0))</f>
        <v>2</v>
      </c>
      <c r="M164" s="6">
        <f t="array" aca="1" ref="M164" ca="1">IF(entities[[#This Row],[Custom Attributes]]&lt;2,"",
IF(entities[[#This Row],[1]]=5-1,5,
MATCH(FALSE, ISBLANK(OFFSET(entities[[#This Row],[hidden]],0,entities[[#This Row],[1]],1,5-entities[[#This Row],[1]])), 0)+entities[[#This Row],[1]]))</f>
        <v>5</v>
      </c>
      <c r="N164" s="6" t="str">
        <f t="array" aca="1" ref="N164" ca="1">IF(entities[[#This Row],[Custom Attributes]]&lt;3,"",
IF(entities[[#This Row],[2]]=5-1,5,
MATCH(FALSE, ISBLANK(OFFSET(entities[[#This Row],[hidden]],0,entities[[#This Row],[2]],1,5-entities[[#This Row],[2]])), 0)+entities[[#This Row],[2]]))</f>
        <v/>
      </c>
      <c r="O164" s="6" t="str">
        <f t="array" aca="1" ref="O164" ca="1">IF(entities[[#This Row],[Custom Attributes]]&lt;4,"",
IF(entities[[#This Row],[3]]=5-1,5,
MATCH(FALSE, ISBLANK(OFFSET(entities[[#This Row],[hidden]],0,entities[[#This Row],[3]],1,5-entities[[#This Row],[3]])), 0)+entities[[#This Row],[3]]))</f>
        <v/>
      </c>
      <c r="P164" s="14" t="str">
        <f ca="1">IF(entities[[#This Row],[1]]="","",
VLOOKUP(entities[[#This Row],[1]],Lookup!$B$5:$D$9,3,FALSE)  &amp;  INDEX(entities[[#This Row],[hidden]:[icon]],entities[[#This Row],[1]])
)</f>
        <v xml:space="preserve">  friendly_name: Multi-Sensor</v>
      </c>
      <c r="Q164" s="6" t="str">
        <f ca="1">IF(entities[[#This Row],[2]]="","",
VLOOKUP(entities[[#This Row],[2]],Lookup!$B$5:$D$9,3,FALSE)  &amp;  INDEX(entities[[#This Row],[hidden]:[icon]],entities[[#This Row],[2]])
)</f>
        <v xml:space="preserve">  icon: mdi:toggle-switch</v>
      </c>
      <c r="R164" s="6" t="str">
        <f ca="1">IF(entities[[#This Row],[3]]="","",
VLOOKUP(entities[[#This Row],[3]],Lookup!$B$5:$D$9,3,FALSE)  &amp;  INDEX(entities[[#This Row],[hidden]:[icon]],entities[[#This Row],[3]])
)</f>
        <v/>
      </c>
      <c r="S164" s="6" t="str">
        <f ca="1">IF(entities[[#This Row],[4]]="","",
VLOOKUP(entities[[#This Row],[4]],Lookup!$B$5:$D$9,3,FALSE)  &amp;  INDEX(entities[[#This Row],[hidden]:[icon]],entities[[#This Row],[4]])
)</f>
        <v/>
      </c>
      <c r="T164" t="str">
        <f t="array" ref="T164">IFERROR(INDEX(cards[object_id],SMALL(IF(cards[[1]:[25]]=entities[[#This Row],[entity_id]],ROW(cards[])-7,99^99),1)),"")</f>
        <v/>
      </c>
      <c r="U164" t="str">
        <f>IF(entities[[#This Row],[In HA?]]&lt;&gt;"ok",  "Not in Home Assistant",
IF(entities[[#This Row],[hidden]]="true",  "Hidden",
IF(entities[[#This Row],[Card]]&lt;&gt;"",
INDEX(cards[name],MATCH(entities[[#This Row],[Card]],cards[object_id],0)),  "Badge / automatic card")))</f>
        <v>Badge / automatic card</v>
      </c>
      <c r="V164" t="str">
        <f>IF(entities[[#This Row],[Card]]&lt;&gt;"","group."&amp;entities[[#This Row],[Card]],"")</f>
        <v/>
      </c>
      <c r="W164" t="str">
        <f t="array" ref="W164">IFERROR(IF(entities[[#This Row],[Assigned Card]]="","",INDEX(views[object_id],SMALL(IF(views[[1]:[25]]=entities[[#This Row],[Assigned Card]],ROW(views[])-7,99^99),1))),"")</f>
        <v/>
      </c>
      <c r="X164" t="str">
        <f t="array" ref="X164">IFERROR(INDEX(views[object_id],SMALL(IF(views[[1]:[25]]=entities[[#This Row],[entity_id]],ROW(views[])-7,99^99),1)),"")</f>
        <v/>
      </c>
      <c r="Y164" t="str">
        <f>IF(entities[[#This Row],[View from card]]&lt;&gt;"",entities[[#This Row],[View from card]],entities[[#This Row],[View from entitiy]])</f>
        <v/>
      </c>
      <c r="Z164" t="str">
        <f>IF(entities[[#This Row],[In HA?]]&lt;&gt;"ok",  "Not in Home Assistant",
IF(entities[[#This Row],[hidden]]="true",  "Hidden",
IF(entities[[#This Row],[View]]&lt;&gt;"",
INDEX(views[name],MATCH(entities[[#This Row],[View]],views[object_id],0)),  "Default view")))</f>
        <v>Default view</v>
      </c>
      <c r="AA164" t="str">
        <f>IF(entities[[#This Row],[View]]&lt;&gt;"","group."&amp;entities[[#This Row],[View]],"")</f>
        <v/>
      </c>
      <c r="AB164" s="6" t="str">
        <f>IF(COUNTIF(Table4[Entity],entities[[#This Row],[entity_id]]),"ok","Missing from States tab")</f>
        <v>ok</v>
      </c>
      <c r="AE164" s="14"/>
      <c r="AF164"/>
    </row>
    <row r="165" spans="2:32" x14ac:dyDescent="0.45">
      <c r="B165" t="s">
        <v>288</v>
      </c>
      <c r="C165" t="s">
        <v>785</v>
      </c>
      <c r="E165" t="s">
        <v>764</v>
      </c>
      <c r="H165" t="s">
        <v>55</v>
      </c>
      <c r="I165" t="str">
        <f>entities[[#This Row],[domain]]&amp;"."&amp;entities[[#This Row],[object_id]]</f>
        <v>switch.smart_switch1_3</v>
      </c>
      <c r="J165">
        <f>5-COUNTBLANK(entities[[#This Row],[hidden]:[icon]])</f>
        <v>1</v>
      </c>
      <c r="K165">
        <f>IF(entities[[#This Row],[Custom Attributes]]=0,"",
COUNTIFS(entities[Custom Attributes],"&gt;0",entities[entity_id],"&lt;="&amp;entities[[#This Row],[entity_id]]))</f>
        <v>99</v>
      </c>
      <c r="L165" s="6">
        <f t="array" aca="1" ref="L165" ca="1">IF(entities[[#This Row],[Custom Attributes]]&lt;1,"",
MATCH(FALSE, ISBLANK(OFFSET(entities[[#This Row],[hidden]],0,0,1,5)), 0))</f>
        <v>2</v>
      </c>
      <c r="M165" s="6" t="str">
        <f t="array" aca="1" ref="M165" ca="1">IF(entities[[#This Row],[Custom Attributes]]&lt;2,"",
IF(entities[[#This Row],[1]]=5-1,5,
MATCH(FALSE, ISBLANK(OFFSET(entities[[#This Row],[hidden]],0,entities[[#This Row],[1]],1,5-entities[[#This Row],[1]])), 0)+entities[[#This Row],[1]]))</f>
        <v/>
      </c>
      <c r="N165" s="6" t="str">
        <f t="array" aca="1" ref="N165" ca="1">IF(entities[[#This Row],[Custom Attributes]]&lt;3,"",
IF(entities[[#This Row],[2]]=5-1,5,
MATCH(FALSE, ISBLANK(OFFSET(entities[[#This Row],[hidden]],0,entities[[#This Row],[2]],1,5-entities[[#This Row],[2]])), 0)+entities[[#This Row],[2]]))</f>
        <v/>
      </c>
      <c r="O165" s="6" t="str">
        <f t="array" aca="1" ref="O165" ca="1">IF(entities[[#This Row],[Custom Attributes]]&lt;4,"",
IF(entities[[#This Row],[3]]=5-1,5,
MATCH(FALSE, ISBLANK(OFFSET(entities[[#This Row],[hidden]],0,entities[[#This Row],[3]],1,5-entities[[#This Row],[3]])), 0)+entities[[#This Row],[3]]))</f>
        <v/>
      </c>
      <c r="P165" s="14" t="str">
        <f ca="1">IF(entities[[#This Row],[1]]="","",
VLOOKUP(entities[[#This Row],[1]],Lookup!$B$5:$D$9,3,FALSE)  &amp;  INDEX(entities[[#This Row],[hidden]:[icon]],entities[[#This Row],[1]])
)</f>
        <v xml:space="preserve">  friendly_name: tv_master</v>
      </c>
      <c r="Q165" s="6" t="str">
        <f ca="1">IF(entities[[#This Row],[2]]="","",
VLOOKUP(entities[[#This Row],[2]],Lookup!$B$5:$D$9,3,FALSE)  &amp;  INDEX(entities[[#This Row],[hidden]:[icon]],entities[[#This Row],[2]])
)</f>
        <v/>
      </c>
      <c r="R165" s="6" t="str">
        <f ca="1">IF(entities[[#This Row],[3]]="","",
VLOOKUP(entities[[#This Row],[3]],Lookup!$B$5:$D$9,3,FALSE)  &amp;  INDEX(entities[[#This Row],[hidden]:[icon]],entities[[#This Row],[3]])
)</f>
        <v/>
      </c>
      <c r="S165" s="6" t="str">
        <f ca="1">IF(entities[[#This Row],[4]]="","",
VLOOKUP(entities[[#This Row],[4]],Lookup!$B$5:$D$9,3,FALSE)  &amp;  INDEX(entities[[#This Row],[hidden]:[icon]],entities[[#This Row],[4]])
)</f>
        <v/>
      </c>
      <c r="T165" t="str">
        <f t="array" ref="T165">IFERROR(INDEX(cards[object_id],SMALL(IF(cards[[1]:[25]]=entities[[#This Row],[entity_id]],ROW(cards[])-7,99^99),1)),"")</f>
        <v/>
      </c>
      <c r="U165" t="str">
        <f>IF(entities[[#This Row],[In HA?]]&lt;&gt;"ok",  "Not in Home Assistant",
IF(entities[[#This Row],[hidden]]="true",  "Hidden",
IF(entities[[#This Row],[Card]]&lt;&gt;"",
INDEX(cards[name],MATCH(entities[[#This Row],[Card]],cards[object_id],0)),  "Badge / automatic card")))</f>
        <v>Badge / automatic card</v>
      </c>
      <c r="V165" t="str">
        <f>IF(entities[[#This Row],[Card]]&lt;&gt;"","group."&amp;entities[[#This Row],[Card]],"")</f>
        <v/>
      </c>
      <c r="W165" t="str">
        <f t="array" ref="W165">IFERROR(IF(entities[[#This Row],[Assigned Card]]="","",INDEX(views[object_id],SMALL(IF(views[[1]:[25]]=entities[[#This Row],[Assigned Card]],ROW(views[])-7,99^99),1))),"")</f>
        <v/>
      </c>
      <c r="X165" t="str">
        <f t="array" ref="X165">IFERROR(INDEX(views[object_id],SMALL(IF(views[[1]:[25]]=entities[[#This Row],[entity_id]],ROW(views[])-7,99^99),1)),"")</f>
        <v/>
      </c>
      <c r="Y165" t="str">
        <f>IF(entities[[#This Row],[View from card]]&lt;&gt;"",entities[[#This Row],[View from card]],entities[[#This Row],[View from entitiy]])</f>
        <v/>
      </c>
      <c r="Z165" t="str">
        <f>IF(entities[[#This Row],[In HA?]]&lt;&gt;"ok",  "Not in Home Assistant",
IF(entities[[#This Row],[hidden]]="true",  "Hidden",
IF(entities[[#This Row],[View]]&lt;&gt;"",
INDEX(views[name],MATCH(entities[[#This Row],[View]],views[object_id],0)),  "Default view")))</f>
        <v>Default view</v>
      </c>
      <c r="AA165" t="str">
        <f>IF(entities[[#This Row],[View]]&lt;&gt;"","group."&amp;entities[[#This Row],[View]],"")</f>
        <v/>
      </c>
      <c r="AB165" s="6" t="str">
        <f>IF(COUNTIF(Table4[Entity],entities[[#This Row],[entity_id]]),"ok","Missing from States tab")</f>
        <v>ok</v>
      </c>
      <c r="AE165" s="14"/>
      <c r="AF165"/>
    </row>
    <row r="166" spans="2:32" x14ac:dyDescent="0.45">
      <c r="B166" t="s">
        <v>288</v>
      </c>
      <c r="C166" t="s">
        <v>786</v>
      </c>
      <c r="E166" t="s">
        <v>336</v>
      </c>
      <c r="H166" t="s">
        <v>55</v>
      </c>
      <c r="I166" t="str">
        <f>entities[[#This Row],[domain]]&amp;"."&amp;entities[[#This Row],[object_id]]</f>
        <v>switch.smart_switch2_7</v>
      </c>
      <c r="J166">
        <f>5-COUNTBLANK(entities[[#This Row],[hidden]:[icon]])</f>
        <v>1</v>
      </c>
      <c r="K166">
        <f>IF(entities[[#This Row],[Custom Attributes]]=0,"",
COUNTIFS(entities[Custom Attributes],"&gt;0",entities[entity_id],"&lt;="&amp;entities[[#This Row],[entity_id]]))</f>
        <v>100</v>
      </c>
      <c r="L166" s="6">
        <f t="array" aca="1" ref="L166" ca="1">IF(entities[[#This Row],[Custom Attributes]]&lt;1,"",
MATCH(FALSE, ISBLANK(OFFSET(entities[[#This Row],[hidden]],0,0,1,5)), 0))</f>
        <v>2</v>
      </c>
      <c r="M166" s="6" t="str">
        <f t="array" aca="1" ref="M166" ca="1">IF(entities[[#This Row],[Custom Attributes]]&lt;2,"",
IF(entities[[#This Row],[1]]=5-1,5,
MATCH(FALSE, ISBLANK(OFFSET(entities[[#This Row],[hidden]],0,entities[[#This Row],[1]],1,5-entities[[#This Row],[1]])), 0)+entities[[#This Row],[1]]))</f>
        <v/>
      </c>
      <c r="N166" s="6" t="str">
        <f t="array" aca="1" ref="N166" ca="1">IF(entities[[#This Row],[Custom Attributes]]&lt;3,"",
IF(entities[[#This Row],[2]]=5-1,5,
MATCH(FALSE, ISBLANK(OFFSET(entities[[#This Row],[hidden]],0,entities[[#This Row],[2]],1,5-entities[[#This Row],[2]])), 0)+entities[[#This Row],[2]]))</f>
        <v/>
      </c>
      <c r="O166" s="6" t="str">
        <f t="array" aca="1" ref="O166" ca="1">IF(entities[[#This Row],[Custom Attributes]]&lt;4,"",
IF(entities[[#This Row],[3]]=5-1,5,
MATCH(FALSE, ISBLANK(OFFSET(entities[[#This Row],[hidden]],0,entities[[#This Row],[3]],1,5-entities[[#This Row],[3]])), 0)+entities[[#This Row],[3]]))</f>
        <v/>
      </c>
      <c r="P166" s="14" t="str">
        <f ca="1">IF(entities[[#This Row],[1]]="","",
VLOOKUP(entities[[#This Row],[1]],Lookup!$B$5:$D$9,3,FALSE)  &amp;  INDEX(entities[[#This Row],[hidden]:[icon]],entities[[#This Row],[1]])
)</f>
        <v xml:space="preserve">  friendly_name: humvee_monitor</v>
      </c>
      <c r="Q166" s="6" t="str">
        <f ca="1">IF(entities[[#This Row],[2]]="","",
VLOOKUP(entities[[#This Row],[2]],Lookup!$B$5:$D$9,3,FALSE)  &amp;  INDEX(entities[[#This Row],[hidden]:[icon]],entities[[#This Row],[2]])
)</f>
        <v/>
      </c>
      <c r="R166" s="6" t="str">
        <f ca="1">IF(entities[[#This Row],[3]]="","",
VLOOKUP(entities[[#This Row],[3]],Lookup!$B$5:$D$9,3,FALSE)  &amp;  INDEX(entities[[#This Row],[hidden]:[icon]],entities[[#This Row],[3]])
)</f>
        <v/>
      </c>
      <c r="S166" s="6" t="str">
        <f ca="1">IF(entities[[#This Row],[4]]="","",
VLOOKUP(entities[[#This Row],[4]],Lookup!$B$5:$D$9,3,FALSE)  &amp;  INDEX(entities[[#This Row],[hidden]:[icon]],entities[[#This Row],[4]])
)</f>
        <v/>
      </c>
      <c r="T166" t="str">
        <f t="array" ref="T166">IFERROR(INDEX(cards[object_id],SMALL(IF(cards[[1]:[25]]=entities[[#This Row],[entity_id]],ROW(cards[])-7,99^99),1)),"")</f>
        <v/>
      </c>
      <c r="U166" t="str">
        <f>IF(entities[[#This Row],[In HA?]]&lt;&gt;"ok",  "Not in Home Assistant",
IF(entities[[#This Row],[hidden]]="true",  "Hidden",
IF(entities[[#This Row],[Card]]&lt;&gt;"",
INDEX(cards[name],MATCH(entities[[#This Row],[Card]],cards[object_id],0)),  "Badge / automatic card")))</f>
        <v>Badge / automatic card</v>
      </c>
      <c r="V166" t="str">
        <f>IF(entities[[#This Row],[Card]]&lt;&gt;"","group."&amp;entities[[#This Row],[Card]],"")</f>
        <v/>
      </c>
      <c r="W166" t="str">
        <f t="array" ref="W166">IFERROR(IF(entities[[#This Row],[Assigned Card]]="","",INDEX(views[object_id],SMALL(IF(views[[1]:[25]]=entities[[#This Row],[Assigned Card]],ROW(views[])-7,99^99),1))),"")</f>
        <v/>
      </c>
      <c r="X166" t="str">
        <f t="array" ref="X166">IFERROR(INDEX(views[object_id],SMALL(IF(views[[1]:[25]]=entities[[#This Row],[entity_id]],ROW(views[])-7,99^99),1)),"")</f>
        <v/>
      </c>
      <c r="Y166" t="str">
        <f>IF(entities[[#This Row],[View from card]]&lt;&gt;"",entities[[#This Row],[View from card]],entities[[#This Row],[View from entitiy]])</f>
        <v/>
      </c>
      <c r="Z166" t="str">
        <f>IF(entities[[#This Row],[In HA?]]&lt;&gt;"ok",  "Not in Home Assistant",
IF(entities[[#This Row],[hidden]]="true",  "Hidden",
IF(entities[[#This Row],[View]]&lt;&gt;"",
INDEX(views[name],MATCH(entities[[#This Row],[View]],views[object_id],0)),  "Default view")))</f>
        <v>Default view</v>
      </c>
      <c r="AA166" t="str">
        <f>IF(entities[[#This Row],[View]]&lt;&gt;"","group."&amp;entities[[#This Row],[View]],"")</f>
        <v/>
      </c>
      <c r="AB166" s="6" t="str">
        <f>IF(COUNTIF(Table4[Entity],entities[[#This Row],[entity_id]]),"ok","Missing from States tab")</f>
        <v>ok</v>
      </c>
      <c r="AE166" s="14"/>
      <c r="AF166"/>
    </row>
    <row r="167" spans="2:32" x14ac:dyDescent="0.45">
      <c r="B167" t="s">
        <v>288</v>
      </c>
      <c r="C167" t="s">
        <v>292</v>
      </c>
      <c r="D167" s="4" t="s">
        <v>294</v>
      </c>
      <c r="H167" t="s">
        <v>55</v>
      </c>
      <c r="I167" t="str">
        <f>entities[[#This Row],[domain]]&amp;"."&amp;entities[[#This Row],[object_id]]</f>
        <v>switch.switch4</v>
      </c>
      <c r="J167">
        <f>5-COUNTBLANK(entities[[#This Row],[hidden]:[icon]])</f>
        <v>1</v>
      </c>
      <c r="K167">
        <f>IF(entities[[#This Row],[Custom Attributes]]=0,"",
COUNTIFS(entities[Custom Attributes],"&gt;0",entities[entity_id],"&lt;="&amp;entities[[#This Row],[entity_id]]))</f>
        <v>101</v>
      </c>
      <c r="L167" s="6">
        <f t="array" aca="1" ref="L167" ca="1">IF(entities[[#This Row],[Custom Attributes]]&lt;1,"",
MATCH(FALSE, ISBLANK(OFFSET(entities[[#This Row],[hidden]],0,0,1,5)), 0))</f>
        <v>1</v>
      </c>
      <c r="M167" s="6" t="str">
        <f t="array" aca="1" ref="M167" ca="1">IF(entities[[#This Row],[Custom Attributes]]&lt;2,"",
IF(entities[[#This Row],[1]]=5-1,5,
MATCH(FALSE, ISBLANK(OFFSET(entities[[#This Row],[hidden]],0,entities[[#This Row],[1]],1,5-entities[[#This Row],[1]])), 0)+entities[[#This Row],[1]]))</f>
        <v/>
      </c>
      <c r="N167" s="6" t="str">
        <f t="array" aca="1" ref="N167" ca="1">IF(entities[[#This Row],[Custom Attributes]]&lt;3,"",
IF(entities[[#This Row],[2]]=5-1,5,
MATCH(FALSE, ISBLANK(OFFSET(entities[[#This Row],[hidden]],0,entities[[#This Row],[2]],1,5-entities[[#This Row],[2]])), 0)+entities[[#This Row],[2]]))</f>
        <v/>
      </c>
      <c r="O167" s="6" t="str">
        <f t="array" aca="1" ref="O167" ca="1">IF(entities[[#This Row],[Custom Attributes]]&lt;4,"",
IF(entities[[#This Row],[3]]=5-1,5,
MATCH(FALSE, ISBLANK(OFFSET(entities[[#This Row],[hidden]],0,entities[[#This Row],[3]],1,5-entities[[#This Row],[3]])), 0)+entities[[#This Row],[3]]))</f>
        <v/>
      </c>
      <c r="P167" s="14" t="str">
        <f ca="1">IF(entities[[#This Row],[1]]="","",
VLOOKUP(entities[[#This Row],[1]],Lookup!$B$5:$D$9,3,FALSE)  &amp;  INDEX(entities[[#This Row],[hidden]:[icon]],entities[[#This Row],[1]])
)</f>
        <v xml:space="preserve">  hidden: true</v>
      </c>
      <c r="Q167" s="6" t="str">
        <f ca="1">IF(entities[[#This Row],[2]]="","",
VLOOKUP(entities[[#This Row],[2]],Lookup!$B$5:$D$9,3,FALSE)  &amp;  INDEX(entities[[#This Row],[hidden]:[icon]],entities[[#This Row],[2]])
)</f>
        <v/>
      </c>
      <c r="R167" s="6" t="str">
        <f ca="1">IF(entities[[#This Row],[3]]="","",
VLOOKUP(entities[[#This Row],[3]],Lookup!$B$5:$D$9,3,FALSE)  &amp;  INDEX(entities[[#This Row],[hidden]:[icon]],entities[[#This Row],[3]])
)</f>
        <v/>
      </c>
      <c r="S167" s="6" t="str">
        <f ca="1">IF(entities[[#This Row],[4]]="","",
VLOOKUP(entities[[#This Row],[4]],Lookup!$B$5:$D$9,3,FALSE)  &amp;  INDEX(entities[[#This Row],[hidden]:[icon]],entities[[#This Row],[4]])
)</f>
        <v/>
      </c>
      <c r="T167" t="str">
        <f t="array" ref="T167">IFERROR(INDEX(cards[object_id],SMALL(IF(cards[[1]:[25]]=entities[[#This Row],[entity_id]],ROW(cards[])-7,99^99),1)),"")</f>
        <v/>
      </c>
      <c r="U167" t="str">
        <f>IF(entities[[#This Row],[In HA?]]&lt;&gt;"ok",  "Not in Home Assistant",
IF(entities[[#This Row],[hidden]]="true",  "Hidden",
IF(entities[[#This Row],[Card]]&lt;&gt;"",
INDEX(cards[name],MATCH(entities[[#This Row],[Card]],cards[object_id],0)),  "Badge / automatic card")))</f>
        <v>Hidden</v>
      </c>
      <c r="V167" t="str">
        <f>IF(entities[[#This Row],[Card]]&lt;&gt;"","group."&amp;entities[[#This Row],[Card]],"")</f>
        <v/>
      </c>
      <c r="W167" t="str">
        <f t="array" ref="W167">IFERROR(IF(entities[[#This Row],[Assigned Card]]="","",INDEX(views[object_id],SMALL(IF(views[[1]:[25]]=entities[[#This Row],[Assigned Card]],ROW(views[])-7,99^99),1))),"")</f>
        <v/>
      </c>
      <c r="X167" t="str">
        <f t="array" ref="X167">IFERROR(INDEX(views[object_id],SMALL(IF(views[[1]:[25]]=entities[[#This Row],[entity_id]],ROW(views[])-7,99^99),1)),"")</f>
        <v/>
      </c>
      <c r="Y167" t="str">
        <f>IF(entities[[#This Row],[View from card]]&lt;&gt;"",entities[[#This Row],[View from card]],entities[[#This Row],[View from entitiy]])</f>
        <v/>
      </c>
      <c r="Z167" t="str">
        <f>IF(entities[[#This Row],[In HA?]]&lt;&gt;"ok",  "Not in Home Assistant",
IF(entities[[#This Row],[hidden]]="true",  "Hidden",
IF(entities[[#This Row],[View]]&lt;&gt;"",
INDEX(views[name],MATCH(entities[[#This Row],[View]],views[object_id],0)),  "Default view")))</f>
        <v>Hidden</v>
      </c>
      <c r="AA167" t="str">
        <f>IF(entities[[#This Row],[View]]&lt;&gt;"","group."&amp;entities[[#This Row],[View]],"")</f>
        <v/>
      </c>
      <c r="AB167" s="6" t="str">
        <f>IF(COUNTIF(Table4[Entity],entities[[#This Row],[entity_id]]),"ok","Missing from States tab")</f>
        <v>ok</v>
      </c>
      <c r="AE167" s="14"/>
      <c r="AF167"/>
    </row>
    <row r="168" spans="2:32" x14ac:dyDescent="0.45">
      <c r="B168" t="s">
        <v>288</v>
      </c>
      <c r="C168" t="s">
        <v>293</v>
      </c>
      <c r="D168" s="4" t="s">
        <v>294</v>
      </c>
      <c r="H168" t="s">
        <v>55</v>
      </c>
      <c r="I168" t="str">
        <f>entities[[#This Row],[domain]]&amp;"."&amp;entities[[#This Row],[object_id]]</f>
        <v>switch.switch5</v>
      </c>
      <c r="J168">
        <f>5-COUNTBLANK(entities[[#This Row],[hidden]:[icon]])</f>
        <v>1</v>
      </c>
      <c r="K168">
        <f>IF(entities[[#This Row],[Custom Attributes]]=0,"",
COUNTIFS(entities[Custom Attributes],"&gt;0",entities[entity_id],"&lt;="&amp;entities[[#This Row],[entity_id]]))</f>
        <v>102</v>
      </c>
      <c r="L168" s="6">
        <f t="array" aca="1" ref="L168" ca="1">IF(entities[[#This Row],[Custom Attributes]]&lt;1,"",
MATCH(FALSE, ISBLANK(OFFSET(entities[[#This Row],[hidden]],0,0,1,5)), 0))</f>
        <v>1</v>
      </c>
      <c r="M168" s="6" t="str">
        <f t="array" aca="1" ref="M168" ca="1">IF(entities[[#This Row],[Custom Attributes]]&lt;2,"",
IF(entities[[#This Row],[1]]=5-1,5,
MATCH(FALSE, ISBLANK(OFFSET(entities[[#This Row],[hidden]],0,entities[[#This Row],[1]],1,5-entities[[#This Row],[1]])), 0)+entities[[#This Row],[1]]))</f>
        <v/>
      </c>
      <c r="N168" s="6" t="str">
        <f t="array" aca="1" ref="N168" ca="1">IF(entities[[#This Row],[Custom Attributes]]&lt;3,"",
IF(entities[[#This Row],[2]]=5-1,5,
MATCH(FALSE, ISBLANK(OFFSET(entities[[#This Row],[hidden]],0,entities[[#This Row],[2]],1,5-entities[[#This Row],[2]])), 0)+entities[[#This Row],[2]]))</f>
        <v/>
      </c>
      <c r="O168" s="6" t="str">
        <f t="array" aca="1" ref="O168" ca="1">IF(entities[[#This Row],[Custom Attributes]]&lt;4,"",
IF(entities[[#This Row],[3]]=5-1,5,
MATCH(FALSE, ISBLANK(OFFSET(entities[[#This Row],[hidden]],0,entities[[#This Row],[3]],1,5-entities[[#This Row],[3]])), 0)+entities[[#This Row],[3]]))</f>
        <v/>
      </c>
      <c r="P168" s="14" t="str">
        <f ca="1">IF(entities[[#This Row],[1]]="","",
VLOOKUP(entities[[#This Row],[1]],Lookup!$B$5:$D$9,3,FALSE)  &amp;  INDEX(entities[[#This Row],[hidden]:[icon]],entities[[#This Row],[1]])
)</f>
        <v xml:space="preserve">  hidden: true</v>
      </c>
      <c r="Q168" s="6" t="str">
        <f ca="1">IF(entities[[#This Row],[2]]="","",
VLOOKUP(entities[[#This Row],[2]],Lookup!$B$5:$D$9,3,FALSE)  &amp;  INDEX(entities[[#This Row],[hidden]:[icon]],entities[[#This Row],[2]])
)</f>
        <v/>
      </c>
      <c r="R168" s="6" t="str">
        <f ca="1">IF(entities[[#This Row],[3]]="","",
VLOOKUP(entities[[#This Row],[3]],Lookup!$B$5:$D$9,3,FALSE)  &amp;  INDEX(entities[[#This Row],[hidden]:[icon]],entities[[#This Row],[3]])
)</f>
        <v/>
      </c>
      <c r="S168" s="6" t="str">
        <f ca="1">IF(entities[[#This Row],[4]]="","",
VLOOKUP(entities[[#This Row],[4]],Lookup!$B$5:$D$9,3,FALSE)  &amp;  INDEX(entities[[#This Row],[hidden]:[icon]],entities[[#This Row],[4]])
)</f>
        <v/>
      </c>
      <c r="T168" t="str">
        <f t="array" ref="T168">IFERROR(INDEX(cards[object_id],SMALL(IF(cards[[1]:[25]]=entities[[#This Row],[entity_id]],ROW(cards[])-7,99^99),1)),"")</f>
        <v/>
      </c>
      <c r="U168" t="str">
        <f>IF(entities[[#This Row],[In HA?]]&lt;&gt;"ok",  "Not in Home Assistant",
IF(entities[[#This Row],[hidden]]="true",  "Hidden",
IF(entities[[#This Row],[Card]]&lt;&gt;"",
INDEX(cards[name],MATCH(entities[[#This Row],[Card]],cards[object_id],0)),  "Badge / automatic card")))</f>
        <v>Hidden</v>
      </c>
      <c r="V168" t="str">
        <f>IF(entities[[#This Row],[Card]]&lt;&gt;"","group."&amp;entities[[#This Row],[Card]],"")</f>
        <v/>
      </c>
      <c r="W168" t="str">
        <f t="array" ref="W168">IFERROR(IF(entities[[#This Row],[Assigned Card]]="","",INDEX(views[object_id],SMALL(IF(views[[1]:[25]]=entities[[#This Row],[Assigned Card]],ROW(views[])-7,99^99),1))),"")</f>
        <v/>
      </c>
      <c r="X168" t="str">
        <f t="array" ref="X168">IFERROR(INDEX(views[object_id],SMALL(IF(views[[1]:[25]]=entities[[#This Row],[entity_id]],ROW(views[])-7,99^99),1)),"")</f>
        <v/>
      </c>
      <c r="Y168" t="str">
        <f>IF(entities[[#This Row],[View from card]]&lt;&gt;"",entities[[#This Row],[View from card]],entities[[#This Row],[View from entitiy]])</f>
        <v/>
      </c>
      <c r="Z168" t="str">
        <f>IF(entities[[#This Row],[In HA?]]&lt;&gt;"ok",  "Not in Home Assistant",
IF(entities[[#This Row],[hidden]]="true",  "Hidden",
IF(entities[[#This Row],[View]]&lt;&gt;"",
INDEX(views[name],MATCH(entities[[#This Row],[View]],views[object_id],0)),  "Default view")))</f>
        <v>Hidden</v>
      </c>
      <c r="AA168" t="str">
        <f>IF(entities[[#This Row],[View]]&lt;&gt;"","group."&amp;entities[[#This Row],[View]],"")</f>
        <v/>
      </c>
      <c r="AB168" s="6" t="str">
        <f>IF(COUNTIF(Table4[Entity],entities[[#This Row],[entity_id]]),"ok","Missing from States tab")</f>
        <v>ok</v>
      </c>
      <c r="AE168" s="14"/>
      <c r="AF168"/>
    </row>
    <row r="169" spans="2:32" x14ac:dyDescent="0.45">
      <c r="B169" t="s">
        <v>817</v>
      </c>
      <c r="C169" t="s">
        <v>100</v>
      </c>
      <c r="I169" s="6" t="str">
        <f>entities[[#This Row],[domain]]&amp;"."&amp;entities[[#This Row],[object_id]]</f>
        <v>zone.home</v>
      </c>
      <c r="J169" s="6">
        <f>5-COUNTBLANK(entities[[#This Row],[hidden]:[icon]])</f>
        <v>0</v>
      </c>
      <c r="K169" s="6" t="str">
        <f>IF(entities[[#This Row],[Custom Attributes]]=0,"",
COUNTIFS(entities[Custom Attributes],"&gt;0",entities[entity_id],"&lt;="&amp;entities[[#This Row],[entity_id]]))</f>
        <v/>
      </c>
      <c r="L169" s="6" t="str">
        <f t="array" aca="1" ref="L169" ca="1">IF(entities[[#This Row],[Custom Attributes]]&lt;1,"",
MATCH(FALSE, ISBLANK(OFFSET(entities[[#This Row],[hidden]],0,0,1,5)), 0))</f>
        <v/>
      </c>
      <c r="M169" s="6" t="str">
        <f t="array" aca="1" ref="M169" ca="1">IF(entities[[#This Row],[Custom Attributes]]&lt;2,"",
IF(entities[[#This Row],[1]]=5-1,5,
MATCH(FALSE, ISBLANK(OFFSET(entities[[#This Row],[hidden]],0,entities[[#This Row],[1]],1,5-entities[[#This Row],[1]])), 0)+entities[[#This Row],[1]]))</f>
        <v/>
      </c>
      <c r="N169" s="6" t="str">
        <f t="array" aca="1" ref="N169" ca="1">IF(entities[[#This Row],[Custom Attributes]]&lt;3,"",
IF(entities[[#This Row],[2]]=5-1,5,
MATCH(FALSE, ISBLANK(OFFSET(entities[[#This Row],[hidden]],0,entities[[#This Row],[2]],1,5-entities[[#This Row],[2]])), 0)+entities[[#This Row],[2]]))</f>
        <v/>
      </c>
      <c r="O169" s="6" t="str">
        <f t="array" aca="1" ref="O169" ca="1">IF(entities[[#This Row],[Custom Attributes]]&lt;4,"",
IF(entities[[#This Row],[3]]=5-1,5,
MATCH(FALSE, ISBLANK(OFFSET(entities[[#This Row],[hidden]],0,entities[[#This Row],[3]],1,5-entities[[#This Row],[3]])), 0)+entities[[#This Row],[3]]))</f>
        <v/>
      </c>
      <c r="P169" s="14" t="str">
        <f ca="1">IF(entities[[#This Row],[1]]="","",
VLOOKUP(entities[[#This Row],[1]],Lookup!$B$5:$D$9,3,FALSE)  &amp;  INDEX(entities[[#This Row],[hidden]:[icon]],entities[[#This Row],[1]])
)</f>
        <v/>
      </c>
      <c r="Q169" s="6" t="str">
        <f ca="1">IF(entities[[#This Row],[2]]="","",
VLOOKUP(entities[[#This Row],[2]],Lookup!$B$5:$D$9,3,FALSE)  &amp;  INDEX(entities[[#This Row],[hidden]:[icon]],entities[[#This Row],[2]])
)</f>
        <v/>
      </c>
      <c r="R169" s="6" t="str">
        <f ca="1">IF(entities[[#This Row],[3]]="","",
VLOOKUP(entities[[#This Row],[3]],Lookup!$B$5:$D$9,3,FALSE)  &amp;  INDEX(entities[[#This Row],[hidden]:[icon]],entities[[#This Row],[3]])
)</f>
        <v/>
      </c>
      <c r="S169" s="6" t="str">
        <f ca="1">IF(entities[[#This Row],[4]]="","",
VLOOKUP(entities[[#This Row],[4]],Lookup!$B$5:$D$9,3,FALSE)  &amp;  INDEX(entities[[#This Row],[hidden]:[icon]],entities[[#This Row],[4]])
)</f>
        <v/>
      </c>
      <c r="T169" s="6" t="str">
        <f t="array" ref="T169">IFERROR(INDEX(cards[object_id],SMALL(IF(cards[[1]:[25]]=entities[[#This Row],[entity_id]],ROW(cards[])-7,99^99),1)),"")</f>
        <v/>
      </c>
      <c r="U169" s="6" t="str">
        <f>IF(entities[[#This Row],[In HA?]]&lt;&gt;"ok",  "Not in Home Assistant",
IF(entities[[#This Row],[hidden]]="true",  "Hidden",
IF(entities[[#This Row],[Card]]&lt;&gt;"",
INDEX(cards[name],MATCH(entities[[#This Row],[Card]],cards[object_id],0)),  "Badge / automatic card")))</f>
        <v>Badge / automatic card</v>
      </c>
      <c r="V169" s="6" t="str">
        <f>IF(entities[[#This Row],[Card]]&lt;&gt;"","group."&amp;entities[[#This Row],[Card]],"")</f>
        <v/>
      </c>
      <c r="W169" s="6" t="str">
        <f t="array" ref="W169">IFERROR(IF(entities[[#This Row],[Assigned Card]]="","",INDEX(views[object_id],SMALL(IF(views[[1]:[25]]=entities[[#This Row],[Assigned Card]],ROW(views[])-7,99^99),1))),"")</f>
        <v/>
      </c>
      <c r="X169" s="6" t="str">
        <f t="array" ref="X169">IFERROR(INDEX(views[object_id],SMALL(IF(views[[1]:[25]]=entities[[#This Row],[entity_id]],ROW(views[])-7,99^99),1)),"")</f>
        <v/>
      </c>
      <c r="Y169" s="6" t="str">
        <f>IF(entities[[#This Row],[View from card]]&lt;&gt;"",entities[[#This Row],[View from card]],entities[[#This Row],[View from entitiy]])</f>
        <v/>
      </c>
      <c r="Z169" s="6" t="str">
        <f>IF(entities[[#This Row],[In HA?]]&lt;&gt;"ok",  "Not in Home Assistant",
IF(entities[[#This Row],[hidden]]="true",  "Hidden",
IF(entities[[#This Row],[View]]&lt;&gt;"",
INDEX(views[name],MATCH(entities[[#This Row],[View]],views[object_id],0)),  "Default view")))</f>
        <v>Default view</v>
      </c>
      <c r="AA169" s="6" t="str">
        <f>IF(entities[[#This Row],[View]]&lt;&gt;"","group."&amp;entities[[#This Row],[View]],"")</f>
        <v/>
      </c>
      <c r="AB169" s="6" t="str">
        <f>IF(COUNTIF(Table4[Entity],entities[[#This Row],[entity_id]]),"ok","Missing from States tab")</f>
        <v>ok</v>
      </c>
      <c r="AE169" s="14"/>
      <c r="AF169"/>
    </row>
  </sheetData>
  <conditionalFormatting sqref="AB7:AB169">
    <cfRule type="containsText" dxfId="78" priority="3" operator="containsText" text="missing">
      <formula>NOT(ISERROR(SEARCH("missing",AB7)))</formula>
    </cfRule>
  </conditionalFormatting>
  <conditionalFormatting sqref="U7:U169">
    <cfRule type="containsText" dxfId="77" priority="2" operator="containsText" text="badge">
      <formula>NOT(ISERROR(SEARCH("badge",U7)))</formula>
    </cfRule>
  </conditionalFormatting>
  <conditionalFormatting sqref="AA7:AA169">
    <cfRule type="containsText" dxfId="76" priority="1" operator="containsText" text="default">
      <formula>NOT(ISERROR(SEARCH("default",AA7)))</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K31"/>
  <sheetViews>
    <sheetView showGridLines="0" zoomScaleNormal="100" workbookViewId="0">
      <selection activeCell="G18" sqref="G18"/>
    </sheetView>
  </sheetViews>
  <sheetFormatPr defaultRowHeight="14.25" outlineLevelCol="1" x14ac:dyDescent="0.45"/>
  <cols>
    <col min="1" max="1" width="2.3984375" customWidth="1"/>
    <col min="2" max="2" width="4.265625" bestFit="1" customWidth="1"/>
    <col min="3" max="3" width="21.3984375" bestFit="1" customWidth="1"/>
    <col min="4" max="5" width="14.1328125" customWidth="1"/>
    <col min="6" max="29" width="5.59765625" customWidth="1"/>
    <col min="30" max="30" width="9.1328125" customWidth="1"/>
    <col min="31" max="31" width="5.59765625" hidden="1" customWidth="1" outlineLevel="1"/>
    <col min="32" max="32" width="9.1328125" hidden="1" customWidth="1" outlineLevel="1"/>
    <col min="33" max="33" width="9.1328125" hidden="1" customWidth="1" outlineLevel="1" collapsed="1"/>
    <col min="34" max="58" width="5.59765625" hidden="1" customWidth="1" outlineLevel="1"/>
    <col min="59" max="59" width="27" customWidth="1" collapsed="1"/>
    <col min="60" max="60" width="16" customWidth="1"/>
    <col min="61" max="62" width="14.1328125" customWidth="1"/>
    <col min="63" max="63" width="36.265625" bestFit="1" customWidth="1"/>
    <col min="64" max="64" width="14.1328125" customWidth="1"/>
    <col min="65" max="65" width="36.265625" bestFit="1" customWidth="1"/>
    <col min="66" max="111" width="14.1328125" customWidth="1"/>
    <col min="112" max="112" width="5.59765625" customWidth="1"/>
    <col min="116" max="116" width="4.86328125" customWidth="1"/>
  </cols>
  <sheetData>
    <row r="1" spans="1:63" ht="21" x14ac:dyDescent="0.65">
      <c r="A1" s="1" t="s">
        <v>670</v>
      </c>
    </row>
    <row r="3" spans="1:63" x14ac:dyDescent="0.45">
      <c r="A3" s="19" t="s">
        <v>694</v>
      </c>
    </row>
    <row r="4" spans="1:63" x14ac:dyDescent="0.45">
      <c r="A4" s="19" t="s">
        <v>834</v>
      </c>
    </row>
    <row r="5" spans="1:63" x14ac:dyDescent="0.45">
      <c r="AG5" t="s">
        <v>729</v>
      </c>
      <c r="AH5">
        <v>1</v>
      </c>
      <c r="AI5">
        <v>2</v>
      </c>
      <c r="AJ5">
        <v>3</v>
      </c>
      <c r="AK5">
        <v>4</v>
      </c>
      <c r="AL5">
        <v>5</v>
      </c>
      <c r="AM5">
        <v>6</v>
      </c>
      <c r="AN5">
        <v>7</v>
      </c>
      <c r="AO5">
        <v>8</v>
      </c>
      <c r="AP5">
        <v>9</v>
      </c>
      <c r="AQ5">
        <v>10</v>
      </c>
      <c r="AR5">
        <v>11</v>
      </c>
      <c r="AS5">
        <v>12</v>
      </c>
      <c r="AT5">
        <v>13</v>
      </c>
      <c r="AU5">
        <v>14</v>
      </c>
      <c r="AV5">
        <v>15</v>
      </c>
      <c r="AW5">
        <v>16</v>
      </c>
      <c r="AX5">
        <v>17</v>
      </c>
      <c r="AY5">
        <v>18</v>
      </c>
      <c r="AZ5">
        <v>19</v>
      </c>
      <c r="BA5">
        <v>20</v>
      </c>
      <c r="BB5">
        <v>21</v>
      </c>
      <c r="BC5">
        <v>22</v>
      </c>
      <c r="BD5">
        <v>23</v>
      </c>
      <c r="BE5">
        <v>24</v>
      </c>
      <c r="BF5">
        <v>25</v>
      </c>
    </row>
    <row r="6" spans="1:63" x14ac:dyDescent="0.45">
      <c r="F6" t="s">
        <v>736</v>
      </c>
      <c r="AE6" t="s">
        <v>832</v>
      </c>
      <c r="BG6" t="s">
        <v>404</v>
      </c>
      <c r="BI6" t="s">
        <v>695</v>
      </c>
    </row>
    <row r="7" spans="1:63" x14ac:dyDescent="0.45">
      <c r="B7" t="s">
        <v>835</v>
      </c>
      <c r="C7" t="s">
        <v>208</v>
      </c>
      <c r="D7" t="s">
        <v>1</v>
      </c>
      <c r="E7" t="s">
        <v>205</v>
      </c>
      <c r="F7" t="s">
        <v>352</v>
      </c>
      <c r="G7" t="s">
        <v>353</v>
      </c>
      <c r="H7" t="s">
        <v>354</v>
      </c>
      <c r="I7" t="s">
        <v>417</v>
      </c>
      <c r="J7" t="s">
        <v>418</v>
      </c>
      <c r="K7" t="s">
        <v>419</v>
      </c>
      <c r="L7" t="s">
        <v>420</v>
      </c>
      <c r="M7" t="s">
        <v>421</v>
      </c>
      <c r="N7" t="s">
        <v>422</v>
      </c>
      <c r="O7" t="s">
        <v>423</v>
      </c>
      <c r="P7" t="s">
        <v>424</v>
      </c>
      <c r="Q7" t="s">
        <v>425</v>
      </c>
      <c r="R7" t="s">
        <v>426</v>
      </c>
      <c r="S7" t="s">
        <v>427</v>
      </c>
      <c r="T7" t="s">
        <v>428</v>
      </c>
      <c r="U7" t="s">
        <v>429</v>
      </c>
      <c r="V7" t="s">
        <v>430</v>
      </c>
      <c r="W7" t="s">
        <v>431</v>
      </c>
      <c r="X7" t="s">
        <v>432</v>
      </c>
      <c r="Y7" t="s">
        <v>433</v>
      </c>
      <c r="Z7" t="s">
        <v>434</v>
      </c>
      <c r="AA7" t="s">
        <v>435</v>
      </c>
      <c r="AB7" t="s">
        <v>436</v>
      </c>
      <c r="AC7" t="s">
        <v>437</v>
      </c>
      <c r="AD7" t="s">
        <v>438</v>
      </c>
      <c r="AE7" s="13" t="s">
        <v>831</v>
      </c>
      <c r="AF7" s="13" t="s">
        <v>681</v>
      </c>
      <c r="AG7" s="13" t="s">
        <v>444</v>
      </c>
      <c r="AH7" s="13" t="s">
        <v>704</v>
      </c>
      <c r="AI7" s="13" t="s">
        <v>705</v>
      </c>
      <c r="AJ7" s="13" t="s">
        <v>706</v>
      </c>
      <c r="AK7" s="13" t="s">
        <v>707</v>
      </c>
      <c r="AL7" s="13" t="s">
        <v>708</v>
      </c>
      <c r="AM7" s="13" t="s">
        <v>709</v>
      </c>
      <c r="AN7" s="13" t="s">
        <v>710</v>
      </c>
      <c r="AO7" s="13" t="s">
        <v>711</v>
      </c>
      <c r="AP7" s="13" t="s">
        <v>712</v>
      </c>
      <c r="AQ7" s="13" t="s">
        <v>713</v>
      </c>
      <c r="AR7" s="13" t="s">
        <v>714</v>
      </c>
      <c r="AS7" s="13" t="s">
        <v>715</v>
      </c>
      <c r="AT7" s="13" t="s">
        <v>716</v>
      </c>
      <c r="AU7" s="13" t="s">
        <v>717</v>
      </c>
      <c r="AV7" s="13" t="s">
        <v>718</v>
      </c>
      <c r="AW7" s="13" t="s">
        <v>719</v>
      </c>
      <c r="AX7" s="13" t="s">
        <v>720</v>
      </c>
      <c r="AY7" s="13" t="s">
        <v>721</v>
      </c>
      <c r="AZ7" s="13" t="s">
        <v>722</v>
      </c>
      <c r="BA7" s="13" t="s">
        <v>723</v>
      </c>
      <c r="BB7" s="13" t="s">
        <v>724</v>
      </c>
      <c r="BC7" s="13" t="s">
        <v>725</v>
      </c>
      <c r="BD7" s="13" t="s">
        <v>726</v>
      </c>
      <c r="BE7" s="13" t="s">
        <v>727</v>
      </c>
      <c r="BF7" s="13" t="s">
        <v>728</v>
      </c>
      <c r="BG7" s="24" t="s">
        <v>206</v>
      </c>
      <c r="BH7" s="24" t="s">
        <v>405</v>
      </c>
      <c r="BI7" s="13" t="s">
        <v>738</v>
      </c>
      <c r="BJ7" s="13" t="s">
        <v>737</v>
      </c>
      <c r="BK7" s="13" t="s">
        <v>730</v>
      </c>
    </row>
    <row r="8" spans="1:63" x14ac:dyDescent="0.45">
      <c r="B8">
        <v>1</v>
      </c>
      <c r="C8" t="s">
        <v>643</v>
      </c>
      <c r="D8" t="s">
        <v>905</v>
      </c>
      <c r="F8" t="s">
        <v>70</v>
      </c>
      <c r="AE8">
        <f>ROW(cards[[#This Row],[object_id order]])-ROW(cards[])+1</f>
        <v>1</v>
      </c>
      <c r="AF8">
        <f>COUNTA(cards[[#This Row],[1]:[25]])</f>
        <v>1</v>
      </c>
      <c r="AG8">
        <f t="array" ref="AG8">MATCH(TRUE,INDEX(ISBLANK(cards[[#This Row],[1]:[25]]),0,0),0)</f>
        <v>2</v>
      </c>
      <c r="AH8" t="str">
        <f ca="1">IF(OFFSET(cards[[#This Row],[1]],0,AH$5-1)="","",  IF(COUNTIF(entities[entity_id],OFFSET(cards[[#This Row],[1]],0,AH$5-1))=1,"ok","missing"))</f>
        <v>ok</v>
      </c>
      <c r="AI8" t="str">
        <f ca="1">IF(OFFSET(cards[[#This Row],[1]],0,AI$5-1)="","",  IF(COUNTIF(entities[entity_id],OFFSET(cards[[#This Row],[1]],0,AI$5-1))=1,"ok","missing"))</f>
        <v/>
      </c>
      <c r="AJ8" t="str">
        <f ca="1">IF(OFFSET(cards[[#This Row],[1]],0,AJ$5-1)="","",  IF(COUNTIF(entities[entity_id],OFFSET(cards[[#This Row],[1]],0,AJ$5-1))=1,"ok","missing"))</f>
        <v/>
      </c>
      <c r="AK8" t="str">
        <f ca="1">IF(OFFSET(cards[[#This Row],[1]],0,AK$5-1)="","",  IF(COUNTIF(entities[entity_id],OFFSET(cards[[#This Row],[1]],0,AK$5-1))=1,"ok","missing"))</f>
        <v/>
      </c>
      <c r="AL8" t="str">
        <f ca="1">IF(OFFSET(cards[[#This Row],[1]],0,AL$5-1)="","",  IF(COUNTIF(entities[entity_id],OFFSET(cards[[#This Row],[1]],0,AL$5-1))=1,"ok","missing"))</f>
        <v/>
      </c>
      <c r="AM8" t="str">
        <f ca="1">IF(OFFSET(cards[[#This Row],[1]],0,AM$5-1)="","",  IF(COUNTIF(entities[entity_id],OFFSET(cards[[#This Row],[1]],0,AM$5-1))=1,"ok","missing"))</f>
        <v/>
      </c>
      <c r="AN8" t="str">
        <f ca="1">IF(OFFSET(cards[[#This Row],[1]],0,AN$5-1)="","",  IF(COUNTIF(entities[entity_id],OFFSET(cards[[#This Row],[1]],0,AN$5-1))=1,"ok","missing"))</f>
        <v/>
      </c>
      <c r="AO8" t="str">
        <f ca="1">IF(OFFSET(cards[[#This Row],[1]],0,AO$5-1)="","",  IF(COUNTIF(entities[entity_id],OFFSET(cards[[#This Row],[1]],0,AO$5-1))=1,"ok","missing"))</f>
        <v/>
      </c>
      <c r="AP8" t="str">
        <f ca="1">IF(OFFSET(cards[[#This Row],[1]],0,AP$5-1)="","",  IF(COUNTIF(entities[entity_id],OFFSET(cards[[#This Row],[1]],0,AP$5-1))=1,"ok","missing"))</f>
        <v/>
      </c>
      <c r="AQ8" t="str">
        <f ca="1">IF(OFFSET(cards[[#This Row],[1]],0,AQ$5-1)="","",  IF(COUNTIF(entities[entity_id],OFFSET(cards[[#This Row],[1]],0,AQ$5-1))=1,"ok","missing"))</f>
        <v/>
      </c>
      <c r="AR8" t="str">
        <f ca="1">IF(OFFSET(cards[[#This Row],[1]],0,AR$5-1)="","",  IF(COUNTIF(entities[entity_id],OFFSET(cards[[#This Row],[1]],0,AR$5-1))=1,"ok","missing"))</f>
        <v/>
      </c>
      <c r="AS8" t="str">
        <f ca="1">IF(OFFSET(cards[[#This Row],[1]],0,AS$5-1)="","",  IF(COUNTIF(entities[entity_id],OFFSET(cards[[#This Row],[1]],0,AS$5-1))=1,"ok","missing"))</f>
        <v/>
      </c>
      <c r="AT8" t="str">
        <f ca="1">IF(OFFSET(cards[[#This Row],[1]],0,AT$5-1)="","",  IF(COUNTIF(entities[entity_id],OFFSET(cards[[#This Row],[1]],0,AT$5-1))=1,"ok","missing"))</f>
        <v/>
      </c>
      <c r="AU8" t="str">
        <f ca="1">IF(OFFSET(cards[[#This Row],[1]],0,AU$5-1)="","",  IF(COUNTIF(entities[entity_id],OFFSET(cards[[#This Row],[1]],0,AU$5-1))=1,"ok","missing"))</f>
        <v/>
      </c>
      <c r="AV8" t="str">
        <f ca="1">IF(OFFSET(cards[[#This Row],[1]],0,AV$5-1)="","",  IF(COUNTIF(entities[entity_id],OFFSET(cards[[#This Row],[1]],0,AV$5-1))=1,"ok","missing"))</f>
        <v/>
      </c>
      <c r="AW8" t="str">
        <f ca="1">IF(OFFSET(cards[[#This Row],[1]],0,AW$5-1)="","",  IF(COUNTIF(entities[entity_id],OFFSET(cards[[#This Row],[1]],0,AW$5-1))=1,"ok","missing"))</f>
        <v/>
      </c>
      <c r="AX8" t="str">
        <f ca="1">IF(OFFSET(cards[[#This Row],[1]],0,AX$5-1)="","",  IF(COUNTIF(entities[entity_id],OFFSET(cards[[#This Row],[1]],0,AX$5-1))=1,"ok","missing"))</f>
        <v/>
      </c>
      <c r="AY8" t="str">
        <f ca="1">IF(OFFSET(cards[[#This Row],[1]],0,AY$5-1)="","",  IF(COUNTIF(entities[entity_id],OFFSET(cards[[#This Row],[1]],0,AY$5-1))=1,"ok","missing"))</f>
        <v/>
      </c>
      <c r="AZ8" t="str">
        <f ca="1">IF(OFFSET(cards[[#This Row],[1]],0,AZ$5-1)="","",  IF(COUNTIF(entities[entity_id],OFFSET(cards[[#This Row],[1]],0,AZ$5-1))=1,"ok","missing"))</f>
        <v/>
      </c>
      <c r="BA8" t="str">
        <f ca="1">IF(OFFSET(cards[[#This Row],[1]],0,BA$5-1)="","",  IF(COUNTIF(entities[entity_id],OFFSET(cards[[#This Row],[1]],0,BA$5-1))=1,"ok","missing"))</f>
        <v/>
      </c>
      <c r="BB8" t="str">
        <f ca="1">IF(OFFSET(cards[[#This Row],[1]],0,BB$5-1)="","",  IF(COUNTIF(entities[entity_id],OFFSET(cards[[#This Row],[1]],0,BB$5-1))=1,"ok","missing"))</f>
        <v/>
      </c>
      <c r="BC8" t="str">
        <f ca="1">IF(OFFSET(cards[[#This Row],[1]],0,BC$5-1)="","",  IF(COUNTIF(entities[entity_id],OFFSET(cards[[#This Row],[1]],0,BC$5-1))=1,"ok","missing"))</f>
        <v/>
      </c>
      <c r="BD8" t="str">
        <f ca="1">IF(OFFSET(cards[[#This Row],[1]],0,BD$5-1)="","",  IF(COUNTIF(entities[entity_id],OFFSET(cards[[#This Row],[1]],0,BD$5-1))=1,"ok","missing"))</f>
        <v/>
      </c>
      <c r="BE8" t="str">
        <f ca="1">IF(OFFSET(cards[[#This Row],[1]],0,BE$5-1)="","",  IF(COUNTIF(entities[entity_id],OFFSET(cards[[#This Row],[1]],0,BE$5-1))=1,"ok","missing"))</f>
        <v/>
      </c>
      <c r="BF8" t="str">
        <f ca="1">IF(OFFSET(cards[[#This Row],[1]],0,BF$5-1)="","",  IF(COUNTIF(entities[entity_id],OFFSET(cards[[#This Row],[1]],0,BF$5-1))=1,"ok","missing"))</f>
        <v/>
      </c>
      <c r="BG8" t="str">
        <f>"group."&amp;cards[[#This Row],[object_id]]</f>
        <v>group.automation_almclk</v>
      </c>
      <c r="BH8" t="str">
        <f t="array" ref="BH8">IFERROR(INDEX(views[object_id],SMALL(IF(views[[1]:[25]]=cards[[#This Row],[entity_id]],ROW(views[])-7,99^99),1)),"")</f>
        <v/>
      </c>
      <c r="BI8" t="str">
        <f>IF(cards[[#This Row],[First space]]-cards[[#This Row],[Entities count]]=1,"ok","Check entitiy names")</f>
        <v>ok</v>
      </c>
      <c r="BJ8" t="str">
        <f>IF(cards[[#This Row],[View]]&lt;&gt;"","ok","not in view")</f>
        <v>not in view</v>
      </c>
      <c r="BK8" s="6" t="str">
        <f ca="1">IF(COUNTIF(cards[[#This Row],[C1]:[C25]],"missing")=0,"ok","some entities missing from Entities tab")</f>
        <v>ok</v>
      </c>
    </row>
    <row r="9" spans="1:63" x14ac:dyDescent="0.45">
      <c r="B9">
        <v>2</v>
      </c>
      <c r="C9" t="s">
        <v>645</v>
      </c>
      <c r="D9" t="s">
        <v>906</v>
      </c>
      <c r="F9" t="s">
        <v>71</v>
      </c>
      <c r="G9" t="s">
        <v>72</v>
      </c>
      <c r="H9" t="s">
        <v>73</v>
      </c>
      <c r="AE9">
        <f>ROW(cards[[#This Row],[object_id order]])-ROW(cards[])+1</f>
        <v>2</v>
      </c>
      <c r="AF9" s="6">
        <f>COUNTA(cards[[#This Row],[1]:[25]])</f>
        <v>3</v>
      </c>
      <c r="AG9" s="6">
        <f t="array" ref="AG9">MATCH(TRUE,INDEX(ISBLANK(cards[[#This Row],[1]:[25]]),0,0),0)</f>
        <v>4</v>
      </c>
      <c r="AH9" t="str">
        <f ca="1">IF(OFFSET(cards[[#This Row],[1]],0,AH$5-1)="","",  IF(COUNTIF(entities[entity_id],OFFSET(cards[[#This Row],[1]],0,AH$5-1))=1,"ok","missing"))</f>
        <v>ok</v>
      </c>
      <c r="AI9" t="str">
        <f ca="1">IF(OFFSET(cards[[#This Row],[1]],0,AI$5-1)="","",  IF(COUNTIF(entities[entity_id],OFFSET(cards[[#This Row],[1]],0,AI$5-1))=1,"ok","missing"))</f>
        <v>ok</v>
      </c>
      <c r="AJ9" t="str">
        <f ca="1">IF(OFFSET(cards[[#This Row],[1]],0,AJ$5-1)="","",  IF(COUNTIF(entities[entity_id],OFFSET(cards[[#This Row],[1]],0,AJ$5-1))=1,"ok","missing"))</f>
        <v>ok</v>
      </c>
      <c r="AK9" t="str">
        <f ca="1">IF(OFFSET(cards[[#This Row],[1]],0,AK$5-1)="","",  IF(COUNTIF(entities[entity_id],OFFSET(cards[[#This Row],[1]],0,AK$5-1))=1,"ok","missing"))</f>
        <v/>
      </c>
      <c r="AL9" t="str">
        <f ca="1">IF(OFFSET(cards[[#This Row],[1]],0,AL$5-1)="","",  IF(COUNTIF(entities[entity_id],OFFSET(cards[[#This Row],[1]],0,AL$5-1))=1,"ok","missing"))</f>
        <v/>
      </c>
      <c r="AM9" t="str">
        <f ca="1">IF(OFFSET(cards[[#This Row],[1]],0,AM$5-1)="","",  IF(COUNTIF(entities[entity_id],OFFSET(cards[[#This Row],[1]],0,AM$5-1))=1,"ok","missing"))</f>
        <v/>
      </c>
      <c r="AN9" t="str">
        <f ca="1">IF(OFFSET(cards[[#This Row],[1]],0,AN$5-1)="","",  IF(COUNTIF(entities[entity_id],OFFSET(cards[[#This Row],[1]],0,AN$5-1))=1,"ok","missing"))</f>
        <v/>
      </c>
      <c r="AO9" t="str">
        <f ca="1">IF(OFFSET(cards[[#This Row],[1]],0,AO$5-1)="","",  IF(COUNTIF(entities[entity_id],OFFSET(cards[[#This Row],[1]],0,AO$5-1))=1,"ok","missing"))</f>
        <v/>
      </c>
      <c r="AP9" t="str">
        <f ca="1">IF(OFFSET(cards[[#This Row],[1]],0,AP$5-1)="","",  IF(COUNTIF(entities[entity_id],OFFSET(cards[[#This Row],[1]],0,AP$5-1))=1,"ok","missing"))</f>
        <v/>
      </c>
      <c r="AQ9" t="str">
        <f ca="1">IF(OFFSET(cards[[#This Row],[1]],0,AQ$5-1)="","",  IF(COUNTIF(entities[entity_id],OFFSET(cards[[#This Row],[1]],0,AQ$5-1))=1,"ok","missing"))</f>
        <v/>
      </c>
      <c r="AR9" t="str">
        <f ca="1">IF(OFFSET(cards[[#This Row],[1]],0,AR$5-1)="","",  IF(COUNTIF(entities[entity_id],OFFSET(cards[[#This Row],[1]],0,AR$5-1))=1,"ok","missing"))</f>
        <v/>
      </c>
      <c r="AS9" t="str">
        <f ca="1">IF(OFFSET(cards[[#This Row],[1]],0,AS$5-1)="","",  IF(COUNTIF(entities[entity_id],OFFSET(cards[[#This Row],[1]],0,AS$5-1))=1,"ok","missing"))</f>
        <v/>
      </c>
      <c r="AT9" t="str">
        <f ca="1">IF(OFFSET(cards[[#This Row],[1]],0,AT$5-1)="","",  IF(COUNTIF(entities[entity_id],OFFSET(cards[[#This Row],[1]],0,AT$5-1))=1,"ok","missing"))</f>
        <v/>
      </c>
      <c r="AU9" t="str">
        <f ca="1">IF(OFFSET(cards[[#This Row],[1]],0,AU$5-1)="","",  IF(COUNTIF(entities[entity_id],OFFSET(cards[[#This Row],[1]],0,AU$5-1))=1,"ok","missing"))</f>
        <v/>
      </c>
      <c r="AV9" t="str">
        <f ca="1">IF(OFFSET(cards[[#This Row],[1]],0,AV$5-1)="","",  IF(COUNTIF(entities[entity_id],OFFSET(cards[[#This Row],[1]],0,AV$5-1))=1,"ok","missing"))</f>
        <v/>
      </c>
      <c r="AW9" t="str">
        <f ca="1">IF(OFFSET(cards[[#This Row],[1]],0,AW$5-1)="","",  IF(COUNTIF(entities[entity_id],OFFSET(cards[[#This Row],[1]],0,AW$5-1))=1,"ok","missing"))</f>
        <v/>
      </c>
      <c r="AX9" t="str">
        <f ca="1">IF(OFFSET(cards[[#This Row],[1]],0,AX$5-1)="","",  IF(COUNTIF(entities[entity_id],OFFSET(cards[[#This Row],[1]],0,AX$5-1))=1,"ok","missing"))</f>
        <v/>
      </c>
      <c r="AY9" t="str">
        <f ca="1">IF(OFFSET(cards[[#This Row],[1]],0,AY$5-1)="","",  IF(COUNTIF(entities[entity_id],OFFSET(cards[[#This Row],[1]],0,AY$5-1))=1,"ok","missing"))</f>
        <v/>
      </c>
      <c r="AZ9" t="str">
        <f ca="1">IF(OFFSET(cards[[#This Row],[1]],0,AZ$5-1)="","",  IF(COUNTIF(entities[entity_id],OFFSET(cards[[#This Row],[1]],0,AZ$5-1))=1,"ok","missing"))</f>
        <v/>
      </c>
      <c r="BA9" t="str">
        <f ca="1">IF(OFFSET(cards[[#This Row],[1]],0,BA$5-1)="","",  IF(COUNTIF(entities[entity_id],OFFSET(cards[[#This Row],[1]],0,BA$5-1))=1,"ok","missing"))</f>
        <v/>
      </c>
      <c r="BB9" t="str">
        <f ca="1">IF(OFFSET(cards[[#This Row],[1]],0,BB$5-1)="","",  IF(COUNTIF(entities[entity_id],OFFSET(cards[[#This Row],[1]],0,BB$5-1))=1,"ok","missing"))</f>
        <v/>
      </c>
      <c r="BC9" t="str">
        <f ca="1">IF(OFFSET(cards[[#This Row],[1]],0,BC$5-1)="","",  IF(COUNTIF(entities[entity_id],OFFSET(cards[[#This Row],[1]],0,BC$5-1))=1,"ok","missing"))</f>
        <v/>
      </c>
      <c r="BD9" t="str">
        <f ca="1">IF(OFFSET(cards[[#This Row],[1]],0,BD$5-1)="","",  IF(COUNTIF(entities[entity_id],OFFSET(cards[[#This Row],[1]],0,BD$5-1))=1,"ok","missing"))</f>
        <v/>
      </c>
      <c r="BE9" t="str">
        <f ca="1">IF(OFFSET(cards[[#This Row],[1]],0,BE$5-1)="","",  IF(COUNTIF(entities[entity_id],OFFSET(cards[[#This Row],[1]],0,BE$5-1))=1,"ok","missing"))</f>
        <v/>
      </c>
      <c r="BF9" t="str">
        <f ca="1">IF(OFFSET(cards[[#This Row],[1]],0,BF$5-1)="","",  IF(COUNTIF(entities[entity_id],OFFSET(cards[[#This Row],[1]],0,BF$5-1))=1,"ok","missing"))</f>
        <v/>
      </c>
      <c r="BG9" t="str">
        <f>"group."&amp;cards[[#This Row],[object_id]]</f>
        <v>group.automation_locaway</v>
      </c>
      <c r="BH9" t="str">
        <f t="array" ref="BH9">IFERROR(INDEX(views[object_id],SMALL(IF(views[[1]:[25]]=cards[[#This Row],[entity_id]],ROW(views[])-7,99^99),1)),"")</f>
        <v/>
      </c>
      <c r="BI9" s="6" t="str">
        <f>IF(cards[[#This Row],[First space]]-cards[[#This Row],[Entities count]]=1,"ok","Check entitiy names")</f>
        <v>ok</v>
      </c>
      <c r="BJ9" s="6" t="str">
        <f>IF(cards[[#This Row],[View]]&lt;&gt;"","ok","not in view")</f>
        <v>not in view</v>
      </c>
      <c r="BK9" s="6" t="str">
        <f ca="1">IF(COUNTIF(cards[[#This Row],[C1]:[C25]],"missing")=0,"ok","some entities missing from Entities tab")</f>
        <v>ok</v>
      </c>
    </row>
    <row r="10" spans="1:63" x14ac:dyDescent="0.45">
      <c r="B10">
        <v>3</v>
      </c>
      <c r="C10" t="s">
        <v>646</v>
      </c>
      <c r="D10" t="s">
        <v>907</v>
      </c>
      <c r="F10" t="s">
        <v>846</v>
      </c>
      <c r="G10" t="s">
        <v>74</v>
      </c>
      <c r="H10" t="s">
        <v>75</v>
      </c>
      <c r="I10" t="s">
        <v>847</v>
      </c>
      <c r="AE10">
        <f>ROW(cards[[#This Row],[object_id order]])-ROW(cards[])+1</f>
        <v>3</v>
      </c>
      <c r="AF10" s="6">
        <f>COUNTA(cards[[#This Row],[1]:[25]])</f>
        <v>4</v>
      </c>
      <c r="AG10" s="6">
        <f t="array" ref="AG10">MATCH(TRUE,INDEX(ISBLANK(cards[[#This Row],[1]:[25]]),0,0),0)</f>
        <v>5</v>
      </c>
      <c r="AH10" t="str">
        <f ca="1">IF(OFFSET(cards[[#This Row],[1]],0,AH$5-1)="","",  IF(COUNTIF(entities[entity_id],OFFSET(cards[[#This Row],[1]],0,AH$5-1))=1,"ok","missing"))</f>
        <v>ok</v>
      </c>
      <c r="AI10" t="str">
        <f ca="1">IF(OFFSET(cards[[#This Row],[1]],0,AI$5-1)="","",  IF(COUNTIF(entities[entity_id],OFFSET(cards[[#This Row],[1]],0,AI$5-1))=1,"ok","missing"))</f>
        <v>ok</v>
      </c>
      <c r="AJ10" t="str">
        <f ca="1">IF(OFFSET(cards[[#This Row],[1]],0,AJ$5-1)="","",  IF(COUNTIF(entities[entity_id],OFFSET(cards[[#This Row],[1]],0,AJ$5-1))=1,"ok","missing"))</f>
        <v>ok</v>
      </c>
      <c r="AK10" t="str">
        <f ca="1">IF(OFFSET(cards[[#This Row],[1]],0,AK$5-1)="","",  IF(COUNTIF(entities[entity_id],OFFSET(cards[[#This Row],[1]],0,AK$5-1))=1,"ok","missing"))</f>
        <v>ok</v>
      </c>
      <c r="AL10" t="str">
        <f ca="1">IF(OFFSET(cards[[#This Row],[1]],0,AL$5-1)="","",  IF(COUNTIF(entities[entity_id],OFFSET(cards[[#This Row],[1]],0,AL$5-1))=1,"ok","missing"))</f>
        <v/>
      </c>
      <c r="AM10" t="str">
        <f ca="1">IF(OFFSET(cards[[#This Row],[1]],0,AM$5-1)="","",  IF(COUNTIF(entities[entity_id],OFFSET(cards[[#This Row],[1]],0,AM$5-1))=1,"ok","missing"))</f>
        <v/>
      </c>
      <c r="AN10" t="str">
        <f ca="1">IF(OFFSET(cards[[#This Row],[1]],0,AN$5-1)="","",  IF(COUNTIF(entities[entity_id],OFFSET(cards[[#This Row],[1]],0,AN$5-1))=1,"ok","missing"))</f>
        <v/>
      </c>
      <c r="AO10" t="str">
        <f ca="1">IF(OFFSET(cards[[#This Row],[1]],0,AO$5-1)="","",  IF(COUNTIF(entities[entity_id],OFFSET(cards[[#This Row],[1]],0,AO$5-1))=1,"ok","missing"))</f>
        <v/>
      </c>
      <c r="AP10" t="str">
        <f ca="1">IF(OFFSET(cards[[#This Row],[1]],0,AP$5-1)="","",  IF(COUNTIF(entities[entity_id],OFFSET(cards[[#This Row],[1]],0,AP$5-1))=1,"ok","missing"))</f>
        <v/>
      </c>
      <c r="AQ10" t="str">
        <f ca="1">IF(OFFSET(cards[[#This Row],[1]],0,AQ$5-1)="","",  IF(COUNTIF(entities[entity_id],OFFSET(cards[[#This Row],[1]],0,AQ$5-1))=1,"ok","missing"))</f>
        <v/>
      </c>
      <c r="AR10" t="str">
        <f ca="1">IF(OFFSET(cards[[#This Row],[1]],0,AR$5-1)="","",  IF(COUNTIF(entities[entity_id],OFFSET(cards[[#This Row],[1]],0,AR$5-1))=1,"ok","missing"))</f>
        <v/>
      </c>
      <c r="AS10" t="str">
        <f ca="1">IF(OFFSET(cards[[#This Row],[1]],0,AS$5-1)="","",  IF(COUNTIF(entities[entity_id],OFFSET(cards[[#This Row],[1]],0,AS$5-1))=1,"ok","missing"))</f>
        <v/>
      </c>
      <c r="AT10" t="str">
        <f ca="1">IF(OFFSET(cards[[#This Row],[1]],0,AT$5-1)="","",  IF(COUNTIF(entities[entity_id],OFFSET(cards[[#This Row],[1]],0,AT$5-1))=1,"ok","missing"))</f>
        <v/>
      </c>
      <c r="AU10" t="str">
        <f ca="1">IF(OFFSET(cards[[#This Row],[1]],0,AU$5-1)="","",  IF(COUNTIF(entities[entity_id],OFFSET(cards[[#This Row],[1]],0,AU$5-1))=1,"ok","missing"))</f>
        <v/>
      </c>
      <c r="AV10" t="str">
        <f ca="1">IF(OFFSET(cards[[#This Row],[1]],0,AV$5-1)="","",  IF(COUNTIF(entities[entity_id],OFFSET(cards[[#This Row],[1]],0,AV$5-1))=1,"ok","missing"))</f>
        <v/>
      </c>
      <c r="AW10" t="str">
        <f ca="1">IF(OFFSET(cards[[#This Row],[1]],0,AW$5-1)="","",  IF(COUNTIF(entities[entity_id],OFFSET(cards[[#This Row],[1]],0,AW$5-1))=1,"ok","missing"))</f>
        <v/>
      </c>
      <c r="AX10" t="str">
        <f ca="1">IF(OFFSET(cards[[#This Row],[1]],0,AX$5-1)="","",  IF(COUNTIF(entities[entity_id],OFFSET(cards[[#This Row],[1]],0,AX$5-1))=1,"ok","missing"))</f>
        <v/>
      </c>
      <c r="AY10" t="str">
        <f ca="1">IF(OFFSET(cards[[#This Row],[1]],0,AY$5-1)="","",  IF(COUNTIF(entities[entity_id],OFFSET(cards[[#This Row],[1]],0,AY$5-1))=1,"ok","missing"))</f>
        <v/>
      </c>
      <c r="AZ10" t="str">
        <f ca="1">IF(OFFSET(cards[[#This Row],[1]],0,AZ$5-1)="","",  IF(COUNTIF(entities[entity_id],OFFSET(cards[[#This Row],[1]],0,AZ$5-1))=1,"ok","missing"))</f>
        <v/>
      </c>
      <c r="BA10" t="str">
        <f ca="1">IF(OFFSET(cards[[#This Row],[1]],0,BA$5-1)="","",  IF(COUNTIF(entities[entity_id],OFFSET(cards[[#This Row],[1]],0,BA$5-1))=1,"ok","missing"))</f>
        <v/>
      </c>
      <c r="BB10" t="str">
        <f ca="1">IF(OFFSET(cards[[#This Row],[1]],0,BB$5-1)="","",  IF(COUNTIF(entities[entity_id],OFFSET(cards[[#This Row],[1]],0,BB$5-1))=1,"ok","missing"))</f>
        <v/>
      </c>
      <c r="BC10" t="str">
        <f ca="1">IF(OFFSET(cards[[#This Row],[1]],0,BC$5-1)="","",  IF(COUNTIF(entities[entity_id],OFFSET(cards[[#This Row],[1]],0,BC$5-1))=1,"ok","missing"))</f>
        <v/>
      </c>
      <c r="BD10" t="str">
        <f ca="1">IF(OFFSET(cards[[#This Row],[1]],0,BD$5-1)="","",  IF(COUNTIF(entities[entity_id],OFFSET(cards[[#This Row],[1]],0,BD$5-1))=1,"ok","missing"))</f>
        <v/>
      </c>
      <c r="BE10" t="str">
        <f ca="1">IF(OFFSET(cards[[#This Row],[1]],0,BE$5-1)="","",  IF(COUNTIF(entities[entity_id],OFFSET(cards[[#This Row],[1]],0,BE$5-1))=1,"ok","missing"))</f>
        <v/>
      </c>
      <c r="BF10" t="str">
        <f ca="1">IF(OFFSET(cards[[#This Row],[1]],0,BF$5-1)="","",  IF(COUNTIF(entities[entity_id],OFFSET(cards[[#This Row],[1]],0,BF$5-1))=1,"ok","missing"))</f>
        <v/>
      </c>
      <c r="BG10" t="str">
        <f>"group."&amp;cards[[#This Row],[object_id]]</f>
        <v>group.automation_not</v>
      </c>
      <c r="BH10" t="str">
        <f t="array" ref="BH10">IFERROR(INDEX(views[object_id],SMALL(IF(views[[1]:[25]]=cards[[#This Row],[entity_id]],ROW(views[])-7,99^99),1)),"")</f>
        <v/>
      </c>
      <c r="BI10" s="6" t="str">
        <f>IF(cards[[#This Row],[First space]]-cards[[#This Row],[Entities count]]=1,"ok","Check entitiy names")</f>
        <v>ok</v>
      </c>
      <c r="BJ10" s="6" t="str">
        <f>IF(cards[[#This Row],[View]]&lt;&gt;"","ok","not in view")</f>
        <v>not in view</v>
      </c>
      <c r="BK10" s="6" t="str">
        <f ca="1">IF(COUNTIF(cards[[#This Row],[C1]:[C25]],"missing")=0,"ok","some entities missing from Entities tab")</f>
        <v>ok</v>
      </c>
    </row>
    <row r="11" spans="1:63" x14ac:dyDescent="0.45">
      <c r="B11">
        <v>4</v>
      </c>
      <c r="C11" t="s">
        <v>647</v>
      </c>
      <c r="D11" t="s">
        <v>908</v>
      </c>
      <c r="F11" t="s">
        <v>76</v>
      </c>
      <c r="G11" t="s">
        <v>77</v>
      </c>
      <c r="H11" t="s">
        <v>78</v>
      </c>
      <c r="AE11">
        <f>ROW(cards[[#This Row],[object_id order]])-ROW(cards[])+1</f>
        <v>4</v>
      </c>
      <c r="AF11" s="6">
        <f>COUNTA(cards[[#This Row],[1]:[25]])</f>
        <v>3</v>
      </c>
      <c r="AG11" s="6">
        <f t="array" ref="AG11">MATCH(TRUE,INDEX(ISBLANK(cards[[#This Row],[1]:[25]]),0,0),0)</f>
        <v>4</v>
      </c>
      <c r="AH11" t="str">
        <f ca="1">IF(OFFSET(cards[[#This Row],[1]],0,AH$5-1)="","",  IF(COUNTIF(entities[entity_id],OFFSET(cards[[#This Row],[1]],0,AH$5-1))=1,"ok","missing"))</f>
        <v>ok</v>
      </c>
      <c r="AI11" t="str">
        <f ca="1">IF(OFFSET(cards[[#This Row],[1]],0,AI$5-1)="","",  IF(COUNTIF(entities[entity_id],OFFSET(cards[[#This Row],[1]],0,AI$5-1))=1,"ok","missing"))</f>
        <v>ok</v>
      </c>
      <c r="AJ11" t="str">
        <f ca="1">IF(OFFSET(cards[[#This Row],[1]],0,AJ$5-1)="","",  IF(COUNTIF(entities[entity_id],OFFSET(cards[[#This Row],[1]],0,AJ$5-1))=1,"ok","missing"))</f>
        <v>ok</v>
      </c>
      <c r="AK11" t="str">
        <f ca="1">IF(OFFSET(cards[[#This Row],[1]],0,AK$5-1)="","",  IF(COUNTIF(entities[entity_id],OFFSET(cards[[#This Row],[1]],0,AK$5-1))=1,"ok","missing"))</f>
        <v/>
      </c>
      <c r="AL11" t="str">
        <f ca="1">IF(OFFSET(cards[[#This Row],[1]],0,AL$5-1)="","",  IF(COUNTIF(entities[entity_id],OFFSET(cards[[#This Row],[1]],0,AL$5-1))=1,"ok","missing"))</f>
        <v/>
      </c>
      <c r="AM11" t="str">
        <f ca="1">IF(OFFSET(cards[[#This Row],[1]],0,AM$5-1)="","",  IF(COUNTIF(entities[entity_id],OFFSET(cards[[#This Row],[1]],0,AM$5-1))=1,"ok","missing"))</f>
        <v/>
      </c>
      <c r="AN11" t="str">
        <f ca="1">IF(OFFSET(cards[[#This Row],[1]],0,AN$5-1)="","",  IF(COUNTIF(entities[entity_id],OFFSET(cards[[#This Row],[1]],0,AN$5-1))=1,"ok","missing"))</f>
        <v/>
      </c>
      <c r="AO11" t="str">
        <f ca="1">IF(OFFSET(cards[[#This Row],[1]],0,AO$5-1)="","",  IF(COUNTIF(entities[entity_id],OFFSET(cards[[#This Row],[1]],0,AO$5-1))=1,"ok","missing"))</f>
        <v/>
      </c>
      <c r="AP11" t="str">
        <f ca="1">IF(OFFSET(cards[[#This Row],[1]],0,AP$5-1)="","",  IF(COUNTIF(entities[entity_id],OFFSET(cards[[#This Row],[1]],0,AP$5-1))=1,"ok","missing"))</f>
        <v/>
      </c>
      <c r="AQ11" t="str">
        <f ca="1">IF(OFFSET(cards[[#This Row],[1]],0,AQ$5-1)="","",  IF(COUNTIF(entities[entity_id],OFFSET(cards[[#This Row],[1]],0,AQ$5-1))=1,"ok","missing"))</f>
        <v/>
      </c>
      <c r="AR11" t="str">
        <f ca="1">IF(OFFSET(cards[[#This Row],[1]],0,AR$5-1)="","",  IF(COUNTIF(entities[entity_id],OFFSET(cards[[#This Row],[1]],0,AR$5-1))=1,"ok","missing"))</f>
        <v/>
      </c>
      <c r="AS11" t="str">
        <f ca="1">IF(OFFSET(cards[[#This Row],[1]],0,AS$5-1)="","",  IF(COUNTIF(entities[entity_id],OFFSET(cards[[#This Row],[1]],0,AS$5-1))=1,"ok","missing"))</f>
        <v/>
      </c>
      <c r="AT11" t="str">
        <f ca="1">IF(OFFSET(cards[[#This Row],[1]],0,AT$5-1)="","",  IF(COUNTIF(entities[entity_id],OFFSET(cards[[#This Row],[1]],0,AT$5-1))=1,"ok","missing"))</f>
        <v/>
      </c>
      <c r="AU11" t="str">
        <f ca="1">IF(OFFSET(cards[[#This Row],[1]],0,AU$5-1)="","",  IF(COUNTIF(entities[entity_id],OFFSET(cards[[#This Row],[1]],0,AU$5-1))=1,"ok","missing"))</f>
        <v/>
      </c>
      <c r="AV11" t="str">
        <f ca="1">IF(OFFSET(cards[[#This Row],[1]],0,AV$5-1)="","",  IF(COUNTIF(entities[entity_id],OFFSET(cards[[#This Row],[1]],0,AV$5-1))=1,"ok","missing"))</f>
        <v/>
      </c>
      <c r="AW11" t="str">
        <f ca="1">IF(OFFSET(cards[[#This Row],[1]],0,AW$5-1)="","",  IF(COUNTIF(entities[entity_id],OFFSET(cards[[#This Row],[1]],0,AW$5-1))=1,"ok","missing"))</f>
        <v/>
      </c>
      <c r="AX11" t="str">
        <f ca="1">IF(OFFSET(cards[[#This Row],[1]],0,AX$5-1)="","",  IF(COUNTIF(entities[entity_id],OFFSET(cards[[#This Row],[1]],0,AX$5-1))=1,"ok","missing"))</f>
        <v/>
      </c>
      <c r="AY11" t="str">
        <f ca="1">IF(OFFSET(cards[[#This Row],[1]],0,AY$5-1)="","",  IF(COUNTIF(entities[entity_id],OFFSET(cards[[#This Row],[1]],0,AY$5-1))=1,"ok","missing"))</f>
        <v/>
      </c>
      <c r="AZ11" t="str">
        <f ca="1">IF(OFFSET(cards[[#This Row],[1]],0,AZ$5-1)="","",  IF(COUNTIF(entities[entity_id],OFFSET(cards[[#This Row],[1]],0,AZ$5-1))=1,"ok","missing"))</f>
        <v/>
      </c>
      <c r="BA11" t="str">
        <f ca="1">IF(OFFSET(cards[[#This Row],[1]],0,BA$5-1)="","",  IF(COUNTIF(entities[entity_id],OFFSET(cards[[#This Row],[1]],0,BA$5-1))=1,"ok","missing"))</f>
        <v/>
      </c>
      <c r="BB11" t="str">
        <f ca="1">IF(OFFSET(cards[[#This Row],[1]],0,BB$5-1)="","",  IF(COUNTIF(entities[entity_id],OFFSET(cards[[#This Row],[1]],0,BB$5-1))=1,"ok","missing"))</f>
        <v/>
      </c>
      <c r="BC11" t="str">
        <f ca="1">IF(OFFSET(cards[[#This Row],[1]],0,BC$5-1)="","",  IF(COUNTIF(entities[entity_id],OFFSET(cards[[#This Row],[1]],0,BC$5-1))=1,"ok","missing"))</f>
        <v/>
      </c>
      <c r="BD11" t="str">
        <f ca="1">IF(OFFSET(cards[[#This Row],[1]],0,BD$5-1)="","",  IF(COUNTIF(entities[entity_id],OFFSET(cards[[#This Row],[1]],0,BD$5-1))=1,"ok","missing"))</f>
        <v/>
      </c>
      <c r="BE11" t="str">
        <f ca="1">IF(OFFSET(cards[[#This Row],[1]],0,BE$5-1)="","",  IF(COUNTIF(entities[entity_id],OFFSET(cards[[#This Row],[1]],0,BE$5-1))=1,"ok","missing"))</f>
        <v/>
      </c>
      <c r="BF11" t="str">
        <f ca="1">IF(OFFSET(cards[[#This Row],[1]],0,BF$5-1)="","",  IF(COUNTIF(entities[entity_id],OFFSET(cards[[#This Row],[1]],0,BF$5-1))=1,"ok","missing"))</f>
        <v/>
      </c>
      <c r="BG11" t="str">
        <f>"group."&amp;cards[[#This Row],[object_id]]</f>
        <v>group.automation_rmbd</v>
      </c>
      <c r="BH11" t="str">
        <f t="array" ref="BH11">IFERROR(INDEX(views[object_id],SMALL(IF(views[[1]:[25]]=cards[[#This Row],[entity_id]],ROW(views[])-7,99^99),1)),"")</f>
        <v/>
      </c>
      <c r="BI11" s="6" t="str">
        <f>IF(cards[[#This Row],[First space]]-cards[[#This Row],[Entities count]]=1,"ok","Check entitiy names")</f>
        <v>ok</v>
      </c>
      <c r="BJ11" s="6" t="str">
        <f>IF(cards[[#This Row],[View]]&lt;&gt;"","ok","not in view")</f>
        <v>not in view</v>
      </c>
      <c r="BK11" s="6" t="str">
        <f ca="1">IF(COUNTIF(cards[[#This Row],[C1]:[C25]],"missing")=0,"ok","some entities missing from Entities tab")</f>
        <v>ok</v>
      </c>
    </row>
    <row r="12" spans="1:63" x14ac:dyDescent="0.45">
      <c r="B12">
        <v>5</v>
      </c>
      <c r="C12" t="s">
        <v>648</v>
      </c>
      <c r="D12" t="s">
        <v>909</v>
      </c>
      <c r="F12" t="s">
        <v>79</v>
      </c>
      <c r="G12" t="s">
        <v>80</v>
      </c>
      <c r="AE12">
        <f>ROW(cards[[#This Row],[object_id order]])-ROW(cards[])+1</f>
        <v>5</v>
      </c>
      <c r="AF12" s="6">
        <f>COUNTA(cards[[#This Row],[1]:[25]])</f>
        <v>2</v>
      </c>
      <c r="AG12" s="6">
        <f t="array" ref="AG12">MATCH(TRUE,INDEX(ISBLANK(cards[[#This Row],[1]:[25]]),0,0),0)</f>
        <v>3</v>
      </c>
      <c r="AH12" t="str">
        <f ca="1">IF(OFFSET(cards[[#This Row],[1]],0,AH$5-1)="","",  IF(COUNTIF(entities[entity_id],OFFSET(cards[[#This Row],[1]],0,AH$5-1))=1,"ok","missing"))</f>
        <v>ok</v>
      </c>
      <c r="AI12" t="str">
        <f ca="1">IF(OFFSET(cards[[#This Row],[1]],0,AI$5-1)="","",  IF(COUNTIF(entities[entity_id],OFFSET(cards[[#This Row],[1]],0,AI$5-1))=1,"ok","missing"))</f>
        <v>ok</v>
      </c>
      <c r="AJ12" t="str">
        <f ca="1">IF(OFFSET(cards[[#This Row],[1]],0,AJ$5-1)="","",  IF(COUNTIF(entities[entity_id],OFFSET(cards[[#This Row],[1]],0,AJ$5-1))=1,"ok","missing"))</f>
        <v/>
      </c>
      <c r="AK12" t="str">
        <f ca="1">IF(OFFSET(cards[[#This Row],[1]],0,AK$5-1)="","",  IF(COUNTIF(entities[entity_id],OFFSET(cards[[#This Row],[1]],0,AK$5-1))=1,"ok","missing"))</f>
        <v/>
      </c>
      <c r="AL12" t="str">
        <f ca="1">IF(OFFSET(cards[[#This Row],[1]],0,AL$5-1)="","",  IF(COUNTIF(entities[entity_id],OFFSET(cards[[#This Row],[1]],0,AL$5-1))=1,"ok","missing"))</f>
        <v/>
      </c>
      <c r="AM12" t="str">
        <f ca="1">IF(OFFSET(cards[[#This Row],[1]],0,AM$5-1)="","",  IF(COUNTIF(entities[entity_id],OFFSET(cards[[#This Row],[1]],0,AM$5-1))=1,"ok","missing"))</f>
        <v/>
      </c>
      <c r="AN12" t="str">
        <f ca="1">IF(OFFSET(cards[[#This Row],[1]],0,AN$5-1)="","",  IF(COUNTIF(entities[entity_id],OFFSET(cards[[#This Row],[1]],0,AN$5-1))=1,"ok","missing"))</f>
        <v/>
      </c>
      <c r="AO12" t="str">
        <f ca="1">IF(OFFSET(cards[[#This Row],[1]],0,AO$5-1)="","",  IF(COUNTIF(entities[entity_id],OFFSET(cards[[#This Row],[1]],0,AO$5-1))=1,"ok","missing"))</f>
        <v/>
      </c>
      <c r="AP12" t="str">
        <f ca="1">IF(OFFSET(cards[[#This Row],[1]],0,AP$5-1)="","",  IF(COUNTIF(entities[entity_id],OFFSET(cards[[#This Row],[1]],0,AP$5-1))=1,"ok","missing"))</f>
        <v/>
      </c>
      <c r="AQ12" t="str">
        <f ca="1">IF(OFFSET(cards[[#This Row],[1]],0,AQ$5-1)="","",  IF(COUNTIF(entities[entity_id],OFFSET(cards[[#This Row],[1]],0,AQ$5-1))=1,"ok","missing"))</f>
        <v/>
      </c>
      <c r="AR12" t="str">
        <f ca="1">IF(OFFSET(cards[[#This Row],[1]],0,AR$5-1)="","",  IF(COUNTIF(entities[entity_id],OFFSET(cards[[#This Row],[1]],0,AR$5-1))=1,"ok","missing"))</f>
        <v/>
      </c>
      <c r="AS12" t="str">
        <f ca="1">IF(OFFSET(cards[[#This Row],[1]],0,AS$5-1)="","",  IF(COUNTIF(entities[entity_id],OFFSET(cards[[#This Row],[1]],0,AS$5-1))=1,"ok","missing"))</f>
        <v/>
      </c>
      <c r="AT12" t="str">
        <f ca="1">IF(OFFSET(cards[[#This Row],[1]],0,AT$5-1)="","",  IF(COUNTIF(entities[entity_id],OFFSET(cards[[#This Row],[1]],0,AT$5-1))=1,"ok","missing"))</f>
        <v/>
      </c>
      <c r="AU12" t="str">
        <f ca="1">IF(OFFSET(cards[[#This Row],[1]],0,AU$5-1)="","",  IF(COUNTIF(entities[entity_id],OFFSET(cards[[#This Row],[1]],0,AU$5-1))=1,"ok","missing"))</f>
        <v/>
      </c>
      <c r="AV12" t="str">
        <f ca="1">IF(OFFSET(cards[[#This Row],[1]],0,AV$5-1)="","",  IF(COUNTIF(entities[entity_id],OFFSET(cards[[#This Row],[1]],0,AV$5-1))=1,"ok","missing"))</f>
        <v/>
      </c>
      <c r="AW12" t="str">
        <f ca="1">IF(OFFSET(cards[[#This Row],[1]],0,AW$5-1)="","",  IF(COUNTIF(entities[entity_id],OFFSET(cards[[#This Row],[1]],0,AW$5-1))=1,"ok","missing"))</f>
        <v/>
      </c>
      <c r="AX12" t="str">
        <f ca="1">IF(OFFSET(cards[[#This Row],[1]],0,AX$5-1)="","",  IF(COUNTIF(entities[entity_id],OFFSET(cards[[#This Row],[1]],0,AX$5-1))=1,"ok","missing"))</f>
        <v/>
      </c>
      <c r="AY12" t="str">
        <f ca="1">IF(OFFSET(cards[[#This Row],[1]],0,AY$5-1)="","",  IF(COUNTIF(entities[entity_id],OFFSET(cards[[#This Row],[1]],0,AY$5-1))=1,"ok","missing"))</f>
        <v/>
      </c>
      <c r="AZ12" t="str">
        <f ca="1">IF(OFFSET(cards[[#This Row],[1]],0,AZ$5-1)="","",  IF(COUNTIF(entities[entity_id],OFFSET(cards[[#This Row],[1]],0,AZ$5-1))=1,"ok","missing"))</f>
        <v/>
      </c>
      <c r="BA12" t="str">
        <f ca="1">IF(OFFSET(cards[[#This Row],[1]],0,BA$5-1)="","",  IF(COUNTIF(entities[entity_id],OFFSET(cards[[#This Row],[1]],0,BA$5-1))=1,"ok","missing"))</f>
        <v/>
      </c>
      <c r="BB12" t="str">
        <f ca="1">IF(OFFSET(cards[[#This Row],[1]],0,BB$5-1)="","",  IF(COUNTIF(entities[entity_id],OFFSET(cards[[#This Row],[1]],0,BB$5-1))=1,"ok","missing"))</f>
        <v/>
      </c>
      <c r="BC12" t="str">
        <f ca="1">IF(OFFSET(cards[[#This Row],[1]],0,BC$5-1)="","",  IF(COUNTIF(entities[entity_id],OFFSET(cards[[#This Row],[1]],0,BC$5-1))=1,"ok","missing"))</f>
        <v/>
      </c>
      <c r="BD12" t="str">
        <f ca="1">IF(OFFSET(cards[[#This Row],[1]],0,BD$5-1)="","",  IF(COUNTIF(entities[entity_id],OFFSET(cards[[#This Row],[1]],0,BD$5-1))=1,"ok","missing"))</f>
        <v/>
      </c>
      <c r="BE12" t="str">
        <f ca="1">IF(OFFSET(cards[[#This Row],[1]],0,BE$5-1)="","",  IF(COUNTIF(entities[entity_id],OFFSET(cards[[#This Row],[1]],0,BE$5-1))=1,"ok","missing"))</f>
        <v/>
      </c>
      <c r="BF12" t="str">
        <f ca="1">IF(OFFSET(cards[[#This Row],[1]],0,BF$5-1)="","",  IF(COUNTIF(entities[entity_id],OFFSET(cards[[#This Row],[1]],0,BF$5-1))=1,"ok","missing"))</f>
        <v/>
      </c>
      <c r="BG12" t="str">
        <f>"group."&amp;cards[[#This Row],[object_id]]</f>
        <v>group.automation_rmlv</v>
      </c>
      <c r="BH12" t="str">
        <f t="array" ref="BH12">IFERROR(INDEX(views[object_id],SMALL(IF(views[[1]:[25]]=cards[[#This Row],[entity_id]],ROW(views[])-7,99^99),1)),"")</f>
        <v/>
      </c>
      <c r="BI12" s="6" t="str">
        <f>IF(cards[[#This Row],[First space]]-cards[[#This Row],[Entities count]]=1,"ok","Check entitiy names")</f>
        <v>ok</v>
      </c>
      <c r="BJ12" s="6" t="str">
        <f>IF(cards[[#This Row],[View]]&lt;&gt;"","ok","not in view")</f>
        <v>not in view</v>
      </c>
      <c r="BK12" s="6" t="str">
        <f ca="1">IF(COUNTIF(cards[[#This Row],[C1]:[C25]],"missing")=0,"ok","some entities missing from Entities tab")</f>
        <v>ok</v>
      </c>
    </row>
    <row r="13" spans="1:63" x14ac:dyDescent="0.45">
      <c r="B13">
        <v>6</v>
      </c>
      <c r="C13" t="s">
        <v>649</v>
      </c>
      <c r="D13" t="s">
        <v>904</v>
      </c>
      <c r="F13" t="s">
        <v>81</v>
      </c>
      <c r="G13" t="s">
        <v>803</v>
      </c>
      <c r="H13" t="s">
        <v>801</v>
      </c>
      <c r="I13" t="s">
        <v>802</v>
      </c>
      <c r="J13" t="s">
        <v>82</v>
      </c>
      <c r="K13" t="s">
        <v>848</v>
      </c>
      <c r="AE13">
        <f>ROW(cards[[#This Row],[object_id order]])-ROW(cards[])+1</f>
        <v>6</v>
      </c>
      <c r="AF13" s="6">
        <f>COUNTA(cards[[#This Row],[1]:[25]])</f>
        <v>6</v>
      </c>
      <c r="AG13" s="6">
        <f t="array" ref="AG13">MATCH(TRUE,INDEX(ISBLANK(cards[[#This Row],[1]:[25]]),0,0),0)</f>
        <v>7</v>
      </c>
      <c r="AH13" t="str">
        <f ca="1">IF(OFFSET(cards[[#This Row],[1]],0,AH$5-1)="","",  IF(COUNTIF(entities[entity_id],OFFSET(cards[[#This Row],[1]],0,AH$5-1))=1,"ok","missing"))</f>
        <v>ok</v>
      </c>
      <c r="AI13" t="str">
        <f ca="1">IF(OFFSET(cards[[#This Row],[1]],0,AI$5-1)="","",  IF(COUNTIF(entities[entity_id],OFFSET(cards[[#This Row],[1]],0,AI$5-1))=1,"ok","missing"))</f>
        <v>ok</v>
      </c>
      <c r="AJ13" t="str">
        <f ca="1">IF(OFFSET(cards[[#This Row],[1]],0,AJ$5-1)="","",  IF(COUNTIF(entities[entity_id],OFFSET(cards[[#This Row],[1]],0,AJ$5-1))=1,"ok","missing"))</f>
        <v>ok</v>
      </c>
      <c r="AK13" t="str">
        <f ca="1">IF(OFFSET(cards[[#This Row],[1]],0,AK$5-1)="","",  IF(COUNTIF(entities[entity_id],OFFSET(cards[[#This Row],[1]],0,AK$5-1))=1,"ok","missing"))</f>
        <v>ok</v>
      </c>
      <c r="AL13" t="str">
        <f ca="1">IF(OFFSET(cards[[#This Row],[1]],0,AL$5-1)="","",  IF(COUNTIF(entities[entity_id],OFFSET(cards[[#This Row],[1]],0,AL$5-1))=1,"ok","missing"))</f>
        <v>ok</v>
      </c>
      <c r="AM13" t="str">
        <f ca="1">IF(OFFSET(cards[[#This Row],[1]],0,AM$5-1)="","",  IF(COUNTIF(entities[entity_id],OFFSET(cards[[#This Row],[1]],0,AM$5-1))=1,"ok","missing"))</f>
        <v>ok</v>
      </c>
      <c r="AN13" t="str">
        <f ca="1">IF(OFFSET(cards[[#This Row],[1]],0,AN$5-1)="","",  IF(COUNTIF(entities[entity_id],OFFSET(cards[[#This Row],[1]],0,AN$5-1))=1,"ok","missing"))</f>
        <v/>
      </c>
      <c r="AO13" t="str">
        <f ca="1">IF(OFFSET(cards[[#This Row],[1]],0,AO$5-1)="","",  IF(COUNTIF(entities[entity_id],OFFSET(cards[[#This Row],[1]],0,AO$5-1))=1,"ok","missing"))</f>
        <v/>
      </c>
      <c r="AP13" t="str">
        <f ca="1">IF(OFFSET(cards[[#This Row],[1]],0,AP$5-1)="","",  IF(COUNTIF(entities[entity_id],OFFSET(cards[[#This Row],[1]],0,AP$5-1))=1,"ok","missing"))</f>
        <v/>
      </c>
      <c r="AQ13" t="str">
        <f ca="1">IF(OFFSET(cards[[#This Row],[1]],0,AQ$5-1)="","",  IF(COUNTIF(entities[entity_id],OFFSET(cards[[#This Row],[1]],0,AQ$5-1))=1,"ok","missing"))</f>
        <v/>
      </c>
      <c r="AR13" t="str">
        <f ca="1">IF(OFFSET(cards[[#This Row],[1]],0,AR$5-1)="","",  IF(COUNTIF(entities[entity_id],OFFSET(cards[[#This Row],[1]],0,AR$5-1))=1,"ok","missing"))</f>
        <v/>
      </c>
      <c r="AS13" t="str">
        <f ca="1">IF(OFFSET(cards[[#This Row],[1]],0,AS$5-1)="","",  IF(COUNTIF(entities[entity_id],OFFSET(cards[[#This Row],[1]],0,AS$5-1))=1,"ok","missing"))</f>
        <v/>
      </c>
      <c r="AT13" t="str">
        <f ca="1">IF(OFFSET(cards[[#This Row],[1]],0,AT$5-1)="","",  IF(COUNTIF(entities[entity_id],OFFSET(cards[[#This Row],[1]],0,AT$5-1))=1,"ok","missing"))</f>
        <v/>
      </c>
      <c r="AU13" t="str">
        <f ca="1">IF(OFFSET(cards[[#This Row],[1]],0,AU$5-1)="","",  IF(COUNTIF(entities[entity_id],OFFSET(cards[[#This Row],[1]],0,AU$5-1))=1,"ok","missing"))</f>
        <v/>
      </c>
      <c r="AV13" t="str">
        <f ca="1">IF(OFFSET(cards[[#This Row],[1]],0,AV$5-1)="","",  IF(COUNTIF(entities[entity_id],OFFSET(cards[[#This Row],[1]],0,AV$5-1))=1,"ok","missing"))</f>
        <v/>
      </c>
      <c r="AW13" t="str">
        <f ca="1">IF(OFFSET(cards[[#This Row],[1]],0,AW$5-1)="","",  IF(COUNTIF(entities[entity_id],OFFSET(cards[[#This Row],[1]],0,AW$5-1))=1,"ok","missing"))</f>
        <v/>
      </c>
      <c r="AX13" t="str">
        <f ca="1">IF(OFFSET(cards[[#This Row],[1]],0,AX$5-1)="","",  IF(COUNTIF(entities[entity_id],OFFSET(cards[[#This Row],[1]],0,AX$5-1))=1,"ok","missing"))</f>
        <v/>
      </c>
      <c r="AY13" t="str">
        <f ca="1">IF(OFFSET(cards[[#This Row],[1]],0,AY$5-1)="","",  IF(COUNTIF(entities[entity_id],OFFSET(cards[[#This Row],[1]],0,AY$5-1))=1,"ok","missing"))</f>
        <v/>
      </c>
      <c r="AZ13" t="str">
        <f ca="1">IF(OFFSET(cards[[#This Row],[1]],0,AZ$5-1)="","",  IF(COUNTIF(entities[entity_id],OFFSET(cards[[#This Row],[1]],0,AZ$5-1))=1,"ok","missing"))</f>
        <v/>
      </c>
      <c r="BA13" t="str">
        <f ca="1">IF(OFFSET(cards[[#This Row],[1]],0,BA$5-1)="","",  IF(COUNTIF(entities[entity_id],OFFSET(cards[[#This Row],[1]],0,BA$5-1))=1,"ok","missing"))</f>
        <v/>
      </c>
      <c r="BB13" t="str">
        <f ca="1">IF(OFFSET(cards[[#This Row],[1]],0,BB$5-1)="","",  IF(COUNTIF(entities[entity_id],OFFSET(cards[[#This Row],[1]],0,BB$5-1))=1,"ok","missing"))</f>
        <v/>
      </c>
      <c r="BC13" t="str">
        <f ca="1">IF(OFFSET(cards[[#This Row],[1]],0,BC$5-1)="","",  IF(COUNTIF(entities[entity_id],OFFSET(cards[[#This Row],[1]],0,BC$5-1))=1,"ok","missing"))</f>
        <v/>
      </c>
      <c r="BD13" t="str">
        <f ca="1">IF(OFFSET(cards[[#This Row],[1]],0,BD$5-1)="","",  IF(COUNTIF(entities[entity_id],OFFSET(cards[[#This Row],[1]],0,BD$5-1))=1,"ok","missing"))</f>
        <v/>
      </c>
      <c r="BE13" t="str">
        <f ca="1">IF(OFFSET(cards[[#This Row],[1]],0,BE$5-1)="","",  IF(COUNTIF(entities[entity_id],OFFSET(cards[[#This Row],[1]],0,BE$5-1))=1,"ok","missing"))</f>
        <v/>
      </c>
      <c r="BF13" t="str">
        <f ca="1">IF(OFFSET(cards[[#This Row],[1]],0,BF$5-1)="","",  IF(COUNTIF(entities[entity_id],OFFSET(cards[[#This Row],[1]],0,BF$5-1))=1,"ok","missing"))</f>
        <v/>
      </c>
      <c r="BG13" t="str">
        <f>"group."&amp;cards[[#This Row],[object_id]]</f>
        <v>group.automation_rmlvtv</v>
      </c>
      <c r="BH13" t="str">
        <f t="array" ref="BH13">IFERROR(INDEX(views[object_id],SMALL(IF(views[[1]:[25]]=cards[[#This Row],[entity_id]],ROW(views[])-7,99^99),1)),"")</f>
        <v/>
      </c>
      <c r="BI13" s="6" t="str">
        <f>IF(cards[[#This Row],[First space]]-cards[[#This Row],[Entities count]]=1,"ok","Check entitiy names")</f>
        <v>ok</v>
      </c>
      <c r="BJ13" s="6" t="str">
        <f>IF(cards[[#This Row],[View]]&lt;&gt;"","ok","not in view")</f>
        <v>not in view</v>
      </c>
      <c r="BK13" s="6" t="str">
        <f ca="1">IF(COUNTIF(cards[[#This Row],[C1]:[C25]],"missing")=0,"ok","some entities missing from Entities tab")</f>
        <v>ok</v>
      </c>
    </row>
    <row r="14" spans="1:63" x14ac:dyDescent="0.45">
      <c r="B14">
        <v>7</v>
      </c>
      <c r="C14" t="s">
        <v>651</v>
      </c>
      <c r="D14" t="s">
        <v>897</v>
      </c>
      <c r="F14" t="s">
        <v>85</v>
      </c>
      <c r="G14" t="s">
        <v>86</v>
      </c>
      <c r="H14" t="s">
        <v>804</v>
      </c>
      <c r="I14" t="s">
        <v>87</v>
      </c>
      <c r="J14" t="s">
        <v>88</v>
      </c>
      <c r="AE14">
        <f>ROW(cards[[#This Row],[object_id order]])-ROW(cards[])+1</f>
        <v>7</v>
      </c>
      <c r="AF14" s="6">
        <f>COUNTA(cards[[#This Row],[1]:[25]])</f>
        <v>5</v>
      </c>
      <c r="AG14" s="6">
        <f t="array" ref="AG14">MATCH(TRUE,INDEX(ISBLANK(cards[[#This Row],[1]:[25]]),0,0),0)</f>
        <v>6</v>
      </c>
      <c r="AH14" t="str">
        <f ca="1">IF(OFFSET(cards[[#This Row],[1]],0,AH$5-1)="","",  IF(COUNTIF(entities[entity_id],OFFSET(cards[[#This Row],[1]],0,AH$5-1))=1,"ok","missing"))</f>
        <v>ok</v>
      </c>
      <c r="AI14" t="str">
        <f ca="1">IF(OFFSET(cards[[#This Row],[1]],0,AI$5-1)="","",  IF(COUNTIF(entities[entity_id],OFFSET(cards[[#This Row],[1]],0,AI$5-1))=1,"ok","missing"))</f>
        <v>ok</v>
      </c>
      <c r="AJ14" t="str">
        <f ca="1">IF(OFFSET(cards[[#This Row],[1]],0,AJ$5-1)="","",  IF(COUNTIF(entities[entity_id],OFFSET(cards[[#This Row],[1]],0,AJ$5-1))=1,"ok","missing"))</f>
        <v>ok</v>
      </c>
      <c r="AK14" t="str">
        <f ca="1">IF(OFFSET(cards[[#This Row],[1]],0,AK$5-1)="","",  IF(COUNTIF(entities[entity_id],OFFSET(cards[[#This Row],[1]],0,AK$5-1))=1,"ok","missing"))</f>
        <v>ok</v>
      </c>
      <c r="AL14" t="str">
        <f ca="1">IF(OFFSET(cards[[#This Row],[1]],0,AL$5-1)="","",  IF(COUNTIF(entities[entity_id],OFFSET(cards[[#This Row],[1]],0,AL$5-1))=1,"ok","missing"))</f>
        <v>ok</v>
      </c>
      <c r="AM14" t="str">
        <f ca="1">IF(OFFSET(cards[[#This Row],[1]],0,AM$5-1)="","",  IF(COUNTIF(entities[entity_id],OFFSET(cards[[#This Row],[1]],0,AM$5-1))=1,"ok","missing"))</f>
        <v/>
      </c>
      <c r="AN14" t="str">
        <f ca="1">IF(OFFSET(cards[[#This Row],[1]],0,AN$5-1)="","",  IF(COUNTIF(entities[entity_id],OFFSET(cards[[#This Row],[1]],0,AN$5-1))=1,"ok","missing"))</f>
        <v/>
      </c>
      <c r="AO14" t="str">
        <f ca="1">IF(OFFSET(cards[[#This Row],[1]],0,AO$5-1)="","",  IF(COUNTIF(entities[entity_id],OFFSET(cards[[#This Row],[1]],0,AO$5-1))=1,"ok","missing"))</f>
        <v/>
      </c>
      <c r="AP14" t="str">
        <f ca="1">IF(OFFSET(cards[[#This Row],[1]],0,AP$5-1)="","",  IF(COUNTIF(entities[entity_id],OFFSET(cards[[#This Row],[1]],0,AP$5-1))=1,"ok","missing"))</f>
        <v/>
      </c>
      <c r="AQ14" t="str">
        <f ca="1">IF(OFFSET(cards[[#This Row],[1]],0,AQ$5-1)="","",  IF(COUNTIF(entities[entity_id],OFFSET(cards[[#This Row],[1]],0,AQ$5-1))=1,"ok","missing"))</f>
        <v/>
      </c>
      <c r="AR14" t="str">
        <f ca="1">IF(OFFSET(cards[[#This Row],[1]],0,AR$5-1)="","",  IF(COUNTIF(entities[entity_id],OFFSET(cards[[#This Row],[1]],0,AR$5-1))=1,"ok","missing"))</f>
        <v/>
      </c>
      <c r="AS14" t="str">
        <f ca="1">IF(OFFSET(cards[[#This Row],[1]],0,AS$5-1)="","",  IF(COUNTIF(entities[entity_id],OFFSET(cards[[#This Row],[1]],0,AS$5-1))=1,"ok","missing"))</f>
        <v/>
      </c>
      <c r="AT14" t="str">
        <f ca="1">IF(OFFSET(cards[[#This Row],[1]],0,AT$5-1)="","",  IF(COUNTIF(entities[entity_id],OFFSET(cards[[#This Row],[1]],0,AT$5-1))=1,"ok","missing"))</f>
        <v/>
      </c>
      <c r="AU14" t="str">
        <f ca="1">IF(OFFSET(cards[[#This Row],[1]],0,AU$5-1)="","",  IF(COUNTIF(entities[entity_id],OFFSET(cards[[#This Row],[1]],0,AU$5-1))=1,"ok","missing"))</f>
        <v/>
      </c>
      <c r="AV14" t="str">
        <f ca="1">IF(OFFSET(cards[[#This Row],[1]],0,AV$5-1)="","",  IF(COUNTIF(entities[entity_id],OFFSET(cards[[#This Row],[1]],0,AV$5-1))=1,"ok","missing"))</f>
        <v/>
      </c>
      <c r="AW14" t="str">
        <f ca="1">IF(OFFSET(cards[[#This Row],[1]],0,AW$5-1)="","",  IF(COUNTIF(entities[entity_id],OFFSET(cards[[#This Row],[1]],0,AW$5-1))=1,"ok","missing"))</f>
        <v/>
      </c>
      <c r="AX14" t="str">
        <f ca="1">IF(OFFSET(cards[[#This Row],[1]],0,AX$5-1)="","",  IF(COUNTIF(entities[entity_id],OFFSET(cards[[#This Row],[1]],0,AX$5-1))=1,"ok","missing"))</f>
        <v/>
      </c>
      <c r="AY14" t="str">
        <f ca="1">IF(OFFSET(cards[[#This Row],[1]],0,AY$5-1)="","",  IF(COUNTIF(entities[entity_id],OFFSET(cards[[#This Row],[1]],0,AY$5-1))=1,"ok","missing"))</f>
        <v/>
      </c>
      <c r="AZ14" t="str">
        <f ca="1">IF(OFFSET(cards[[#This Row],[1]],0,AZ$5-1)="","",  IF(COUNTIF(entities[entity_id],OFFSET(cards[[#This Row],[1]],0,AZ$5-1))=1,"ok","missing"))</f>
        <v/>
      </c>
      <c r="BA14" t="str">
        <f ca="1">IF(OFFSET(cards[[#This Row],[1]],0,BA$5-1)="","",  IF(COUNTIF(entities[entity_id],OFFSET(cards[[#This Row],[1]],0,BA$5-1))=1,"ok","missing"))</f>
        <v/>
      </c>
      <c r="BB14" t="str">
        <f ca="1">IF(OFFSET(cards[[#This Row],[1]],0,BB$5-1)="","",  IF(COUNTIF(entities[entity_id],OFFSET(cards[[#This Row],[1]],0,BB$5-1))=1,"ok","missing"))</f>
        <v/>
      </c>
      <c r="BC14" t="str">
        <f ca="1">IF(OFFSET(cards[[#This Row],[1]],0,BC$5-1)="","",  IF(COUNTIF(entities[entity_id],OFFSET(cards[[#This Row],[1]],0,BC$5-1))=1,"ok","missing"))</f>
        <v/>
      </c>
      <c r="BD14" t="str">
        <f ca="1">IF(OFFSET(cards[[#This Row],[1]],0,BD$5-1)="","",  IF(COUNTIF(entities[entity_id],OFFSET(cards[[#This Row],[1]],0,BD$5-1))=1,"ok","missing"))</f>
        <v/>
      </c>
      <c r="BE14" t="str">
        <f ca="1">IF(OFFSET(cards[[#This Row],[1]],0,BE$5-1)="","",  IF(COUNTIF(entities[entity_id],OFFSET(cards[[#This Row],[1]],0,BE$5-1))=1,"ok","missing"))</f>
        <v/>
      </c>
      <c r="BF14" t="str">
        <f ca="1">IF(OFFSET(cards[[#This Row],[1]],0,BF$5-1)="","",  IF(COUNTIF(entities[entity_id],OFFSET(cards[[#This Row],[1]],0,BF$5-1))=1,"ok","missing"))</f>
        <v/>
      </c>
      <c r="BG14" t="str">
        <f>"group."&amp;cards[[#This Row],[object_id]]</f>
        <v>group.automation_statron</v>
      </c>
      <c r="BH14" t="str">
        <f t="array" ref="BH14">IFERROR(INDEX(views[object_id],SMALL(IF(views[[1]:[25]]=cards[[#This Row],[entity_id]],ROW(views[])-7,99^99),1)),"")</f>
        <v/>
      </c>
      <c r="BI14" s="6" t="str">
        <f>IF(cards[[#This Row],[First space]]-cards[[#This Row],[Entities count]]=1,"ok","Check entitiy names")</f>
        <v>ok</v>
      </c>
      <c r="BJ14" s="6" t="str">
        <f>IF(cards[[#This Row],[View]]&lt;&gt;"","ok","not in view")</f>
        <v>not in view</v>
      </c>
      <c r="BK14" s="6" t="str">
        <f ca="1">IF(COUNTIF(cards[[#This Row],[C1]:[C25]],"missing")=0,"ok","some entities missing from Entities tab")</f>
        <v>ok</v>
      </c>
    </row>
    <row r="15" spans="1:63" x14ac:dyDescent="0.45">
      <c r="B15">
        <v>8</v>
      </c>
      <c r="C15" t="s">
        <v>650</v>
      </c>
      <c r="D15" t="s">
        <v>903</v>
      </c>
      <c r="F15" t="s">
        <v>83</v>
      </c>
      <c r="G15" t="s">
        <v>84</v>
      </c>
      <c r="AE15">
        <f>ROW(cards[[#This Row],[object_id order]])-ROW(cards[])+1</f>
        <v>8</v>
      </c>
      <c r="AF15" s="6">
        <f>COUNTA(cards[[#This Row],[1]:[25]])</f>
        <v>2</v>
      </c>
      <c r="AG15" s="6">
        <f t="array" ref="AG15">MATCH(TRUE,INDEX(ISBLANK(cards[[#This Row],[1]:[25]]),0,0),0)</f>
        <v>3</v>
      </c>
      <c r="AH15" t="str">
        <f ca="1">IF(OFFSET(cards[[#This Row],[1]],0,AH$5-1)="","",  IF(COUNTIF(entities[entity_id],OFFSET(cards[[#This Row],[1]],0,AH$5-1))=1,"ok","missing"))</f>
        <v>ok</v>
      </c>
      <c r="AI15" t="str">
        <f ca="1">IF(OFFSET(cards[[#This Row],[1]],0,AI$5-1)="","",  IF(COUNTIF(entities[entity_id],OFFSET(cards[[#This Row],[1]],0,AI$5-1))=1,"ok","missing"))</f>
        <v>ok</v>
      </c>
      <c r="AJ15" t="str">
        <f ca="1">IF(OFFSET(cards[[#This Row],[1]],0,AJ$5-1)="","",  IF(COUNTIF(entities[entity_id],OFFSET(cards[[#This Row],[1]],0,AJ$5-1))=1,"ok","missing"))</f>
        <v/>
      </c>
      <c r="AK15" t="str">
        <f ca="1">IF(OFFSET(cards[[#This Row],[1]],0,AK$5-1)="","",  IF(COUNTIF(entities[entity_id],OFFSET(cards[[#This Row],[1]],0,AK$5-1))=1,"ok","missing"))</f>
        <v/>
      </c>
      <c r="AL15" t="str">
        <f ca="1">IF(OFFSET(cards[[#This Row],[1]],0,AL$5-1)="","",  IF(COUNTIF(entities[entity_id],OFFSET(cards[[#This Row],[1]],0,AL$5-1))=1,"ok","missing"))</f>
        <v/>
      </c>
      <c r="AM15" t="str">
        <f ca="1">IF(OFFSET(cards[[#This Row],[1]],0,AM$5-1)="","",  IF(COUNTIF(entities[entity_id],OFFSET(cards[[#This Row],[1]],0,AM$5-1))=1,"ok","missing"))</f>
        <v/>
      </c>
      <c r="AN15" t="str">
        <f ca="1">IF(OFFSET(cards[[#This Row],[1]],0,AN$5-1)="","",  IF(COUNTIF(entities[entity_id],OFFSET(cards[[#This Row],[1]],0,AN$5-1))=1,"ok","missing"))</f>
        <v/>
      </c>
      <c r="AO15" t="str">
        <f ca="1">IF(OFFSET(cards[[#This Row],[1]],0,AO$5-1)="","",  IF(COUNTIF(entities[entity_id],OFFSET(cards[[#This Row],[1]],0,AO$5-1))=1,"ok","missing"))</f>
        <v/>
      </c>
      <c r="AP15" t="str">
        <f ca="1">IF(OFFSET(cards[[#This Row],[1]],0,AP$5-1)="","",  IF(COUNTIF(entities[entity_id],OFFSET(cards[[#This Row],[1]],0,AP$5-1))=1,"ok","missing"))</f>
        <v/>
      </c>
      <c r="AQ15" t="str">
        <f ca="1">IF(OFFSET(cards[[#This Row],[1]],0,AQ$5-1)="","",  IF(COUNTIF(entities[entity_id],OFFSET(cards[[#This Row],[1]],0,AQ$5-1))=1,"ok","missing"))</f>
        <v/>
      </c>
      <c r="AR15" t="str">
        <f ca="1">IF(OFFSET(cards[[#This Row],[1]],0,AR$5-1)="","",  IF(COUNTIF(entities[entity_id],OFFSET(cards[[#This Row],[1]],0,AR$5-1))=1,"ok","missing"))</f>
        <v/>
      </c>
      <c r="AS15" t="str">
        <f ca="1">IF(OFFSET(cards[[#This Row],[1]],0,AS$5-1)="","",  IF(COUNTIF(entities[entity_id],OFFSET(cards[[#This Row],[1]],0,AS$5-1))=1,"ok","missing"))</f>
        <v/>
      </c>
      <c r="AT15" t="str">
        <f ca="1">IF(OFFSET(cards[[#This Row],[1]],0,AT$5-1)="","",  IF(COUNTIF(entities[entity_id],OFFSET(cards[[#This Row],[1]],0,AT$5-1))=1,"ok","missing"))</f>
        <v/>
      </c>
      <c r="AU15" t="str">
        <f ca="1">IF(OFFSET(cards[[#This Row],[1]],0,AU$5-1)="","",  IF(COUNTIF(entities[entity_id],OFFSET(cards[[#This Row],[1]],0,AU$5-1))=1,"ok","missing"))</f>
        <v/>
      </c>
      <c r="AV15" t="str">
        <f ca="1">IF(OFFSET(cards[[#This Row],[1]],0,AV$5-1)="","",  IF(COUNTIF(entities[entity_id],OFFSET(cards[[#This Row],[1]],0,AV$5-1))=1,"ok","missing"))</f>
        <v/>
      </c>
      <c r="AW15" t="str">
        <f ca="1">IF(OFFSET(cards[[#This Row],[1]],0,AW$5-1)="","",  IF(COUNTIF(entities[entity_id],OFFSET(cards[[#This Row],[1]],0,AW$5-1))=1,"ok","missing"))</f>
        <v/>
      </c>
      <c r="AX15" t="str">
        <f ca="1">IF(OFFSET(cards[[#This Row],[1]],0,AX$5-1)="","",  IF(COUNTIF(entities[entity_id],OFFSET(cards[[#This Row],[1]],0,AX$5-1))=1,"ok","missing"))</f>
        <v/>
      </c>
      <c r="AY15" t="str">
        <f ca="1">IF(OFFSET(cards[[#This Row],[1]],0,AY$5-1)="","",  IF(COUNTIF(entities[entity_id],OFFSET(cards[[#This Row],[1]],0,AY$5-1))=1,"ok","missing"))</f>
        <v/>
      </c>
      <c r="AZ15" t="str">
        <f ca="1">IF(OFFSET(cards[[#This Row],[1]],0,AZ$5-1)="","",  IF(COUNTIF(entities[entity_id],OFFSET(cards[[#This Row],[1]],0,AZ$5-1))=1,"ok","missing"))</f>
        <v/>
      </c>
      <c r="BA15" t="str">
        <f ca="1">IF(OFFSET(cards[[#This Row],[1]],0,BA$5-1)="","",  IF(COUNTIF(entities[entity_id],OFFSET(cards[[#This Row],[1]],0,BA$5-1))=1,"ok","missing"))</f>
        <v/>
      </c>
      <c r="BB15" t="str">
        <f ca="1">IF(OFFSET(cards[[#This Row],[1]],0,BB$5-1)="","",  IF(COUNTIF(entities[entity_id],OFFSET(cards[[#This Row],[1]],0,BB$5-1))=1,"ok","missing"))</f>
        <v/>
      </c>
      <c r="BC15" t="str">
        <f ca="1">IF(OFFSET(cards[[#This Row],[1]],0,BC$5-1)="","",  IF(COUNTIF(entities[entity_id],OFFSET(cards[[#This Row],[1]],0,BC$5-1))=1,"ok","missing"))</f>
        <v/>
      </c>
      <c r="BD15" t="str">
        <f ca="1">IF(OFFSET(cards[[#This Row],[1]],0,BD$5-1)="","",  IF(COUNTIF(entities[entity_id],OFFSET(cards[[#This Row],[1]],0,BD$5-1))=1,"ok","missing"))</f>
        <v/>
      </c>
      <c r="BE15" t="str">
        <f ca="1">IF(OFFSET(cards[[#This Row],[1]],0,BE$5-1)="","",  IF(COUNTIF(entities[entity_id],OFFSET(cards[[#This Row],[1]],0,BE$5-1))=1,"ok","missing"))</f>
        <v/>
      </c>
      <c r="BF15" t="str">
        <f ca="1">IF(OFFSET(cards[[#This Row],[1]],0,BF$5-1)="","",  IF(COUNTIF(entities[entity_id],OFFSET(cards[[#This Row],[1]],0,BF$5-1))=1,"ok","missing"))</f>
        <v/>
      </c>
      <c r="BG15" t="str">
        <f>"group."&amp;cards[[#This Row],[object_id]]</f>
        <v>group.automation_statfriend</v>
      </c>
      <c r="BH15" t="str">
        <f t="array" ref="BH15">IFERROR(INDEX(views[object_id],SMALL(IF(views[[1]:[25]]=cards[[#This Row],[entity_id]],ROW(views[])-7,99^99),1)),"")</f>
        <v/>
      </c>
      <c r="BI15" s="6" t="str">
        <f>IF(cards[[#This Row],[First space]]-cards[[#This Row],[Entities count]]=1,"ok","Check entitiy names")</f>
        <v>ok</v>
      </c>
      <c r="BJ15" s="6" t="str">
        <f>IF(cards[[#This Row],[View]]&lt;&gt;"","ok","not in view")</f>
        <v>not in view</v>
      </c>
      <c r="BK15" s="6" t="str">
        <f ca="1">IF(COUNTIF(cards[[#This Row],[C1]:[C25]],"missing")=0,"ok","some entities missing from Entities tab")</f>
        <v>ok</v>
      </c>
    </row>
    <row r="16" spans="1:63" x14ac:dyDescent="0.45">
      <c r="B16">
        <v>9</v>
      </c>
      <c r="C16" t="s">
        <v>652</v>
      </c>
      <c r="D16" t="s">
        <v>664</v>
      </c>
      <c r="F16" t="s">
        <v>89</v>
      </c>
      <c r="G16" t="s">
        <v>90</v>
      </c>
      <c r="AE16">
        <f>ROW(cards[[#This Row],[object_id order]])-ROW(cards[])+1</f>
        <v>9</v>
      </c>
      <c r="AF16" s="6">
        <f>COUNTA(cards[[#This Row],[1]:[25]])</f>
        <v>2</v>
      </c>
      <c r="AG16" s="6">
        <f t="array" ref="AG16">MATCH(TRUE,INDEX(ISBLANK(cards[[#This Row],[1]:[25]]),0,0),0)</f>
        <v>3</v>
      </c>
      <c r="AH16" t="str">
        <f ca="1">IF(OFFSET(cards[[#This Row],[1]],0,AH$5-1)="","",  IF(COUNTIF(entities[entity_id],OFFSET(cards[[#This Row],[1]],0,AH$5-1))=1,"ok","missing"))</f>
        <v>ok</v>
      </c>
      <c r="AI16" t="str">
        <f ca="1">IF(OFFSET(cards[[#This Row],[1]],0,AI$5-1)="","",  IF(COUNTIF(entities[entity_id],OFFSET(cards[[#This Row],[1]],0,AI$5-1))=1,"ok","missing"))</f>
        <v>ok</v>
      </c>
      <c r="AJ16" t="str">
        <f ca="1">IF(OFFSET(cards[[#This Row],[1]],0,AJ$5-1)="","",  IF(COUNTIF(entities[entity_id],OFFSET(cards[[#This Row],[1]],0,AJ$5-1))=1,"ok","missing"))</f>
        <v/>
      </c>
      <c r="AK16" t="str">
        <f ca="1">IF(OFFSET(cards[[#This Row],[1]],0,AK$5-1)="","",  IF(COUNTIF(entities[entity_id],OFFSET(cards[[#This Row],[1]],0,AK$5-1))=1,"ok","missing"))</f>
        <v/>
      </c>
      <c r="AL16" t="str">
        <f ca="1">IF(OFFSET(cards[[#This Row],[1]],0,AL$5-1)="","",  IF(COUNTIF(entities[entity_id],OFFSET(cards[[#This Row],[1]],0,AL$5-1))=1,"ok","missing"))</f>
        <v/>
      </c>
      <c r="AM16" t="str">
        <f ca="1">IF(OFFSET(cards[[#This Row],[1]],0,AM$5-1)="","",  IF(COUNTIF(entities[entity_id],OFFSET(cards[[#This Row],[1]],0,AM$5-1))=1,"ok","missing"))</f>
        <v/>
      </c>
      <c r="AN16" t="str">
        <f ca="1">IF(OFFSET(cards[[#This Row],[1]],0,AN$5-1)="","",  IF(COUNTIF(entities[entity_id],OFFSET(cards[[#This Row],[1]],0,AN$5-1))=1,"ok","missing"))</f>
        <v/>
      </c>
      <c r="AO16" t="str">
        <f ca="1">IF(OFFSET(cards[[#This Row],[1]],0,AO$5-1)="","",  IF(COUNTIF(entities[entity_id],OFFSET(cards[[#This Row],[1]],0,AO$5-1))=1,"ok","missing"))</f>
        <v/>
      </c>
      <c r="AP16" t="str">
        <f ca="1">IF(OFFSET(cards[[#This Row],[1]],0,AP$5-1)="","",  IF(COUNTIF(entities[entity_id],OFFSET(cards[[#This Row],[1]],0,AP$5-1))=1,"ok","missing"))</f>
        <v/>
      </c>
      <c r="AQ16" t="str">
        <f ca="1">IF(OFFSET(cards[[#This Row],[1]],0,AQ$5-1)="","",  IF(COUNTIF(entities[entity_id],OFFSET(cards[[#This Row],[1]],0,AQ$5-1))=1,"ok","missing"))</f>
        <v/>
      </c>
      <c r="AR16" t="str">
        <f ca="1">IF(OFFSET(cards[[#This Row],[1]],0,AR$5-1)="","",  IF(COUNTIF(entities[entity_id],OFFSET(cards[[#This Row],[1]],0,AR$5-1))=1,"ok","missing"))</f>
        <v/>
      </c>
      <c r="AS16" t="str">
        <f ca="1">IF(OFFSET(cards[[#This Row],[1]],0,AS$5-1)="","",  IF(COUNTIF(entities[entity_id],OFFSET(cards[[#This Row],[1]],0,AS$5-1))=1,"ok","missing"))</f>
        <v/>
      </c>
      <c r="AT16" t="str">
        <f ca="1">IF(OFFSET(cards[[#This Row],[1]],0,AT$5-1)="","",  IF(COUNTIF(entities[entity_id],OFFSET(cards[[#This Row],[1]],0,AT$5-1))=1,"ok","missing"))</f>
        <v/>
      </c>
      <c r="AU16" t="str">
        <f ca="1">IF(OFFSET(cards[[#This Row],[1]],0,AU$5-1)="","",  IF(COUNTIF(entities[entity_id],OFFSET(cards[[#This Row],[1]],0,AU$5-1))=1,"ok","missing"))</f>
        <v/>
      </c>
      <c r="AV16" t="str">
        <f ca="1">IF(OFFSET(cards[[#This Row],[1]],0,AV$5-1)="","",  IF(COUNTIF(entities[entity_id],OFFSET(cards[[#This Row],[1]],0,AV$5-1))=1,"ok","missing"))</f>
        <v/>
      </c>
      <c r="AW16" t="str">
        <f ca="1">IF(OFFSET(cards[[#This Row],[1]],0,AW$5-1)="","",  IF(COUNTIF(entities[entity_id],OFFSET(cards[[#This Row],[1]],0,AW$5-1))=1,"ok","missing"))</f>
        <v/>
      </c>
      <c r="AX16" t="str">
        <f ca="1">IF(OFFSET(cards[[#This Row],[1]],0,AX$5-1)="","",  IF(COUNTIF(entities[entity_id],OFFSET(cards[[#This Row],[1]],0,AX$5-1))=1,"ok","missing"))</f>
        <v/>
      </c>
      <c r="AY16" t="str">
        <f ca="1">IF(OFFSET(cards[[#This Row],[1]],0,AY$5-1)="","",  IF(COUNTIF(entities[entity_id],OFFSET(cards[[#This Row],[1]],0,AY$5-1))=1,"ok","missing"))</f>
        <v/>
      </c>
      <c r="AZ16" t="str">
        <f ca="1">IF(OFFSET(cards[[#This Row],[1]],0,AZ$5-1)="","",  IF(COUNTIF(entities[entity_id],OFFSET(cards[[#This Row],[1]],0,AZ$5-1))=1,"ok","missing"))</f>
        <v/>
      </c>
      <c r="BA16" t="str">
        <f ca="1">IF(OFFSET(cards[[#This Row],[1]],0,BA$5-1)="","",  IF(COUNTIF(entities[entity_id],OFFSET(cards[[#This Row],[1]],0,BA$5-1))=1,"ok","missing"))</f>
        <v/>
      </c>
      <c r="BB16" t="str">
        <f ca="1">IF(OFFSET(cards[[#This Row],[1]],0,BB$5-1)="","",  IF(COUNTIF(entities[entity_id],OFFSET(cards[[#This Row],[1]],0,BB$5-1))=1,"ok","missing"))</f>
        <v/>
      </c>
      <c r="BC16" t="str">
        <f ca="1">IF(OFFSET(cards[[#This Row],[1]],0,BC$5-1)="","",  IF(COUNTIF(entities[entity_id],OFFSET(cards[[#This Row],[1]],0,BC$5-1))=1,"ok","missing"))</f>
        <v/>
      </c>
      <c r="BD16" t="str">
        <f ca="1">IF(OFFSET(cards[[#This Row],[1]],0,BD$5-1)="","",  IF(COUNTIF(entities[entity_id],OFFSET(cards[[#This Row],[1]],0,BD$5-1))=1,"ok","missing"))</f>
        <v/>
      </c>
      <c r="BE16" t="str">
        <f ca="1">IF(OFFSET(cards[[#This Row],[1]],0,BE$5-1)="","",  IF(COUNTIF(entities[entity_id],OFFSET(cards[[#This Row],[1]],0,BE$5-1))=1,"ok","missing"))</f>
        <v/>
      </c>
      <c r="BF16" t="str">
        <f ca="1">IF(OFFSET(cards[[#This Row],[1]],0,BF$5-1)="","",  IF(COUNTIF(entities[entity_id],OFFSET(cards[[#This Row],[1]],0,BF$5-1))=1,"ok","missing"))</f>
        <v/>
      </c>
      <c r="BG16" t="str">
        <f>"group."&amp;cards[[#This Row],[object_id]]</f>
        <v>group.automation_statvac</v>
      </c>
      <c r="BH16" t="str">
        <f t="array" ref="BH16">IFERROR(INDEX(views[object_id],SMALL(IF(views[[1]:[25]]=cards[[#This Row],[entity_id]],ROW(views[])-7,99^99),1)),"")</f>
        <v/>
      </c>
      <c r="BI16" s="6" t="str">
        <f>IF(cards[[#This Row],[First space]]-cards[[#This Row],[Entities count]]=1,"ok","Check entitiy names")</f>
        <v>ok</v>
      </c>
      <c r="BJ16" s="6" t="str">
        <f>IF(cards[[#This Row],[View]]&lt;&gt;"","ok","not in view")</f>
        <v>not in view</v>
      </c>
      <c r="BK16" s="6" t="str">
        <f ca="1">IF(COUNTIF(cards[[#This Row],[C1]:[C25]],"missing")=0,"ok","some entities missing from Entities tab")</f>
        <v>ok</v>
      </c>
    </row>
    <row r="17" spans="2:63" x14ac:dyDescent="0.45">
      <c r="B17">
        <v>10</v>
      </c>
      <c r="C17" t="s">
        <v>658</v>
      </c>
      <c r="D17" t="s">
        <v>667</v>
      </c>
      <c r="F17" t="s">
        <v>151</v>
      </c>
      <c r="G17" t="s">
        <v>149</v>
      </c>
      <c r="H17" t="s">
        <v>150</v>
      </c>
      <c r="AE17">
        <f>ROW(cards[[#This Row],[object_id order]])-ROW(cards[])+1</f>
        <v>10</v>
      </c>
      <c r="AF17" s="6">
        <f>COUNTA(cards[[#This Row],[1]:[25]])</f>
        <v>3</v>
      </c>
      <c r="AG17" s="6">
        <f t="array" ref="AG17">MATCH(TRUE,INDEX(ISBLANK(cards[[#This Row],[1]:[25]]),0,0),0)</f>
        <v>4</v>
      </c>
      <c r="AH17" t="str">
        <f ca="1">IF(OFFSET(cards[[#This Row],[1]],0,AH$5-1)="","",  IF(COUNTIF(entities[entity_id],OFFSET(cards[[#This Row],[1]],0,AH$5-1))=1,"ok","missing"))</f>
        <v>ok</v>
      </c>
      <c r="AI17" t="str">
        <f ca="1">IF(OFFSET(cards[[#This Row],[1]],0,AI$5-1)="","",  IF(COUNTIF(entities[entity_id],OFFSET(cards[[#This Row],[1]],0,AI$5-1))=1,"ok","missing"))</f>
        <v>ok</v>
      </c>
      <c r="AJ17" t="str">
        <f ca="1">IF(OFFSET(cards[[#This Row],[1]],0,AJ$5-1)="","",  IF(COUNTIF(entities[entity_id],OFFSET(cards[[#This Row],[1]],0,AJ$5-1))=1,"ok","missing"))</f>
        <v>ok</v>
      </c>
      <c r="AK17" t="str">
        <f ca="1">IF(OFFSET(cards[[#This Row],[1]],0,AK$5-1)="","",  IF(COUNTIF(entities[entity_id],OFFSET(cards[[#This Row],[1]],0,AK$5-1))=1,"ok","missing"))</f>
        <v/>
      </c>
      <c r="AL17" t="str">
        <f ca="1">IF(OFFSET(cards[[#This Row],[1]],0,AL$5-1)="","",  IF(COUNTIF(entities[entity_id],OFFSET(cards[[#This Row],[1]],0,AL$5-1))=1,"ok","missing"))</f>
        <v/>
      </c>
      <c r="AM17" t="str">
        <f ca="1">IF(OFFSET(cards[[#This Row],[1]],0,AM$5-1)="","",  IF(COUNTIF(entities[entity_id],OFFSET(cards[[#This Row],[1]],0,AM$5-1))=1,"ok","missing"))</f>
        <v/>
      </c>
      <c r="AN17" t="str">
        <f ca="1">IF(OFFSET(cards[[#This Row],[1]],0,AN$5-1)="","",  IF(COUNTIF(entities[entity_id],OFFSET(cards[[#This Row],[1]],0,AN$5-1))=1,"ok","missing"))</f>
        <v/>
      </c>
      <c r="AO17" t="str">
        <f ca="1">IF(OFFSET(cards[[#This Row],[1]],0,AO$5-1)="","",  IF(COUNTIF(entities[entity_id],OFFSET(cards[[#This Row],[1]],0,AO$5-1))=1,"ok","missing"))</f>
        <v/>
      </c>
      <c r="AP17" t="str">
        <f ca="1">IF(OFFSET(cards[[#This Row],[1]],0,AP$5-1)="","",  IF(COUNTIF(entities[entity_id],OFFSET(cards[[#This Row],[1]],0,AP$5-1))=1,"ok","missing"))</f>
        <v/>
      </c>
      <c r="AQ17" t="str">
        <f ca="1">IF(OFFSET(cards[[#This Row],[1]],0,AQ$5-1)="","",  IF(COUNTIF(entities[entity_id],OFFSET(cards[[#This Row],[1]],0,AQ$5-1))=1,"ok","missing"))</f>
        <v/>
      </c>
      <c r="AR17" t="str">
        <f ca="1">IF(OFFSET(cards[[#This Row],[1]],0,AR$5-1)="","",  IF(COUNTIF(entities[entity_id],OFFSET(cards[[#This Row],[1]],0,AR$5-1))=1,"ok","missing"))</f>
        <v/>
      </c>
      <c r="AS17" t="str">
        <f ca="1">IF(OFFSET(cards[[#This Row],[1]],0,AS$5-1)="","",  IF(COUNTIF(entities[entity_id],OFFSET(cards[[#This Row],[1]],0,AS$5-1))=1,"ok","missing"))</f>
        <v/>
      </c>
      <c r="AT17" t="str">
        <f ca="1">IF(OFFSET(cards[[#This Row],[1]],0,AT$5-1)="","",  IF(COUNTIF(entities[entity_id],OFFSET(cards[[#This Row],[1]],0,AT$5-1))=1,"ok","missing"))</f>
        <v/>
      </c>
      <c r="AU17" t="str">
        <f ca="1">IF(OFFSET(cards[[#This Row],[1]],0,AU$5-1)="","",  IF(COUNTIF(entities[entity_id],OFFSET(cards[[#This Row],[1]],0,AU$5-1))=1,"ok","missing"))</f>
        <v/>
      </c>
      <c r="AV17" t="str">
        <f ca="1">IF(OFFSET(cards[[#This Row],[1]],0,AV$5-1)="","",  IF(COUNTIF(entities[entity_id],OFFSET(cards[[#This Row],[1]],0,AV$5-1))=1,"ok","missing"))</f>
        <v/>
      </c>
      <c r="AW17" t="str">
        <f ca="1">IF(OFFSET(cards[[#This Row],[1]],0,AW$5-1)="","",  IF(COUNTIF(entities[entity_id],OFFSET(cards[[#This Row],[1]],0,AW$5-1))=1,"ok","missing"))</f>
        <v/>
      </c>
      <c r="AX17" t="str">
        <f ca="1">IF(OFFSET(cards[[#This Row],[1]],0,AX$5-1)="","",  IF(COUNTIF(entities[entity_id],OFFSET(cards[[#This Row],[1]],0,AX$5-1))=1,"ok","missing"))</f>
        <v/>
      </c>
      <c r="AY17" t="str">
        <f ca="1">IF(OFFSET(cards[[#This Row],[1]],0,AY$5-1)="","",  IF(COUNTIF(entities[entity_id],OFFSET(cards[[#This Row],[1]],0,AY$5-1))=1,"ok","missing"))</f>
        <v/>
      </c>
      <c r="AZ17" t="str">
        <f ca="1">IF(OFFSET(cards[[#This Row],[1]],0,AZ$5-1)="","",  IF(COUNTIF(entities[entity_id],OFFSET(cards[[#This Row],[1]],0,AZ$5-1))=1,"ok","missing"))</f>
        <v/>
      </c>
      <c r="BA17" t="str">
        <f ca="1">IF(OFFSET(cards[[#This Row],[1]],0,BA$5-1)="","",  IF(COUNTIF(entities[entity_id],OFFSET(cards[[#This Row],[1]],0,BA$5-1))=1,"ok","missing"))</f>
        <v/>
      </c>
      <c r="BB17" t="str">
        <f ca="1">IF(OFFSET(cards[[#This Row],[1]],0,BB$5-1)="","",  IF(COUNTIF(entities[entity_id],OFFSET(cards[[#This Row],[1]],0,BB$5-1))=1,"ok","missing"))</f>
        <v/>
      </c>
      <c r="BC17" t="str">
        <f ca="1">IF(OFFSET(cards[[#This Row],[1]],0,BC$5-1)="","",  IF(COUNTIF(entities[entity_id],OFFSET(cards[[#This Row],[1]],0,BC$5-1))=1,"ok","missing"))</f>
        <v/>
      </c>
      <c r="BD17" t="str">
        <f ca="1">IF(OFFSET(cards[[#This Row],[1]],0,BD$5-1)="","",  IF(COUNTIF(entities[entity_id],OFFSET(cards[[#This Row],[1]],0,BD$5-1))=1,"ok","missing"))</f>
        <v/>
      </c>
      <c r="BE17" t="str">
        <f ca="1">IF(OFFSET(cards[[#This Row],[1]],0,BE$5-1)="","",  IF(COUNTIF(entities[entity_id],OFFSET(cards[[#This Row],[1]],0,BE$5-1))=1,"ok","missing"))</f>
        <v/>
      </c>
      <c r="BF17" t="str">
        <f ca="1">IF(OFFSET(cards[[#This Row],[1]],0,BF$5-1)="","",  IF(COUNTIF(entities[entity_id],OFFSET(cards[[#This Row],[1]],0,BF$5-1))=1,"ok","missing"))</f>
        <v/>
      </c>
      <c r="BG17" t="str">
        <f>"group."&amp;cards[[#This Row],[object_id]]</f>
        <v>group.status</v>
      </c>
      <c r="BH17" t="str">
        <f t="array" ref="BH17">IFERROR(INDEX(views[object_id],SMALL(IF(views[[1]:[25]]=cards[[#This Row],[entity_id]],ROW(views[])-7,99^99),1)),"")</f>
        <v>default_view</v>
      </c>
      <c r="BI17" s="6" t="str">
        <f>IF(cards[[#This Row],[First space]]-cards[[#This Row],[Entities count]]=1,"ok","Check entitiy names")</f>
        <v>ok</v>
      </c>
      <c r="BJ17" s="6" t="str">
        <f>IF(cards[[#This Row],[View]]&lt;&gt;"","ok","not in view")</f>
        <v>ok</v>
      </c>
      <c r="BK17" s="6" t="str">
        <f ca="1">IF(COUNTIF(cards[[#This Row],[C1]:[C25]],"missing")=0,"ok","some entities missing from Entities tab")</f>
        <v>ok</v>
      </c>
    </row>
    <row r="18" spans="2:63" x14ac:dyDescent="0.45">
      <c r="B18">
        <v>11</v>
      </c>
      <c r="C18" t="s">
        <v>781</v>
      </c>
      <c r="D18" t="s">
        <v>43</v>
      </c>
      <c r="F18" t="s">
        <v>197</v>
      </c>
      <c r="AE18">
        <f>ROW(cards[[#This Row],[object_id order]])-ROW(cards[])+1</f>
        <v>11</v>
      </c>
      <c r="AF18" s="6">
        <f>COUNTA(cards[[#This Row],[1]:[25]])</f>
        <v>1</v>
      </c>
      <c r="AG18" s="6">
        <f t="array" ref="AG18">MATCH(TRUE,INDEX(ISBLANK(cards[[#This Row],[1]:[25]]),0,0),0)</f>
        <v>2</v>
      </c>
      <c r="AH18" t="str">
        <f ca="1">IF(OFFSET(cards[[#This Row],[1]],0,AH$5-1)="","",  IF(COUNTIF(entities[entity_id],OFFSET(cards[[#This Row],[1]],0,AH$5-1))=1,"ok","missing"))</f>
        <v>ok</v>
      </c>
      <c r="AI18" t="str">
        <f ca="1">IF(OFFSET(cards[[#This Row],[1]],0,AI$5-1)="","",  IF(COUNTIF(entities[entity_id],OFFSET(cards[[#This Row],[1]],0,AI$5-1))=1,"ok","missing"))</f>
        <v/>
      </c>
      <c r="AJ18" t="str">
        <f ca="1">IF(OFFSET(cards[[#This Row],[1]],0,AJ$5-1)="","",  IF(COUNTIF(entities[entity_id],OFFSET(cards[[#This Row],[1]],0,AJ$5-1))=1,"ok","missing"))</f>
        <v/>
      </c>
      <c r="AK18" t="str">
        <f ca="1">IF(OFFSET(cards[[#This Row],[1]],0,AK$5-1)="","",  IF(COUNTIF(entities[entity_id],OFFSET(cards[[#This Row],[1]],0,AK$5-1))=1,"ok","missing"))</f>
        <v/>
      </c>
      <c r="AL18" t="str">
        <f ca="1">IF(OFFSET(cards[[#This Row],[1]],0,AL$5-1)="","",  IF(COUNTIF(entities[entity_id],OFFSET(cards[[#This Row],[1]],0,AL$5-1))=1,"ok","missing"))</f>
        <v/>
      </c>
      <c r="AM18" t="str">
        <f ca="1">IF(OFFSET(cards[[#This Row],[1]],0,AM$5-1)="","",  IF(COUNTIF(entities[entity_id],OFFSET(cards[[#This Row],[1]],0,AM$5-1))=1,"ok","missing"))</f>
        <v/>
      </c>
      <c r="AN18" t="str">
        <f ca="1">IF(OFFSET(cards[[#This Row],[1]],0,AN$5-1)="","",  IF(COUNTIF(entities[entity_id],OFFSET(cards[[#This Row],[1]],0,AN$5-1))=1,"ok","missing"))</f>
        <v/>
      </c>
      <c r="AO18" t="str">
        <f ca="1">IF(OFFSET(cards[[#This Row],[1]],0,AO$5-1)="","",  IF(COUNTIF(entities[entity_id],OFFSET(cards[[#This Row],[1]],0,AO$5-1))=1,"ok","missing"))</f>
        <v/>
      </c>
      <c r="AP18" t="str">
        <f ca="1">IF(OFFSET(cards[[#This Row],[1]],0,AP$5-1)="","",  IF(COUNTIF(entities[entity_id],OFFSET(cards[[#This Row],[1]],0,AP$5-1))=1,"ok","missing"))</f>
        <v/>
      </c>
      <c r="AQ18" t="str">
        <f ca="1">IF(OFFSET(cards[[#This Row],[1]],0,AQ$5-1)="","",  IF(COUNTIF(entities[entity_id],OFFSET(cards[[#This Row],[1]],0,AQ$5-1))=1,"ok","missing"))</f>
        <v/>
      </c>
      <c r="AR18" t="str">
        <f ca="1">IF(OFFSET(cards[[#This Row],[1]],0,AR$5-1)="","",  IF(COUNTIF(entities[entity_id],OFFSET(cards[[#This Row],[1]],0,AR$5-1))=1,"ok","missing"))</f>
        <v/>
      </c>
      <c r="AS18" t="str">
        <f ca="1">IF(OFFSET(cards[[#This Row],[1]],0,AS$5-1)="","",  IF(COUNTIF(entities[entity_id],OFFSET(cards[[#This Row],[1]],0,AS$5-1))=1,"ok","missing"))</f>
        <v/>
      </c>
      <c r="AT18" t="str">
        <f ca="1">IF(OFFSET(cards[[#This Row],[1]],0,AT$5-1)="","",  IF(COUNTIF(entities[entity_id],OFFSET(cards[[#This Row],[1]],0,AT$5-1))=1,"ok","missing"))</f>
        <v/>
      </c>
      <c r="AU18" t="str">
        <f ca="1">IF(OFFSET(cards[[#This Row],[1]],0,AU$5-1)="","",  IF(COUNTIF(entities[entity_id],OFFSET(cards[[#This Row],[1]],0,AU$5-1))=1,"ok","missing"))</f>
        <v/>
      </c>
      <c r="AV18" t="str">
        <f ca="1">IF(OFFSET(cards[[#This Row],[1]],0,AV$5-1)="","",  IF(COUNTIF(entities[entity_id],OFFSET(cards[[#This Row],[1]],0,AV$5-1))=1,"ok","missing"))</f>
        <v/>
      </c>
      <c r="AW18" t="str">
        <f ca="1">IF(OFFSET(cards[[#This Row],[1]],0,AW$5-1)="","",  IF(COUNTIF(entities[entity_id],OFFSET(cards[[#This Row],[1]],0,AW$5-1))=1,"ok","missing"))</f>
        <v/>
      </c>
      <c r="AX18" t="str">
        <f ca="1">IF(OFFSET(cards[[#This Row],[1]],0,AX$5-1)="","",  IF(COUNTIF(entities[entity_id],OFFSET(cards[[#This Row],[1]],0,AX$5-1))=1,"ok","missing"))</f>
        <v/>
      </c>
      <c r="AY18" t="str">
        <f ca="1">IF(OFFSET(cards[[#This Row],[1]],0,AY$5-1)="","",  IF(COUNTIF(entities[entity_id],OFFSET(cards[[#This Row],[1]],0,AY$5-1))=1,"ok","missing"))</f>
        <v/>
      </c>
      <c r="AZ18" t="str">
        <f ca="1">IF(OFFSET(cards[[#This Row],[1]],0,AZ$5-1)="","",  IF(COUNTIF(entities[entity_id],OFFSET(cards[[#This Row],[1]],0,AZ$5-1))=1,"ok","missing"))</f>
        <v/>
      </c>
      <c r="BA18" t="str">
        <f ca="1">IF(OFFSET(cards[[#This Row],[1]],0,BA$5-1)="","",  IF(COUNTIF(entities[entity_id],OFFSET(cards[[#This Row],[1]],0,BA$5-1))=1,"ok","missing"))</f>
        <v/>
      </c>
      <c r="BB18" t="str">
        <f ca="1">IF(OFFSET(cards[[#This Row],[1]],0,BB$5-1)="","",  IF(COUNTIF(entities[entity_id],OFFSET(cards[[#This Row],[1]],0,BB$5-1))=1,"ok","missing"))</f>
        <v/>
      </c>
      <c r="BC18" t="str">
        <f ca="1">IF(OFFSET(cards[[#This Row],[1]],0,BC$5-1)="","",  IF(COUNTIF(entities[entity_id],OFFSET(cards[[#This Row],[1]],0,BC$5-1))=1,"ok","missing"))</f>
        <v/>
      </c>
      <c r="BD18" t="str">
        <f ca="1">IF(OFFSET(cards[[#This Row],[1]],0,BD$5-1)="","",  IF(COUNTIF(entities[entity_id],OFFSET(cards[[#This Row],[1]],0,BD$5-1))=1,"ok","missing"))</f>
        <v/>
      </c>
      <c r="BE18" t="str">
        <f ca="1">IF(OFFSET(cards[[#This Row],[1]],0,BE$5-1)="","",  IF(COUNTIF(entities[entity_id],OFFSET(cards[[#This Row],[1]],0,BE$5-1))=1,"ok","missing"))</f>
        <v/>
      </c>
      <c r="BF18" t="str">
        <f ca="1">IF(OFFSET(cards[[#This Row],[1]],0,BF$5-1)="","",  IF(COUNTIF(entities[entity_id],OFFSET(cards[[#This Row],[1]],0,BF$5-1))=1,"ok","missing"))</f>
        <v/>
      </c>
      <c r="BG18" t="str">
        <f>"group."&amp;cards[[#This Row],[object_id]]</f>
        <v>group.living_room</v>
      </c>
      <c r="BH18" t="str">
        <f t="array" ref="BH18">IFERROR(INDEX(views[object_id],SMALL(IF(views[[1]:[25]]=cards[[#This Row],[entity_id]],ROW(views[])-7,99^99),1)),"")</f>
        <v>default_view</v>
      </c>
      <c r="BI18" s="6" t="str">
        <f>IF(cards[[#This Row],[First space]]-cards[[#This Row],[Entities count]]=1,"ok","Check entitiy names")</f>
        <v>ok</v>
      </c>
      <c r="BJ18" s="6" t="str">
        <f>IF(cards[[#This Row],[View]]&lt;&gt;"","ok","not in view")</f>
        <v>ok</v>
      </c>
      <c r="BK18" s="6" t="str">
        <f ca="1">IF(COUNTIF(cards[[#This Row],[C1]:[C25]],"missing")=0,"ok","some entities missing from Entities tab")</f>
        <v>ok</v>
      </c>
    </row>
    <row r="19" spans="2:63" x14ac:dyDescent="0.45">
      <c r="B19">
        <v>12</v>
      </c>
      <c r="C19" t="s">
        <v>653</v>
      </c>
      <c r="D19" t="s">
        <v>42</v>
      </c>
      <c r="F19" t="s">
        <v>157</v>
      </c>
      <c r="G19" t="s">
        <v>162</v>
      </c>
      <c r="H19" t="s">
        <v>158</v>
      </c>
      <c r="I19" t="s">
        <v>161</v>
      </c>
      <c r="J19" t="s">
        <v>156</v>
      </c>
      <c r="K19" t="s">
        <v>748</v>
      </c>
      <c r="AE19">
        <f>ROW(cards[[#This Row],[object_id order]])-ROW(cards[])+1</f>
        <v>12</v>
      </c>
      <c r="AF19" s="6">
        <f>COUNTA(cards[[#This Row],[1]:[25]])</f>
        <v>6</v>
      </c>
      <c r="AG19" s="6">
        <f t="array" ref="AG19">MATCH(TRUE,INDEX(ISBLANK(cards[[#This Row],[1]:[25]]),0,0),0)</f>
        <v>7</v>
      </c>
      <c r="AH19" t="str">
        <f ca="1">IF(OFFSET(cards[[#This Row],[1]],0,AH$5-1)="","",  IF(COUNTIF(entities[entity_id],OFFSET(cards[[#This Row],[1]],0,AH$5-1))=1,"ok","missing"))</f>
        <v>ok</v>
      </c>
      <c r="AI19" t="str">
        <f ca="1">IF(OFFSET(cards[[#This Row],[1]],0,AI$5-1)="","",  IF(COUNTIF(entities[entity_id],OFFSET(cards[[#This Row],[1]],0,AI$5-1))=1,"ok","missing"))</f>
        <v>ok</v>
      </c>
      <c r="AJ19" t="str">
        <f ca="1">IF(OFFSET(cards[[#This Row],[1]],0,AJ$5-1)="","",  IF(COUNTIF(entities[entity_id],OFFSET(cards[[#This Row],[1]],0,AJ$5-1))=1,"ok","missing"))</f>
        <v>ok</v>
      </c>
      <c r="AK19" t="str">
        <f ca="1">IF(OFFSET(cards[[#This Row],[1]],0,AK$5-1)="","",  IF(COUNTIF(entities[entity_id],OFFSET(cards[[#This Row],[1]],0,AK$5-1))=1,"ok","missing"))</f>
        <v>ok</v>
      </c>
      <c r="AL19" t="str">
        <f ca="1">IF(OFFSET(cards[[#This Row],[1]],0,AL$5-1)="","",  IF(COUNTIF(entities[entity_id],OFFSET(cards[[#This Row],[1]],0,AL$5-1))=1,"ok","missing"))</f>
        <v>ok</v>
      </c>
      <c r="AM19" t="str">
        <f ca="1">IF(OFFSET(cards[[#This Row],[1]],0,AM$5-1)="","",  IF(COUNTIF(entities[entity_id],OFFSET(cards[[#This Row],[1]],0,AM$5-1))=1,"ok","missing"))</f>
        <v>ok</v>
      </c>
      <c r="AN19" t="str">
        <f ca="1">IF(OFFSET(cards[[#This Row],[1]],0,AN$5-1)="","",  IF(COUNTIF(entities[entity_id],OFFSET(cards[[#This Row],[1]],0,AN$5-1))=1,"ok","missing"))</f>
        <v/>
      </c>
      <c r="AO19" t="str">
        <f ca="1">IF(OFFSET(cards[[#This Row],[1]],0,AO$5-1)="","",  IF(COUNTIF(entities[entity_id],OFFSET(cards[[#This Row],[1]],0,AO$5-1))=1,"ok","missing"))</f>
        <v/>
      </c>
      <c r="AP19" t="str">
        <f ca="1">IF(OFFSET(cards[[#This Row],[1]],0,AP$5-1)="","",  IF(COUNTIF(entities[entity_id],OFFSET(cards[[#This Row],[1]],0,AP$5-1))=1,"ok","missing"))</f>
        <v/>
      </c>
      <c r="AQ19" t="str">
        <f ca="1">IF(OFFSET(cards[[#This Row],[1]],0,AQ$5-1)="","",  IF(COUNTIF(entities[entity_id],OFFSET(cards[[#This Row],[1]],0,AQ$5-1))=1,"ok","missing"))</f>
        <v/>
      </c>
      <c r="AR19" t="str">
        <f ca="1">IF(OFFSET(cards[[#This Row],[1]],0,AR$5-1)="","",  IF(COUNTIF(entities[entity_id],OFFSET(cards[[#This Row],[1]],0,AR$5-1))=1,"ok","missing"))</f>
        <v/>
      </c>
      <c r="AS19" t="str">
        <f ca="1">IF(OFFSET(cards[[#This Row],[1]],0,AS$5-1)="","",  IF(COUNTIF(entities[entity_id],OFFSET(cards[[#This Row],[1]],0,AS$5-1))=1,"ok","missing"))</f>
        <v/>
      </c>
      <c r="AT19" t="str">
        <f ca="1">IF(OFFSET(cards[[#This Row],[1]],0,AT$5-1)="","",  IF(COUNTIF(entities[entity_id],OFFSET(cards[[#This Row],[1]],0,AT$5-1))=1,"ok","missing"))</f>
        <v/>
      </c>
      <c r="AU19" t="str">
        <f ca="1">IF(OFFSET(cards[[#This Row],[1]],0,AU$5-1)="","",  IF(COUNTIF(entities[entity_id],OFFSET(cards[[#This Row],[1]],0,AU$5-1))=1,"ok","missing"))</f>
        <v/>
      </c>
      <c r="AV19" t="str">
        <f ca="1">IF(OFFSET(cards[[#This Row],[1]],0,AV$5-1)="","",  IF(COUNTIF(entities[entity_id],OFFSET(cards[[#This Row],[1]],0,AV$5-1))=1,"ok","missing"))</f>
        <v/>
      </c>
      <c r="AW19" t="str">
        <f ca="1">IF(OFFSET(cards[[#This Row],[1]],0,AW$5-1)="","",  IF(COUNTIF(entities[entity_id],OFFSET(cards[[#This Row],[1]],0,AW$5-1))=1,"ok","missing"))</f>
        <v/>
      </c>
      <c r="AX19" t="str">
        <f ca="1">IF(OFFSET(cards[[#This Row],[1]],0,AX$5-1)="","",  IF(COUNTIF(entities[entity_id],OFFSET(cards[[#This Row],[1]],0,AX$5-1))=1,"ok","missing"))</f>
        <v/>
      </c>
      <c r="AY19" t="str">
        <f ca="1">IF(OFFSET(cards[[#This Row],[1]],0,AY$5-1)="","",  IF(COUNTIF(entities[entity_id],OFFSET(cards[[#This Row],[1]],0,AY$5-1))=1,"ok","missing"))</f>
        <v/>
      </c>
      <c r="AZ19" t="str">
        <f ca="1">IF(OFFSET(cards[[#This Row],[1]],0,AZ$5-1)="","",  IF(COUNTIF(entities[entity_id],OFFSET(cards[[#This Row],[1]],0,AZ$5-1))=1,"ok","missing"))</f>
        <v/>
      </c>
      <c r="BA19" t="str">
        <f ca="1">IF(OFFSET(cards[[#This Row],[1]],0,BA$5-1)="","",  IF(COUNTIF(entities[entity_id],OFFSET(cards[[#This Row],[1]],0,BA$5-1))=1,"ok","missing"))</f>
        <v/>
      </c>
      <c r="BB19" t="str">
        <f ca="1">IF(OFFSET(cards[[#This Row],[1]],0,BB$5-1)="","",  IF(COUNTIF(entities[entity_id],OFFSET(cards[[#This Row],[1]],0,BB$5-1))=1,"ok","missing"))</f>
        <v/>
      </c>
      <c r="BC19" t="str">
        <f ca="1">IF(OFFSET(cards[[#This Row],[1]],0,BC$5-1)="","",  IF(COUNTIF(entities[entity_id],OFFSET(cards[[#This Row],[1]],0,BC$5-1))=1,"ok","missing"))</f>
        <v/>
      </c>
      <c r="BD19" t="str">
        <f ca="1">IF(OFFSET(cards[[#This Row],[1]],0,BD$5-1)="","",  IF(COUNTIF(entities[entity_id],OFFSET(cards[[#This Row],[1]],0,BD$5-1))=1,"ok","missing"))</f>
        <v/>
      </c>
      <c r="BE19" t="str">
        <f ca="1">IF(OFFSET(cards[[#This Row],[1]],0,BE$5-1)="","",  IF(COUNTIF(entities[entity_id],OFFSET(cards[[#This Row],[1]],0,BE$5-1))=1,"ok","missing"))</f>
        <v/>
      </c>
      <c r="BF19" t="str">
        <f ca="1">IF(OFFSET(cards[[#This Row],[1]],0,BF$5-1)="","",  IF(COUNTIF(entities[entity_id],OFFSET(cards[[#This Row],[1]],0,BF$5-1))=1,"ok","missing"))</f>
        <v/>
      </c>
      <c r="BG19" t="str">
        <f>"group."&amp;cards[[#This Row],[object_id]]</f>
        <v>group.bedroom</v>
      </c>
      <c r="BH19" t="str">
        <f t="array" ref="BH19">IFERROR(INDEX(views[object_id],SMALL(IF(views[[1]:[25]]=cards[[#This Row],[entity_id]],ROW(views[])-7,99^99),1)),"")</f>
        <v>default_view</v>
      </c>
      <c r="BI19" s="6" t="str">
        <f>IF(cards[[#This Row],[First space]]-cards[[#This Row],[Entities count]]=1,"ok","Check entitiy names")</f>
        <v>ok</v>
      </c>
      <c r="BJ19" s="6" t="str">
        <f>IF(cards[[#This Row],[View]]&lt;&gt;"","ok","not in view")</f>
        <v>ok</v>
      </c>
      <c r="BK19" s="6" t="str">
        <f ca="1">IF(COUNTIF(cards[[#This Row],[C1]:[C25]],"missing")=0,"ok","some entities missing from Entities tab")</f>
        <v>ok</v>
      </c>
    </row>
    <row r="20" spans="2:63" x14ac:dyDescent="0.45">
      <c r="B20">
        <v>13</v>
      </c>
      <c r="C20" t="s">
        <v>752</v>
      </c>
      <c r="D20" t="s">
        <v>902</v>
      </c>
      <c r="F20" t="s">
        <v>135</v>
      </c>
      <c r="G20" t="s">
        <v>199</v>
      </c>
      <c r="H20" t="s">
        <v>198</v>
      </c>
      <c r="AE20">
        <f>ROW(cards[[#This Row],[object_id order]])-ROW(cards[])+1</f>
        <v>13</v>
      </c>
      <c r="AF20" s="6">
        <f>COUNTA(cards[[#This Row],[1]:[25]])</f>
        <v>3</v>
      </c>
      <c r="AG20" s="6">
        <f t="array" ref="AG20">MATCH(TRUE,INDEX(ISBLANK(cards[[#This Row],[1]:[25]]),0,0),0)</f>
        <v>4</v>
      </c>
      <c r="AH20" t="str">
        <f ca="1">IF(OFFSET(cards[[#This Row],[1]],0,AH$5-1)="","",  IF(COUNTIF(entities[entity_id],OFFSET(cards[[#This Row],[1]],0,AH$5-1))=1,"ok","missing"))</f>
        <v>ok</v>
      </c>
      <c r="AI20" t="str">
        <f ca="1">IF(OFFSET(cards[[#This Row],[1]],0,AI$5-1)="","",  IF(COUNTIF(entities[entity_id],OFFSET(cards[[#This Row],[1]],0,AI$5-1))=1,"ok","missing"))</f>
        <v>ok</v>
      </c>
      <c r="AJ20" t="str">
        <f ca="1">IF(OFFSET(cards[[#This Row],[1]],0,AJ$5-1)="","",  IF(COUNTIF(entities[entity_id],OFFSET(cards[[#This Row],[1]],0,AJ$5-1))=1,"ok","missing"))</f>
        <v>ok</v>
      </c>
      <c r="AK20" t="str">
        <f ca="1">IF(OFFSET(cards[[#This Row],[1]],0,AK$5-1)="","",  IF(COUNTIF(entities[entity_id],OFFSET(cards[[#This Row],[1]],0,AK$5-1))=1,"ok","missing"))</f>
        <v/>
      </c>
      <c r="AL20" t="str">
        <f ca="1">IF(OFFSET(cards[[#This Row],[1]],0,AL$5-1)="","",  IF(COUNTIF(entities[entity_id],OFFSET(cards[[#This Row],[1]],0,AL$5-1))=1,"ok","missing"))</f>
        <v/>
      </c>
      <c r="AM20" t="str">
        <f ca="1">IF(OFFSET(cards[[#This Row],[1]],0,AM$5-1)="","",  IF(COUNTIF(entities[entity_id],OFFSET(cards[[#This Row],[1]],0,AM$5-1))=1,"ok","missing"))</f>
        <v/>
      </c>
      <c r="AN20" t="str">
        <f ca="1">IF(OFFSET(cards[[#This Row],[1]],0,AN$5-1)="","",  IF(COUNTIF(entities[entity_id],OFFSET(cards[[#This Row],[1]],0,AN$5-1))=1,"ok","missing"))</f>
        <v/>
      </c>
      <c r="AO20" t="str">
        <f ca="1">IF(OFFSET(cards[[#This Row],[1]],0,AO$5-1)="","",  IF(COUNTIF(entities[entity_id],OFFSET(cards[[#This Row],[1]],0,AO$5-1))=1,"ok","missing"))</f>
        <v/>
      </c>
      <c r="AP20" t="str">
        <f ca="1">IF(OFFSET(cards[[#This Row],[1]],0,AP$5-1)="","",  IF(COUNTIF(entities[entity_id],OFFSET(cards[[#This Row],[1]],0,AP$5-1))=1,"ok","missing"))</f>
        <v/>
      </c>
      <c r="AQ20" t="str">
        <f ca="1">IF(OFFSET(cards[[#This Row],[1]],0,AQ$5-1)="","",  IF(COUNTIF(entities[entity_id],OFFSET(cards[[#This Row],[1]],0,AQ$5-1))=1,"ok","missing"))</f>
        <v/>
      </c>
      <c r="AR20" t="str">
        <f ca="1">IF(OFFSET(cards[[#This Row],[1]],0,AR$5-1)="","",  IF(COUNTIF(entities[entity_id],OFFSET(cards[[#This Row],[1]],0,AR$5-1))=1,"ok","missing"))</f>
        <v/>
      </c>
      <c r="AS20" t="str">
        <f ca="1">IF(OFFSET(cards[[#This Row],[1]],0,AS$5-1)="","",  IF(COUNTIF(entities[entity_id],OFFSET(cards[[#This Row],[1]],0,AS$5-1))=1,"ok","missing"))</f>
        <v/>
      </c>
      <c r="AT20" t="str">
        <f ca="1">IF(OFFSET(cards[[#This Row],[1]],0,AT$5-1)="","",  IF(COUNTIF(entities[entity_id],OFFSET(cards[[#This Row],[1]],0,AT$5-1))=1,"ok","missing"))</f>
        <v/>
      </c>
      <c r="AU20" t="str">
        <f ca="1">IF(OFFSET(cards[[#This Row],[1]],0,AU$5-1)="","",  IF(COUNTIF(entities[entity_id],OFFSET(cards[[#This Row],[1]],0,AU$5-1))=1,"ok","missing"))</f>
        <v/>
      </c>
      <c r="AV20" t="str">
        <f ca="1">IF(OFFSET(cards[[#This Row],[1]],0,AV$5-1)="","",  IF(COUNTIF(entities[entity_id],OFFSET(cards[[#This Row],[1]],0,AV$5-1))=1,"ok","missing"))</f>
        <v/>
      </c>
      <c r="AW20" t="str">
        <f ca="1">IF(OFFSET(cards[[#This Row],[1]],0,AW$5-1)="","",  IF(COUNTIF(entities[entity_id],OFFSET(cards[[#This Row],[1]],0,AW$5-1))=1,"ok","missing"))</f>
        <v/>
      </c>
      <c r="AX20" t="str">
        <f ca="1">IF(OFFSET(cards[[#This Row],[1]],0,AX$5-1)="","",  IF(COUNTIF(entities[entity_id],OFFSET(cards[[#This Row],[1]],0,AX$5-1))=1,"ok","missing"))</f>
        <v/>
      </c>
      <c r="AY20" t="str">
        <f ca="1">IF(OFFSET(cards[[#This Row],[1]],0,AY$5-1)="","",  IF(COUNTIF(entities[entity_id],OFFSET(cards[[#This Row],[1]],0,AY$5-1))=1,"ok","missing"))</f>
        <v/>
      </c>
      <c r="AZ20" t="str">
        <f ca="1">IF(OFFSET(cards[[#This Row],[1]],0,AZ$5-1)="","",  IF(COUNTIF(entities[entity_id],OFFSET(cards[[#This Row],[1]],0,AZ$5-1))=1,"ok","missing"))</f>
        <v/>
      </c>
      <c r="BA20" t="str">
        <f ca="1">IF(OFFSET(cards[[#This Row],[1]],0,BA$5-1)="","",  IF(COUNTIF(entities[entity_id],OFFSET(cards[[#This Row],[1]],0,BA$5-1))=1,"ok","missing"))</f>
        <v/>
      </c>
      <c r="BB20" t="str">
        <f ca="1">IF(OFFSET(cards[[#This Row],[1]],0,BB$5-1)="","",  IF(COUNTIF(entities[entity_id],OFFSET(cards[[#This Row],[1]],0,BB$5-1))=1,"ok","missing"))</f>
        <v/>
      </c>
      <c r="BC20" t="str">
        <f ca="1">IF(OFFSET(cards[[#This Row],[1]],0,BC$5-1)="","",  IF(COUNTIF(entities[entity_id],OFFSET(cards[[#This Row],[1]],0,BC$5-1))=1,"ok","missing"))</f>
        <v/>
      </c>
      <c r="BD20" t="str">
        <f ca="1">IF(OFFSET(cards[[#This Row],[1]],0,BD$5-1)="","",  IF(COUNTIF(entities[entity_id],OFFSET(cards[[#This Row],[1]],0,BD$5-1))=1,"ok","missing"))</f>
        <v/>
      </c>
      <c r="BE20" t="str">
        <f ca="1">IF(OFFSET(cards[[#This Row],[1]],0,BE$5-1)="","",  IF(COUNTIF(entities[entity_id],OFFSET(cards[[#This Row],[1]],0,BE$5-1))=1,"ok","missing"))</f>
        <v/>
      </c>
      <c r="BF20" t="str">
        <f ca="1">IF(OFFSET(cards[[#This Row],[1]],0,BF$5-1)="","",  IF(COUNTIF(entities[entity_id],OFFSET(cards[[#This Row],[1]],0,BF$5-1))=1,"ok","missing"))</f>
        <v/>
      </c>
      <c r="BG20" t="str">
        <f>"group."&amp;cards[[#This Row],[object_id]]</f>
        <v>group.bedroom_devices</v>
      </c>
      <c r="BH20" t="str">
        <f t="array" ref="BH20">IFERROR(INDEX(views[object_id],SMALL(IF(views[[1]:[25]]=cards[[#This Row],[entity_id]],ROW(views[])-7,99^99),1)),"")</f>
        <v>bedroom_view</v>
      </c>
      <c r="BI20" s="6" t="str">
        <f>IF(cards[[#This Row],[First space]]-cards[[#This Row],[Entities count]]=1,"ok","Check entitiy names")</f>
        <v>ok</v>
      </c>
      <c r="BJ20" s="6" t="str">
        <f>IF(cards[[#This Row],[View]]&lt;&gt;"","ok","not in view")</f>
        <v>ok</v>
      </c>
      <c r="BK20" s="6" t="str">
        <f ca="1">IF(COUNTIF(cards[[#This Row],[C1]:[C25]],"missing")=0,"ok","some entities missing from Entities tab")</f>
        <v>ok</v>
      </c>
    </row>
    <row r="21" spans="2:63" x14ac:dyDescent="0.45">
      <c r="B21">
        <v>14</v>
      </c>
      <c r="C21" t="s">
        <v>654</v>
      </c>
      <c r="D21" t="s">
        <v>665</v>
      </c>
      <c r="F21" t="s">
        <v>154</v>
      </c>
      <c r="G21" t="s">
        <v>155</v>
      </c>
      <c r="AE21">
        <f>ROW(cards[[#This Row],[object_id order]])-ROW(cards[])+1</f>
        <v>14</v>
      </c>
      <c r="AF21" s="6">
        <f>COUNTA(cards[[#This Row],[1]:[25]])</f>
        <v>2</v>
      </c>
      <c r="AG21" s="6">
        <f t="array" ref="AG21">MATCH(TRUE,INDEX(ISBLANK(cards[[#This Row],[1]:[25]]),0,0),0)</f>
        <v>3</v>
      </c>
      <c r="AH21" t="str">
        <f ca="1">IF(OFFSET(cards[[#This Row],[1]],0,AH$5-1)="","",  IF(COUNTIF(entities[entity_id],OFFSET(cards[[#This Row],[1]],0,AH$5-1))=1,"ok","missing"))</f>
        <v>ok</v>
      </c>
      <c r="AI21" t="str">
        <f ca="1">IF(OFFSET(cards[[#This Row],[1]],0,AI$5-1)="","",  IF(COUNTIF(entities[entity_id],OFFSET(cards[[#This Row],[1]],0,AI$5-1))=1,"ok","missing"))</f>
        <v>ok</v>
      </c>
      <c r="AJ21" t="str">
        <f ca="1">IF(OFFSET(cards[[#This Row],[1]],0,AJ$5-1)="","",  IF(COUNTIF(entities[entity_id],OFFSET(cards[[#This Row],[1]],0,AJ$5-1))=1,"ok","missing"))</f>
        <v/>
      </c>
      <c r="AK21" t="str">
        <f ca="1">IF(OFFSET(cards[[#This Row],[1]],0,AK$5-1)="","",  IF(COUNTIF(entities[entity_id],OFFSET(cards[[#This Row],[1]],0,AK$5-1))=1,"ok","missing"))</f>
        <v/>
      </c>
      <c r="AL21" t="str">
        <f ca="1">IF(OFFSET(cards[[#This Row],[1]],0,AL$5-1)="","",  IF(COUNTIF(entities[entity_id],OFFSET(cards[[#This Row],[1]],0,AL$5-1))=1,"ok","missing"))</f>
        <v/>
      </c>
      <c r="AM21" t="str">
        <f ca="1">IF(OFFSET(cards[[#This Row],[1]],0,AM$5-1)="","",  IF(COUNTIF(entities[entity_id],OFFSET(cards[[#This Row],[1]],0,AM$5-1))=1,"ok","missing"))</f>
        <v/>
      </c>
      <c r="AN21" t="str">
        <f ca="1">IF(OFFSET(cards[[#This Row],[1]],0,AN$5-1)="","",  IF(COUNTIF(entities[entity_id],OFFSET(cards[[#This Row],[1]],0,AN$5-1))=1,"ok","missing"))</f>
        <v/>
      </c>
      <c r="AO21" t="str">
        <f ca="1">IF(OFFSET(cards[[#This Row],[1]],0,AO$5-1)="","",  IF(COUNTIF(entities[entity_id],OFFSET(cards[[#This Row],[1]],0,AO$5-1))=1,"ok","missing"))</f>
        <v/>
      </c>
      <c r="AP21" t="str">
        <f ca="1">IF(OFFSET(cards[[#This Row],[1]],0,AP$5-1)="","",  IF(COUNTIF(entities[entity_id],OFFSET(cards[[#This Row],[1]],0,AP$5-1))=1,"ok","missing"))</f>
        <v/>
      </c>
      <c r="AQ21" t="str">
        <f ca="1">IF(OFFSET(cards[[#This Row],[1]],0,AQ$5-1)="","",  IF(COUNTIF(entities[entity_id],OFFSET(cards[[#This Row],[1]],0,AQ$5-1))=1,"ok","missing"))</f>
        <v/>
      </c>
      <c r="AR21" t="str">
        <f ca="1">IF(OFFSET(cards[[#This Row],[1]],0,AR$5-1)="","",  IF(COUNTIF(entities[entity_id],OFFSET(cards[[#This Row],[1]],0,AR$5-1))=1,"ok","missing"))</f>
        <v/>
      </c>
      <c r="AS21" t="str">
        <f ca="1">IF(OFFSET(cards[[#This Row],[1]],0,AS$5-1)="","",  IF(COUNTIF(entities[entity_id],OFFSET(cards[[#This Row],[1]],0,AS$5-1))=1,"ok","missing"))</f>
        <v/>
      </c>
      <c r="AT21" t="str">
        <f ca="1">IF(OFFSET(cards[[#This Row],[1]],0,AT$5-1)="","",  IF(COUNTIF(entities[entity_id],OFFSET(cards[[#This Row],[1]],0,AT$5-1))=1,"ok","missing"))</f>
        <v/>
      </c>
      <c r="AU21" t="str">
        <f ca="1">IF(OFFSET(cards[[#This Row],[1]],0,AU$5-1)="","",  IF(COUNTIF(entities[entity_id],OFFSET(cards[[#This Row],[1]],0,AU$5-1))=1,"ok","missing"))</f>
        <v/>
      </c>
      <c r="AV21" t="str">
        <f ca="1">IF(OFFSET(cards[[#This Row],[1]],0,AV$5-1)="","",  IF(COUNTIF(entities[entity_id],OFFSET(cards[[#This Row],[1]],0,AV$5-1))=1,"ok","missing"))</f>
        <v/>
      </c>
      <c r="AW21" t="str">
        <f ca="1">IF(OFFSET(cards[[#This Row],[1]],0,AW$5-1)="","",  IF(COUNTIF(entities[entity_id],OFFSET(cards[[#This Row],[1]],0,AW$5-1))=1,"ok","missing"))</f>
        <v/>
      </c>
      <c r="AX21" t="str">
        <f ca="1">IF(OFFSET(cards[[#This Row],[1]],0,AX$5-1)="","",  IF(COUNTIF(entities[entity_id],OFFSET(cards[[#This Row],[1]],0,AX$5-1))=1,"ok","missing"))</f>
        <v/>
      </c>
      <c r="AY21" t="str">
        <f ca="1">IF(OFFSET(cards[[#This Row],[1]],0,AY$5-1)="","",  IF(COUNTIF(entities[entity_id],OFFSET(cards[[#This Row],[1]],0,AY$5-1))=1,"ok","missing"))</f>
        <v/>
      </c>
      <c r="AZ21" t="str">
        <f ca="1">IF(OFFSET(cards[[#This Row],[1]],0,AZ$5-1)="","",  IF(COUNTIF(entities[entity_id],OFFSET(cards[[#This Row],[1]],0,AZ$5-1))=1,"ok","missing"))</f>
        <v/>
      </c>
      <c r="BA21" t="str">
        <f ca="1">IF(OFFSET(cards[[#This Row],[1]],0,BA$5-1)="","",  IF(COUNTIF(entities[entity_id],OFFSET(cards[[#This Row],[1]],0,BA$5-1))=1,"ok","missing"))</f>
        <v/>
      </c>
      <c r="BB21" t="str">
        <f ca="1">IF(OFFSET(cards[[#This Row],[1]],0,BB$5-1)="","",  IF(COUNTIF(entities[entity_id],OFFSET(cards[[#This Row],[1]],0,BB$5-1))=1,"ok","missing"))</f>
        <v/>
      </c>
      <c r="BC21" t="str">
        <f ca="1">IF(OFFSET(cards[[#This Row],[1]],0,BC$5-1)="","",  IF(COUNTIF(entities[entity_id],OFFSET(cards[[#This Row],[1]],0,BC$5-1))=1,"ok","missing"))</f>
        <v/>
      </c>
      <c r="BD21" t="str">
        <f ca="1">IF(OFFSET(cards[[#This Row],[1]],0,BD$5-1)="","",  IF(COUNTIF(entities[entity_id],OFFSET(cards[[#This Row],[1]],0,BD$5-1))=1,"ok","missing"))</f>
        <v/>
      </c>
      <c r="BE21" t="str">
        <f ca="1">IF(OFFSET(cards[[#This Row],[1]],0,BE$5-1)="","",  IF(COUNTIF(entities[entity_id],OFFSET(cards[[#This Row],[1]],0,BE$5-1))=1,"ok","missing"))</f>
        <v/>
      </c>
      <c r="BF21" t="str">
        <f ca="1">IF(OFFSET(cards[[#This Row],[1]],0,BF$5-1)="","",  IF(COUNTIF(entities[entity_id],OFFSET(cards[[#This Row],[1]],0,BF$5-1))=1,"ok","missing"))</f>
        <v/>
      </c>
      <c r="BG21" t="str">
        <f>"group."&amp;cards[[#This Row],[object_id]]</f>
        <v>group.bedroom_lights</v>
      </c>
      <c r="BH21" t="str">
        <f t="array" ref="BH21">IFERROR(INDEX(views[object_id],SMALL(IF(views[[1]:[25]]=cards[[#This Row],[entity_id]],ROW(views[])-7,99^99),1)),"")</f>
        <v/>
      </c>
      <c r="BI21" s="6" t="str">
        <f>IF(cards[[#This Row],[First space]]-cards[[#This Row],[Entities count]]=1,"ok","Check entitiy names")</f>
        <v>ok</v>
      </c>
      <c r="BJ21" s="6" t="str">
        <f>IF(cards[[#This Row],[View]]&lt;&gt;"","ok","not in view")</f>
        <v>not in view</v>
      </c>
      <c r="BK21" s="6" t="str">
        <f ca="1">IF(COUNTIF(cards[[#This Row],[C1]:[C25]],"missing")=0,"ok","some entities missing from Entities tab")</f>
        <v>ok</v>
      </c>
    </row>
    <row r="22" spans="2:63" x14ac:dyDescent="0.45">
      <c r="B22">
        <v>15</v>
      </c>
      <c r="C22" t="s">
        <v>655</v>
      </c>
      <c r="D22" t="s">
        <v>36</v>
      </c>
      <c r="F22" t="s">
        <v>166</v>
      </c>
      <c r="G22" t="s">
        <v>152</v>
      </c>
      <c r="H22" t="s">
        <v>153</v>
      </c>
      <c r="I22" t="s">
        <v>148</v>
      </c>
      <c r="AE22">
        <f>ROW(cards[[#This Row],[object_id order]])-ROW(cards[])+1</f>
        <v>15</v>
      </c>
      <c r="AF22" s="6">
        <f>COUNTA(cards[[#This Row],[1]:[25]])</f>
        <v>4</v>
      </c>
      <c r="AG22" s="6">
        <f t="array" ref="AG22">MATCH(TRUE,INDEX(ISBLANK(cards[[#This Row],[1]:[25]]),0,0),0)</f>
        <v>5</v>
      </c>
      <c r="AH22" t="str">
        <f ca="1">IF(OFFSET(cards[[#This Row],[1]],0,AH$5-1)="","",  IF(COUNTIF(entities[entity_id],OFFSET(cards[[#This Row],[1]],0,AH$5-1))=1,"ok","missing"))</f>
        <v>ok</v>
      </c>
      <c r="AI22" t="str">
        <f ca="1">IF(OFFSET(cards[[#This Row],[1]],0,AI$5-1)="","",  IF(COUNTIF(entities[entity_id],OFFSET(cards[[#This Row],[1]],0,AI$5-1))=1,"ok","missing"))</f>
        <v>ok</v>
      </c>
      <c r="AJ22" t="str">
        <f ca="1">IF(OFFSET(cards[[#This Row],[1]],0,AJ$5-1)="","",  IF(COUNTIF(entities[entity_id],OFFSET(cards[[#This Row],[1]],0,AJ$5-1))=1,"ok","missing"))</f>
        <v>ok</v>
      </c>
      <c r="AK22" t="str">
        <f ca="1">IF(OFFSET(cards[[#This Row],[1]],0,AK$5-1)="","",  IF(COUNTIF(entities[entity_id],OFFSET(cards[[#This Row],[1]],0,AK$5-1))=1,"ok","missing"))</f>
        <v>ok</v>
      </c>
      <c r="AL22" t="str">
        <f ca="1">IF(OFFSET(cards[[#This Row],[1]],0,AL$5-1)="","",  IF(COUNTIF(entities[entity_id],OFFSET(cards[[#This Row],[1]],0,AL$5-1))=1,"ok","missing"))</f>
        <v/>
      </c>
      <c r="AM22" t="str">
        <f ca="1">IF(OFFSET(cards[[#This Row],[1]],0,AM$5-1)="","",  IF(COUNTIF(entities[entity_id],OFFSET(cards[[#This Row],[1]],0,AM$5-1))=1,"ok","missing"))</f>
        <v/>
      </c>
      <c r="AN22" t="str">
        <f ca="1">IF(OFFSET(cards[[#This Row],[1]],0,AN$5-1)="","",  IF(COUNTIF(entities[entity_id],OFFSET(cards[[#This Row],[1]],0,AN$5-1))=1,"ok","missing"))</f>
        <v/>
      </c>
      <c r="AO22" t="str">
        <f ca="1">IF(OFFSET(cards[[#This Row],[1]],0,AO$5-1)="","",  IF(COUNTIF(entities[entity_id],OFFSET(cards[[#This Row],[1]],0,AO$5-1))=1,"ok","missing"))</f>
        <v/>
      </c>
      <c r="AP22" t="str">
        <f ca="1">IF(OFFSET(cards[[#This Row],[1]],0,AP$5-1)="","",  IF(COUNTIF(entities[entity_id],OFFSET(cards[[#This Row],[1]],0,AP$5-1))=1,"ok","missing"))</f>
        <v/>
      </c>
      <c r="AQ22" t="str">
        <f ca="1">IF(OFFSET(cards[[#This Row],[1]],0,AQ$5-1)="","",  IF(COUNTIF(entities[entity_id],OFFSET(cards[[#This Row],[1]],0,AQ$5-1))=1,"ok","missing"))</f>
        <v/>
      </c>
      <c r="AR22" t="str">
        <f ca="1">IF(OFFSET(cards[[#This Row],[1]],0,AR$5-1)="","",  IF(COUNTIF(entities[entity_id],OFFSET(cards[[#This Row],[1]],0,AR$5-1))=1,"ok","missing"))</f>
        <v/>
      </c>
      <c r="AS22" t="str">
        <f ca="1">IF(OFFSET(cards[[#This Row],[1]],0,AS$5-1)="","",  IF(COUNTIF(entities[entity_id],OFFSET(cards[[#This Row],[1]],0,AS$5-1))=1,"ok","missing"))</f>
        <v/>
      </c>
      <c r="AT22" t="str">
        <f ca="1">IF(OFFSET(cards[[#This Row],[1]],0,AT$5-1)="","",  IF(COUNTIF(entities[entity_id],OFFSET(cards[[#This Row],[1]],0,AT$5-1))=1,"ok","missing"))</f>
        <v/>
      </c>
      <c r="AU22" t="str">
        <f ca="1">IF(OFFSET(cards[[#This Row],[1]],0,AU$5-1)="","",  IF(COUNTIF(entities[entity_id],OFFSET(cards[[#This Row],[1]],0,AU$5-1))=1,"ok","missing"))</f>
        <v/>
      </c>
      <c r="AV22" t="str">
        <f ca="1">IF(OFFSET(cards[[#This Row],[1]],0,AV$5-1)="","",  IF(COUNTIF(entities[entity_id],OFFSET(cards[[#This Row],[1]],0,AV$5-1))=1,"ok","missing"))</f>
        <v/>
      </c>
      <c r="AW22" t="str">
        <f ca="1">IF(OFFSET(cards[[#This Row],[1]],0,AW$5-1)="","",  IF(COUNTIF(entities[entity_id],OFFSET(cards[[#This Row],[1]],0,AW$5-1))=1,"ok","missing"))</f>
        <v/>
      </c>
      <c r="AX22" t="str">
        <f ca="1">IF(OFFSET(cards[[#This Row],[1]],0,AX$5-1)="","",  IF(COUNTIF(entities[entity_id],OFFSET(cards[[#This Row],[1]],0,AX$5-1))=1,"ok","missing"))</f>
        <v/>
      </c>
      <c r="AY22" t="str">
        <f ca="1">IF(OFFSET(cards[[#This Row],[1]],0,AY$5-1)="","",  IF(COUNTIF(entities[entity_id],OFFSET(cards[[#This Row],[1]],0,AY$5-1))=1,"ok","missing"))</f>
        <v/>
      </c>
      <c r="AZ22" t="str">
        <f ca="1">IF(OFFSET(cards[[#This Row],[1]],0,AZ$5-1)="","",  IF(COUNTIF(entities[entity_id],OFFSET(cards[[#This Row],[1]],0,AZ$5-1))=1,"ok","missing"))</f>
        <v/>
      </c>
      <c r="BA22" t="str">
        <f ca="1">IF(OFFSET(cards[[#This Row],[1]],0,BA$5-1)="","",  IF(COUNTIF(entities[entity_id],OFFSET(cards[[#This Row],[1]],0,BA$5-1))=1,"ok","missing"))</f>
        <v/>
      </c>
      <c r="BB22" t="str">
        <f ca="1">IF(OFFSET(cards[[#This Row],[1]],0,BB$5-1)="","",  IF(COUNTIF(entities[entity_id],OFFSET(cards[[#This Row],[1]],0,BB$5-1))=1,"ok","missing"))</f>
        <v/>
      </c>
      <c r="BC22" t="str">
        <f ca="1">IF(OFFSET(cards[[#This Row],[1]],0,BC$5-1)="","",  IF(COUNTIF(entities[entity_id],OFFSET(cards[[#This Row],[1]],0,BC$5-1))=1,"ok","missing"))</f>
        <v/>
      </c>
      <c r="BD22" t="str">
        <f ca="1">IF(OFFSET(cards[[#This Row],[1]],0,BD$5-1)="","",  IF(COUNTIF(entities[entity_id],OFFSET(cards[[#This Row],[1]],0,BD$5-1))=1,"ok","missing"))</f>
        <v/>
      </c>
      <c r="BE22" t="str">
        <f ca="1">IF(OFFSET(cards[[#This Row],[1]],0,BE$5-1)="","",  IF(COUNTIF(entities[entity_id],OFFSET(cards[[#This Row],[1]],0,BE$5-1))=1,"ok","missing"))</f>
        <v/>
      </c>
      <c r="BF22" t="str">
        <f ca="1">IF(OFFSET(cards[[#This Row],[1]],0,BF$5-1)="","",  IF(COUNTIF(entities[entity_id],OFFSET(cards[[#This Row],[1]],0,BF$5-1))=1,"ok","missing"))</f>
        <v/>
      </c>
      <c r="BG22" t="str">
        <f>"group."&amp;cards[[#This Row],[object_id]]</f>
        <v>group.alarm_clock</v>
      </c>
      <c r="BH22" t="str">
        <f t="array" ref="BH22">IFERROR(INDEX(views[object_id],SMALL(IF(views[[1]:[25]]=cards[[#This Row],[entity_id]],ROW(views[])-7,99^99),1)),"")</f>
        <v>default_view</v>
      </c>
      <c r="BI22" s="6" t="str">
        <f>IF(cards[[#This Row],[First space]]-cards[[#This Row],[Entities count]]=1,"ok","Check entitiy names")</f>
        <v>ok</v>
      </c>
      <c r="BJ22" s="6" t="str">
        <f>IF(cards[[#This Row],[View]]&lt;&gt;"","ok","not in view")</f>
        <v>ok</v>
      </c>
      <c r="BK22" s="6" t="str">
        <f ca="1">IF(COUNTIF(cards[[#This Row],[C1]:[C25]],"missing")=0,"ok","some entities missing from Entities tab")</f>
        <v>ok</v>
      </c>
    </row>
    <row r="23" spans="2:63" x14ac:dyDescent="0.45">
      <c r="B23">
        <v>16</v>
      </c>
      <c r="C23" t="s">
        <v>656</v>
      </c>
      <c r="D23" t="s">
        <v>901</v>
      </c>
      <c r="F23" t="s">
        <v>181</v>
      </c>
      <c r="G23" t="s">
        <v>171</v>
      </c>
      <c r="H23" t="s">
        <v>184</v>
      </c>
      <c r="I23" t="s">
        <v>179</v>
      </c>
      <c r="J23" t="s">
        <v>178</v>
      </c>
      <c r="AE23">
        <f>ROW(cards[[#This Row],[object_id order]])-ROW(cards[])+1</f>
        <v>16</v>
      </c>
      <c r="AF23" s="6">
        <f>COUNTA(cards[[#This Row],[1]:[25]])</f>
        <v>5</v>
      </c>
      <c r="AG23" s="6">
        <f t="array" ref="AG23">MATCH(TRUE,INDEX(ISBLANK(cards[[#This Row],[1]:[25]]),0,0),0)</f>
        <v>6</v>
      </c>
      <c r="AH23" t="str">
        <f ca="1">IF(OFFSET(cards[[#This Row],[1]],0,AH$5-1)="","",  IF(COUNTIF(entities[entity_id],OFFSET(cards[[#This Row],[1]],0,AH$5-1))=1,"ok","missing"))</f>
        <v>ok</v>
      </c>
      <c r="AI23" t="str">
        <f ca="1">IF(OFFSET(cards[[#This Row],[1]],0,AI$5-1)="","",  IF(COUNTIF(entities[entity_id],OFFSET(cards[[#This Row],[1]],0,AI$5-1))=1,"ok","missing"))</f>
        <v>ok</v>
      </c>
      <c r="AJ23" t="str">
        <f ca="1">IF(OFFSET(cards[[#This Row],[1]],0,AJ$5-1)="","",  IF(COUNTIF(entities[entity_id],OFFSET(cards[[#This Row],[1]],0,AJ$5-1))=1,"ok","missing"))</f>
        <v>ok</v>
      </c>
      <c r="AK23" t="str">
        <f ca="1">IF(OFFSET(cards[[#This Row],[1]],0,AK$5-1)="","",  IF(COUNTIF(entities[entity_id],OFFSET(cards[[#This Row],[1]],0,AK$5-1))=1,"ok","missing"))</f>
        <v>ok</v>
      </c>
      <c r="AL23" t="str">
        <f ca="1">IF(OFFSET(cards[[#This Row],[1]],0,AL$5-1)="","",  IF(COUNTIF(entities[entity_id],OFFSET(cards[[#This Row],[1]],0,AL$5-1))=1,"ok","missing"))</f>
        <v>ok</v>
      </c>
      <c r="AM23" t="str">
        <f ca="1">IF(OFFSET(cards[[#This Row],[1]],0,AM$5-1)="","",  IF(COUNTIF(entities[entity_id],OFFSET(cards[[#This Row],[1]],0,AM$5-1))=1,"ok","missing"))</f>
        <v/>
      </c>
      <c r="AN23" t="str">
        <f ca="1">IF(OFFSET(cards[[#This Row],[1]],0,AN$5-1)="","",  IF(COUNTIF(entities[entity_id],OFFSET(cards[[#This Row],[1]],0,AN$5-1))=1,"ok","missing"))</f>
        <v/>
      </c>
      <c r="AO23" t="str">
        <f ca="1">IF(OFFSET(cards[[#This Row],[1]],0,AO$5-1)="","",  IF(COUNTIF(entities[entity_id],OFFSET(cards[[#This Row],[1]],0,AO$5-1))=1,"ok","missing"))</f>
        <v/>
      </c>
      <c r="AP23" t="str">
        <f ca="1">IF(OFFSET(cards[[#This Row],[1]],0,AP$5-1)="","",  IF(COUNTIF(entities[entity_id],OFFSET(cards[[#This Row],[1]],0,AP$5-1))=1,"ok","missing"))</f>
        <v/>
      </c>
      <c r="AQ23" t="str">
        <f ca="1">IF(OFFSET(cards[[#This Row],[1]],0,AQ$5-1)="","",  IF(COUNTIF(entities[entity_id],OFFSET(cards[[#This Row],[1]],0,AQ$5-1))=1,"ok","missing"))</f>
        <v/>
      </c>
      <c r="AR23" t="str">
        <f ca="1">IF(OFFSET(cards[[#This Row],[1]],0,AR$5-1)="","",  IF(COUNTIF(entities[entity_id],OFFSET(cards[[#This Row],[1]],0,AR$5-1))=1,"ok","missing"))</f>
        <v/>
      </c>
      <c r="AS23" t="str">
        <f ca="1">IF(OFFSET(cards[[#This Row],[1]],0,AS$5-1)="","",  IF(COUNTIF(entities[entity_id],OFFSET(cards[[#This Row],[1]],0,AS$5-1))=1,"ok","missing"))</f>
        <v/>
      </c>
      <c r="AT23" t="str">
        <f ca="1">IF(OFFSET(cards[[#This Row],[1]],0,AT$5-1)="","",  IF(COUNTIF(entities[entity_id],OFFSET(cards[[#This Row],[1]],0,AT$5-1))=1,"ok","missing"))</f>
        <v/>
      </c>
      <c r="AU23" t="str">
        <f ca="1">IF(OFFSET(cards[[#This Row],[1]],0,AU$5-1)="","",  IF(COUNTIF(entities[entity_id],OFFSET(cards[[#This Row],[1]],0,AU$5-1))=1,"ok","missing"))</f>
        <v/>
      </c>
      <c r="AV23" t="str">
        <f ca="1">IF(OFFSET(cards[[#This Row],[1]],0,AV$5-1)="","",  IF(COUNTIF(entities[entity_id],OFFSET(cards[[#This Row],[1]],0,AV$5-1))=1,"ok","missing"))</f>
        <v/>
      </c>
      <c r="AW23" t="str">
        <f ca="1">IF(OFFSET(cards[[#This Row],[1]],0,AW$5-1)="","",  IF(COUNTIF(entities[entity_id],OFFSET(cards[[#This Row],[1]],0,AW$5-1))=1,"ok","missing"))</f>
        <v/>
      </c>
      <c r="AX23" t="str">
        <f ca="1">IF(OFFSET(cards[[#This Row],[1]],0,AX$5-1)="","",  IF(COUNTIF(entities[entity_id],OFFSET(cards[[#This Row],[1]],0,AX$5-1))=1,"ok","missing"))</f>
        <v/>
      </c>
      <c r="AY23" t="str">
        <f ca="1">IF(OFFSET(cards[[#This Row],[1]],0,AY$5-1)="","",  IF(COUNTIF(entities[entity_id],OFFSET(cards[[#This Row],[1]],0,AY$5-1))=1,"ok","missing"))</f>
        <v/>
      </c>
      <c r="AZ23" t="str">
        <f ca="1">IF(OFFSET(cards[[#This Row],[1]],0,AZ$5-1)="","",  IF(COUNTIF(entities[entity_id],OFFSET(cards[[#This Row],[1]],0,AZ$5-1))=1,"ok","missing"))</f>
        <v/>
      </c>
      <c r="BA23" t="str">
        <f ca="1">IF(OFFSET(cards[[#This Row],[1]],0,BA$5-1)="","",  IF(COUNTIF(entities[entity_id],OFFSET(cards[[#This Row],[1]],0,BA$5-1))=1,"ok","missing"))</f>
        <v/>
      </c>
      <c r="BB23" t="str">
        <f ca="1">IF(OFFSET(cards[[#This Row],[1]],0,BB$5-1)="","",  IF(COUNTIF(entities[entity_id],OFFSET(cards[[#This Row],[1]],0,BB$5-1))=1,"ok","missing"))</f>
        <v/>
      </c>
      <c r="BC23" t="str">
        <f ca="1">IF(OFFSET(cards[[#This Row],[1]],0,BC$5-1)="","",  IF(COUNTIF(entities[entity_id],OFFSET(cards[[#This Row],[1]],0,BC$5-1))=1,"ok","missing"))</f>
        <v/>
      </c>
      <c r="BD23" t="str">
        <f ca="1">IF(OFFSET(cards[[#This Row],[1]],0,BD$5-1)="","",  IF(COUNTIF(entities[entity_id],OFFSET(cards[[#This Row],[1]],0,BD$5-1))=1,"ok","missing"))</f>
        <v/>
      </c>
      <c r="BE23" t="str">
        <f ca="1">IF(OFFSET(cards[[#This Row],[1]],0,BE$5-1)="","",  IF(COUNTIF(entities[entity_id],OFFSET(cards[[#This Row],[1]],0,BE$5-1))=1,"ok","missing"))</f>
        <v/>
      </c>
      <c r="BF23" t="str">
        <f ca="1">IF(OFFSET(cards[[#This Row],[1]],0,BF$5-1)="","",  IF(COUNTIF(entities[entity_id],OFFSET(cards[[#This Row],[1]],0,BF$5-1))=1,"ok","missing"))</f>
        <v/>
      </c>
      <c r="BG23" t="str">
        <f>"group."&amp;cards[[#This Row],[object_id]]</f>
        <v>group.environment</v>
      </c>
      <c r="BH23" t="str">
        <f t="array" ref="BH23">IFERROR(INDEX(views[object_id],SMALL(IF(views[[1]:[25]]=cards[[#This Row],[entity_id]],ROW(views[])-7,99^99),1)),"")</f>
        <v>environment_view</v>
      </c>
      <c r="BI23" s="6" t="str">
        <f>IF(cards[[#This Row],[First space]]-cards[[#This Row],[Entities count]]=1,"ok","Check entitiy names")</f>
        <v>ok</v>
      </c>
      <c r="BJ23" s="6" t="str">
        <f>IF(cards[[#This Row],[View]]&lt;&gt;"","ok","not in view")</f>
        <v>ok</v>
      </c>
      <c r="BK23" s="6" t="str">
        <f ca="1">IF(COUNTIF(cards[[#This Row],[C1]:[C25]],"missing")=0,"ok","some entities missing from Entities tab")</f>
        <v>ok</v>
      </c>
    </row>
    <row r="24" spans="2:63" x14ac:dyDescent="0.45">
      <c r="B24">
        <v>17</v>
      </c>
      <c r="C24" t="s">
        <v>657</v>
      </c>
      <c r="D24" t="s">
        <v>666</v>
      </c>
      <c r="F24" t="s">
        <v>182</v>
      </c>
      <c r="G24" t="s">
        <v>183</v>
      </c>
      <c r="H24" t="s">
        <v>177</v>
      </c>
      <c r="I24" t="s">
        <v>174</v>
      </c>
      <c r="J24" t="s">
        <v>171</v>
      </c>
      <c r="K24" t="s">
        <v>176</v>
      </c>
      <c r="L24" t="s">
        <v>173</v>
      </c>
      <c r="M24" t="s">
        <v>185</v>
      </c>
      <c r="N24" t="s">
        <v>175</v>
      </c>
      <c r="O24" t="s">
        <v>172</v>
      </c>
      <c r="P24" t="s">
        <v>180</v>
      </c>
      <c r="Q24" t="s">
        <v>186</v>
      </c>
      <c r="R24" t="s">
        <v>196</v>
      </c>
      <c r="AE24">
        <f>ROW(cards[[#This Row],[object_id order]])-ROW(cards[])+1</f>
        <v>17</v>
      </c>
      <c r="AF24" s="6">
        <f>COUNTA(cards[[#This Row],[1]:[25]])</f>
        <v>13</v>
      </c>
      <c r="AG24" s="6">
        <f t="array" ref="AG24">MATCH(TRUE,INDEX(ISBLANK(cards[[#This Row],[1]:[25]]),0,0),0)</f>
        <v>14</v>
      </c>
      <c r="AH24" t="str">
        <f ca="1">IF(OFFSET(cards[[#This Row],[1]],0,AH$5-1)="","",  IF(COUNTIF(entities[entity_id],OFFSET(cards[[#This Row],[1]],0,AH$5-1))=1,"ok","missing"))</f>
        <v>ok</v>
      </c>
      <c r="AI24" t="str">
        <f ca="1">IF(OFFSET(cards[[#This Row],[1]],0,AI$5-1)="","",  IF(COUNTIF(entities[entity_id],OFFSET(cards[[#This Row],[1]],0,AI$5-1))=1,"ok","missing"))</f>
        <v>ok</v>
      </c>
      <c r="AJ24" t="str">
        <f ca="1">IF(OFFSET(cards[[#This Row],[1]],0,AJ$5-1)="","",  IF(COUNTIF(entities[entity_id],OFFSET(cards[[#This Row],[1]],0,AJ$5-1))=1,"ok","missing"))</f>
        <v>ok</v>
      </c>
      <c r="AK24" t="str">
        <f ca="1">IF(OFFSET(cards[[#This Row],[1]],0,AK$5-1)="","",  IF(COUNTIF(entities[entity_id],OFFSET(cards[[#This Row],[1]],0,AK$5-1))=1,"ok","missing"))</f>
        <v>ok</v>
      </c>
      <c r="AL24" t="str">
        <f ca="1">IF(OFFSET(cards[[#This Row],[1]],0,AL$5-1)="","",  IF(COUNTIF(entities[entity_id],OFFSET(cards[[#This Row],[1]],0,AL$5-1))=1,"ok","missing"))</f>
        <v>ok</v>
      </c>
      <c r="AM24" t="str">
        <f ca="1">IF(OFFSET(cards[[#This Row],[1]],0,AM$5-1)="","",  IF(COUNTIF(entities[entity_id],OFFSET(cards[[#This Row],[1]],0,AM$5-1))=1,"ok","missing"))</f>
        <v>ok</v>
      </c>
      <c r="AN24" t="str">
        <f ca="1">IF(OFFSET(cards[[#This Row],[1]],0,AN$5-1)="","",  IF(COUNTIF(entities[entity_id],OFFSET(cards[[#This Row],[1]],0,AN$5-1))=1,"ok","missing"))</f>
        <v>ok</v>
      </c>
      <c r="AO24" t="str">
        <f ca="1">IF(OFFSET(cards[[#This Row],[1]],0,AO$5-1)="","",  IF(COUNTIF(entities[entity_id],OFFSET(cards[[#This Row],[1]],0,AO$5-1))=1,"ok","missing"))</f>
        <v>ok</v>
      </c>
      <c r="AP24" t="str">
        <f ca="1">IF(OFFSET(cards[[#This Row],[1]],0,AP$5-1)="","",  IF(COUNTIF(entities[entity_id],OFFSET(cards[[#This Row],[1]],0,AP$5-1))=1,"ok","missing"))</f>
        <v>ok</v>
      </c>
      <c r="AQ24" t="str">
        <f ca="1">IF(OFFSET(cards[[#This Row],[1]],0,AQ$5-1)="","",  IF(COUNTIF(entities[entity_id],OFFSET(cards[[#This Row],[1]],0,AQ$5-1))=1,"ok","missing"))</f>
        <v>ok</v>
      </c>
      <c r="AR24" t="str">
        <f ca="1">IF(OFFSET(cards[[#This Row],[1]],0,AR$5-1)="","",  IF(COUNTIF(entities[entity_id],OFFSET(cards[[#This Row],[1]],0,AR$5-1))=1,"ok","missing"))</f>
        <v>ok</v>
      </c>
      <c r="AS24" t="str">
        <f ca="1">IF(OFFSET(cards[[#This Row],[1]],0,AS$5-1)="","",  IF(COUNTIF(entities[entity_id],OFFSET(cards[[#This Row],[1]],0,AS$5-1))=1,"ok","missing"))</f>
        <v>ok</v>
      </c>
      <c r="AT24" t="str">
        <f ca="1">IF(OFFSET(cards[[#This Row],[1]],0,AT$5-1)="","",  IF(COUNTIF(entities[entity_id],OFFSET(cards[[#This Row],[1]],0,AT$5-1))=1,"ok","missing"))</f>
        <v>ok</v>
      </c>
      <c r="AU24" t="str">
        <f ca="1">IF(OFFSET(cards[[#This Row],[1]],0,AU$5-1)="","",  IF(COUNTIF(entities[entity_id],OFFSET(cards[[#This Row],[1]],0,AU$5-1))=1,"ok","missing"))</f>
        <v/>
      </c>
      <c r="AV24" t="str">
        <f ca="1">IF(OFFSET(cards[[#This Row],[1]],0,AV$5-1)="","",  IF(COUNTIF(entities[entity_id],OFFSET(cards[[#This Row],[1]],0,AV$5-1))=1,"ok","missing"))</f>
        <v/>
      </c>
      <c r="AW24" t="str">
        <f ca="1">IF(OFFSET(cards[[#This Row],[1]],0,AW$5-1)="","",  IF(COUNTIF(entities[entity_id],OFFSET(cards[[#This Row],[1]],0,AW$5-1))=1,"ok","missing"))</f>
        <v/>
      </c>
      <c r="AX24" t="str">
        <f ca="1">IF(OFFSET(cards[[#This Row],[1]],0,AX$5-1)="","",  IF(COUNTIF(entities[entity_id],OFFSET(cards[[#This Row],[1]],0,AX$5-1))=1,"ok","missing"))</f>
        <v/>
      </c>
      <c r="AY24" t="str">
        <f ca="1">IF(OFFSET(cards[[#This Row],[1]],0,AY$5-1)="","",  IF(COUNTIF(entities[entity_id],OFFSET(cards[[#This Row],[1]],0,AY$5-1))=1,"ok","missing"))</f>
        <v/>
      </c>
      <c r="AZ24" t="str">
        <f ca="1">IF(OFFSET(cards[[#This Row],[1]],0,AZ$5-1)="","",  IF(COUNTIF(entities[entity_id],OFFSET(cards[[#This Row],[1]],0,AZ$5-1))=1,"ok","missing"))</f>
        <v/>
      </c>
      <c r="BA24" t="str">
        <f ca="1">IF(OFFSET(cards[[#This Row],[1]],0,BA$5-1)="","",  IF(COUNTIF(entities[entity_id],OFFSET(cards[[#This Row],[1]],0,BA$5-1))=1,"ok","missing"))</f>
        <v/>
      </c>
      <c r="BB24" t="str">
        <f ca="1">IF(OFFSET(cards[[#This Row],[1]],0,BB$5-1)="","",  IF(COUNTIF(entities[entity_id],OFFSET(cards[[#This Row],[1]],0,BB$5-1))=1,"ok","missing"))</f>
        <v/>
      </c>
      <c r="BC24" t="str">
        <f ca="1">IF(OFFSET(cards[[#This Row],[1]],0,BC$5-1)="","",  IF(COUNTIF(entities[entity_id],OFFSET(cards[[#This Row],[1]],0,BC$5-1))=1,"ok","missing"))</f>
        <v/>
      </c>
      <c r="BD24" t="str">
        <f ca="1">IF(OFFSET(cards[[#This Row],[1]],0,BD$5-1)="","",  IF(COUNTIF(entities[entity_id],OFFSET(cards[[#This Row],[1]],0,BD$5-1))=1,"ok","missing"))</f>
        <v/>
      </c>
      <c r="BE24" t="str">
        <f ca="1">IF(OFFSET(cards[[#This Row],[1]],0,BE$5-1)="","",  IF(COUNTIF(entities[entity_id],OFFSET(cards[[#This Row],[1]],0,BE$5-1))=1,"ok","missing"))</f>
        <v/>
      </c>
      <c r="BF24" t="str">
        <f ca="1">IF(OFFSET(cards[[#This Row],[1]],0,BF$5-1)="","",  IF(COUNTIF(entities[entity_id],OFFSET(cards[[#This Row],[1]],0,BF$5-1))=1,"ok","missing"))</f>
        <v/>
      </c>
      <c r="BG24" t="str">
        <f>"group."&amp;cards[[#This Row],[object_id]]</f>
        <v>group.environment_detail</v>
      </c>
      <c r="BH24" t="str">
        <f t="array" ref="BH24">IFERROR(INDEX(views[object_id],SMALL(IF(views[[1]:[25]]=cards[[#This Row],[entity_id]],ROW(views[])-7,99^99),1)),"")</f>
        <v/>
      </c>
      <c r="BI24" s="6" t="str">
        <f>IF(cards[[#This Row],[First space]]-cards[[#This Row],[Entities count]]=1,"ok","Check entitiy names")</f>
        <v>ok</v>
      </c>
      <c r="BJ24" s="6" t="str">
        <f>IF(cards[[#This Row],[View]]&lt;&gt;"","ok","not in view")</f>
        <v>not in view</v>
      </c>
      <c r="BK24" s="6" t="str">
        <f ca="1">IF(COUNTIF(cards[[#This Row],[C1]:[C25]],"missing")=0,"ok","some entities missing from Entities tab")</f>
        <v>ok</v>
      </c>
    </row>
    <row r="25" spans="2:63" x14ac:dyDescent="0.45">
      <c r="B25">
        <v>18</v>
      </c>
      <c r="C25" t="s">
        <v>818</v>
      </c>
      <c r="D25" t="s">
        <v>896</v>
      </c>
      <c r="F25" t="s">
        <v>776</v>
      </c>
      <c r="G25" t="s">
        <v>775</v>
      </c>
      <c r="H25" t="s">
        <v>774</v>
      </c>
      <c r="I25" t="s">
        <v>789</v>
      </c>
      <c r="J25" t="s">
        <v>168</v>
      </c>
      <c r="AE25">
        <f>ROW(cards[[#This Row],[object_id order]])-ROW(cards[])+1</f>
        <v>18</v>
      </c>
      <c r="AF25" s="6">
        <f>COUNTA(cards[[#This Row],[1]:[25]])</f>
        <v>5</v>
      </c>
      <c r="AG25" s="6">
        <f t="array" ref="AG25">MATCH(TRUE,INDEX(ISBLANK(cards[[#This Row],[1]:[25]]),0,0),0)</f>
        <v>6</v>
      </c>
      <c r="AH25" t="str">
        <f ca="1">IF(OFFSET(cards[[#This Row],[1]],0,AH$5-1)="","",  IF(COUNTIF(entities[entity_id],OFFSET(cards[[#This Row],[1]],0,AH$5-1))=1,"ok","missing"))</f>
        <v>ok</v>
      </c>
      <c r="AI25" t="str">
        <f ca="1">IF(OFFSET(cards[[#This Row],[1]],0,AI$5-1)="","",  IF(COUNTIF(entities[entity_id],OFFSET(cards[[#This Row],[1]],0,AI$5-1))=1,"ok","missing"))</f>
        <v>ok</v>
      </c>
      <c r="AJ25" t="str">
        <f ca="1">IF(OFFSET(cards[[#This Row],[1]],0,AJ$5-1)="","",  IF(COUNTIF(entities[entity_id],OFFSET(cards[[#This Row],[1]],0,AJ$5-1))=1,"ok","missing"))</f>
        <v>ok</v>
      </c>
      <c r="AK25" t="str">
        <f ca="1">IF(OFFSET(cards[[#This Row],[1]],0,AK$5-1)="","",  IF(COUNTIF(entities[entity_id],OFFSET(cards[[#This Row],[1]],0,AK$5-1))=1,"ok","missing"))</f>
        <v>ok</v>
      </c>
      <c r="AL25" t="str">
        <f ca="1">IF(OFFSET(cards[[#This Row],[1]],0,AL$5-1)="","",  IF(COUNTIF(entities[entity_id],OFFSET(cards[[#This Row],[1]],0,AL$5-1))=1,"ok","missing"))</f>
        <v>ok</v>
      </c>
      <c r="AM25" t="str">
        <f ca="1">IF(OFFSET(cards[[#This Row],[1]],0,AM$5-1)="","",  IF(COUNTIF(entities[entity_id],OFFSET(cards[[#This Row],[1]],0,AM$5-1))=1,"ok","missing"))</f>
        <v/>
      </c>
      <c r="AN25" t="str">
        <f ca="1">IF(OFFSET(cards[[#This Row],[1]],0,AN$5-1)="","",  IF(COUNTIF(entities[entity_id],OFFSET(cards[[#This Row],[1]],0,AN$5-1))=1,"ok","missing"))</f>
        <v/>
      </c>
      <c r="AO25" t="str">
        <f ca="1">IF(OFFSET(cards[[#This Row],[1]],0,AO$5-1)="","",  IF(COUNTIF(entities[entity_id],OFFSET(cards[[#This Row],[1]],0,AO$5-1))=1,"ok","missing"))</f>
        <v/>
      </c>
      <c r="AP25" t="str">
        <f ca="1">IF(OFFSET(cards[[#This Row],[1]],0,AP$5-1)="","",  IF(COUNTIF(entities[entity_id],OFFSET(cards[[#This Row],[1]],0,AP$5-1))=1,"ok","missing"))</f>
        <v/>
      </c>
      <c r="AQ25" t="str">
        <f ca="1">IF(OFFSET(cards[[#This Row],[1]],0,AQ$5-1)="","",  IF(COUNTIF(entities[entity_id],OFFSET(cards[[#This Row],[1]],0,AQ$5-1))=1,"ok","missing"))</f>
        <v/>
      </c>
      <c r="AR25" t="str">
        <f ca="1">IF(OFFSET(cards[[#This Row],[1]],0,AR$5-1)="","",  IF(COUNTIF(entities[entity_id],OFFSET(cards[[#This Row],[1]],0,AR$5-1))=1,"ok","missing"))</f>
        <v/>
      </c>
      <c r="AS25" t="str">
        <f ca="1">IF(OFFSET(cards[[#This Row],[1]],0,AS$5-1)="","",  IF(COUNTIF(entities[entity_id],OFFSET(cards[[#This Row],[1]],0,AS$5-1))=1,"ok","missing"))</f>
        <v/>
      </c>
      <c r="AT25" t="str">
        <f ca="1">IF(OFFSET(cards[[#This Row],[1]],0,AT$5-1)="","",  IF(COUNTIF(entities[entity_id],OFFSET(cards[[#This Row],[1]],0,AT$5-1))=1,"ok","missing"))</f>
        <v/>
      </c>
      <c r="AU25" t="str">
        <f ca="1">IF(OFFSET(cards[[#This Row],[1]],0,AU$5-1)="","",  IF(COUNTIF(entities[entity_id],OFFSET(cards[[#This Row],[1]],0,AU$5-1))=1,"ok","missing"))</f>
        <v/>
      </c>
      <c r="AV25" t="str">
        <f ca="1">IF(OFFSET(cards[[#This Row],[1]],0,AV$5-1)="","",  IF(COUNTIF(entities[entity_id],OFFSET(cards[[#This Row],[1]],0,AV$5-1))=1,"ok","missing"))</f>
        <v/>
      </c>
      <c r="AW25" t="str">
        <f ca="1">IF(OFFSET(cards[[#This Row],[1]],0,AW$5-1)="","",  IF(COUNTIF(entities[entity_id],OFFSET(cards[[#This Row],[1]],0,AW$5-1))=1,"ok","missing"))</f>
        <v/>
      </c>
      <c r="AX25" t="str">
        <f ca="1">IF(OFFSET(cards[[#This Row],[1]],0,AX$5-1)="","",  IF(COUNTIF(entities[entity_id],OFFSET(cards[[#This Row],[1]],0,AX$5-1))=1,"ok","missing"))</f>
        <v/>
      </c>
      <c r="AY25" t="str">
        <f ca="1">IF(OFFSET(cards[[#This Row],[1]],0,AY$5-1)="","",  IF(COUNTIF(entities[entity_id],OFFSET(cards[[#This Row],[1]],0,AY$5-1))=1,"ok","missing"))</f>
        <v/>
      </c>
      <c r="AZ25" t="str">
        <f ca="1">IF(OFFSET(cards[[#This Row],[1]],0,AZ$5-1)="","",  IF(COUNTIF(entities[entity_id],OFFSET(cards[[#This Row],[1]],0,AZ$5-1))=1,"ok","missing"))</f>
        <v/>
      </c>
      <c r="BA25" t="str">
        <f ca="1">IF(OFFSET(cards[[#This Row],[1]],0,BA$5-1)="","",  IF(COUNTIF(entities[entity_id],OFFSET(cards[[#This Row],[1]],0,BA$5-1))=1,"ok","missing"))</f>
        <v/>
      </c>
      <c r="BB25" t="str">
        <f ca="1">IF(OFFSET(cards[[#This Row],[1]],0,BB$5-1)="","",  IF(COUNTIF(entities[entity_id],OFFSET(cards[[#This Row],[1]],0,BB$5-1))=1,"ok","missing"))</f>
        <v/>
      </c>
      <c r="BC25" t="str">
        <f ca="1">IF(OFFSET(cards[[#This Row],[1]],0,BC$5-1)="","",  IF(COUNTIF(entities[entity_id],OFFSET(cards[[#This Row],[1]],0,BC$5-1))=1,"ok","missing"))</f>
        <v/>
      </c>
      <c r="BD25" t="str">
        <f ca="1">IF(OFFSET(cards[[#This Row],[1]],0,BD$5-1)="","",  IF(COUNTIF(entities[entity_id],OFFSET(cards[[#This Row],[1]],0,BD$5-1))=1,"ok","missing"))</f>
        <v/>
      </c>
      <c r="BE25" t="str">
        <f ca="1">IF(OFFSET(cards[[#This Row],[1]],0,BE$5-1)="","",  IF(COUNTIF(entities[entity_id],OFFSET(cards[[#This Row],[1]],0,BE$5-1))=1,"ok","missing"))</f>
        <v/>
      </c>
      <c r="BF25" t="str">
        <f ca="1">IF(OFFSET(cards[[#This Row],[1]],0,BF$5-1)="","",  IF(COUNTIF(entities[entity_id],OFFSET(cards[[#This Row],[1]],0,BF$5-1))=1,"ok","missing"))</f>
        <v/>
      </c>
      <c r="BG25" t="str">
        <f>"group."&amp;cards[[#This Row],[object_id]]</f>
        <v>group.environment_living_room</v>
      </c>
      <c r="BH25" t="str">
        <f t="array" ref="BH25">IFERROR(INDEX(views[object_id],SMALL(IF(views[[1]:[25]]=cards[[#This Row],[entity_id]],ROW(views[])-7,99^99),1)),"")</f>
        <v>environment_view</v>
      </c>
      <c r="BI25" s="6" t="str">
        <f>IF(cards[[#This Row],[First space]]-cards[[#This Row],[Entities count]]=1,"ok","Check entitiy names")</f>
        <v>ok</v>
      </c>
      <c r="BJ25" s="6" t="str">
        <f>IF(cards[[#This Row],[View]]&lt;&gt;"","ok","not in view")</f>
        <v>ok</v>
      </c>
      <c r="BK25" s="6" t="str">
        <f ca="1">IF(COUNTIF(cards[[#This Row],[C1]:[C25]],"missing")=0,"ok","some entities missing from Entities tab")</f>
        <v>ok</v>
      </c>
    </row>
    <row r="26" spans="2:63" x14ac:dyDescent="0.45">
      <c r="B26">
        <v>19</v>
      </c>
      <c r="C26" t="s">
        <v>660</v>
      </c>
      <c r="D26" t="s">
        <v>898</v>
      </c>
      <c r="F26" t="s">
        <v>112</v>
      </c>
      <c r="G26" t="s">
        <v>103</v>
      </c>
      <c r="H26" t="s">
        <v>92</v>
      </c>
      <c r="AE26">
        <f>ROW(cards[[#This Row],[object_id order]])-ROW(cards[])+1</f>
        <v>19</v>
      </c>
      <c r="AF26" s="6">
        <f>COUNTA(cards[[#This Row],[1]:[25]])</f>
        <v>3</v>
      </c>
      <c r="AG26" s="6">
        <f t="array" ref="AG26">MATCH(TRUE,INDEX(ISBLANK(cards[[#This Row],[1]:[25]]),0,0),0)</f>
        <v>4</v>
      </c>
      <c r="AH26" t="str">
        <f ca="1">IF(OFFSET(cards[[#This Row],[1]],0,AH$5-1)="","",  IF(COUNTIF(entities[entity_id],OFFSET(cards[[#This Row],[1]],0,AH$5-1))=1,"ok","missing"))</f>
        <v>ok</v>
      </c>
      <c r="AI26" t="str">
        <f ca="1">IF(OFFSET(cards[[#This Row],[1]],0,AI$5-1)="","",  IF(COUNTIF(entities[entity_id],OFFSET(cards[[#This Row],[1]],0,AI$5-1))=1,"ok","missing"))</f>
        <v>ok</v>
      </c>
      <c r="AJ26" t="str">
        <f ca="1">IF(OFFSET(cards[[#This Row],[1]],0,AJ$5-1)="","",  IF(COUNTIF(entities[entity_id],OFFSET(cards[[#This Row],[1]],0,AJ$5-1))=1,"ok","missing"))</f>
        <v>ok</v>
      </c>
      <c r="AK26" t="str">
        <f ca="1">IF(OFFSET(cards[[#This Row],[1]],0,AK$5-1)="","",  IF(COUNTIF(entities[entity_id],OFFSET(cards[[#This Row],[1]],0,AK$5-1))=1,"ok","missing"))</f>
        <v/>
      </c>
      <c r="AL26" t="str">
        <f ca="1">IF(OFFSET(cards[[#This Row],[1]],0,AL$5-1)="","",  IF(COUNTIF(entities[entity_id],OFFSET(cards[[#This Row],[1]],0,AL$5-1))=1,"ok","missing"))</f>
        <v/>
      </c>
      <c r="AM26" t="str">
        <f ca="1">IF(OFFSET(cards[[#This Row],[1]],0,AM$5-1)="","",  IF(COUNTIF(entities[entity_id],OFFSET(cards[[#This Row],[1]],0,AM$5-1))=1,"ok","missing"))</f>
        <v/>
      </c>
      <c r="AN26" t="str">
        <f ca="1">IF(OFFSET(cards[[#This Row],[1]],0,AN$5-1)="","",  IF(COUNTIF(entities[entity_id],OFFSET(cards[[#This Row],[1]],0,AN$5-1))=1,"ok","missing"))</f>
        <v/>
      </c>
      <c r="AO26" t="str">
        <f ca="1">IF(OFFSET(cards[[#This Row],[1]],0,AO$5-1)="","",  IF(COUNTIF(entities[entity_id],OFFSET(cards[[#This Row],[1]],0,AO$5-1))=1,"ok","missing"))</f>
        <v/>
      </c>
      <c r="AP26" t="str">
        <f ca="1">IF(OFFSET(cards[[#This Row],[1]],0,AP$5-1)="","",  IF(COUNTIF(entities[entity_id],OFFSET(cards[[#This Row],[1]],0,AP$5-1))=1,"ok","missing"))</f>
        <v/>
      </c>
      <c r="AQ26" t="str">
        <f ca="1">IF(OFFSET(cards[[#This Row],[1]],0,AQ$5-1)="","",  IF(COUNTIF(entities[entity_id],OFFSET(cards[[#This Row],[1]],0,AQ$5-1))=1,"ok","missing"))</f>
        <v/>
      </c>
      <c r="AR26" t="str">
        <f ca="1">IF(OFFSET(cards[[#This Row],[1]],0,AR$5-1)="","",  IF(COUNTIF(entities[entity_id],OFFSET(cards[[#This Row],[1]],0,AR$5-1))=1,"ok","missing"))</f>
        <v/>
      </c>
      <c r="AS26" t="str">
        <f ca="1">IF(OFFSET(cards[[#This Row],[1]],0,AS$5-1)="","",  IF(COUNTIF(entities[entity_id],OFFSET(cards[[#This Row],[1]],0,AS$5-1))=1,"ok","missing"))</f>
        <v/>
      </c>
      <c r="AT26" t="str">
        <f ca="1">IF(OFFSET(cards[[#This Row],[1]],0,AT$5-1)="","",  IF(COUNTIF(entities[entity_id],OFFSET(cards[[#This Row],[1]],0,AT$5-1))=1,"ok","missing"))</f>
        <v/>
      </c>
      <c r="AU26" t="str">
        <f ca="1">IF(OFFSET(cards[[#This Row],[1]],0,AU$5-1)="","",  IF(COUNTIF(entities[entity_id],OFFSET(cards[[#This Row],[1]],0,AU$5-1))=1,"ok","missing"))</f>
        <v/>
      </c>
      <c r="AV26" t="str">
        <f ca="1">IF(OFFSET(cards[[#This Row],[1]],0,AV$5-1)="","",  IF(COUNTIF(entities[entity_id],OFFSET(cards[[#This Row],[1]],0,AV$5-1))=1,"ok","missing"))</f>
        <v/>
      </c>
      <c r="AW26" t="str">
        <f ca="1">IF(OFFSET(cards[[#This Row],[1]],0,AW$5-1)="","",  IF(COUNTIF(entities[entity_id],OFFSET(cards[[#This Row],[1]],0,AW$5-1))=1,"ok","missing"))</f>
        <v/>
      </c>
      <c r="AX26" t="str">
        <f ca="1">IF(OFFSET(cards[[#This Row],[1]],0,AX$5-1)="","",  IF(COUNTIF(entities[entity_id],OFFSET(cards[[#This Row],[1]],0,AX$5-1))=1,"ok","missing"))</f>
        <v/>
      </c>
      <c r="AY26" t="str">
        <f ca="1">IF(OFFSET(cards[[#This Row],[1]],0,AY$5-1)="","",  IF(COUNTIF(entities[entity_id],OFFSET(cards[[#This Row],[1]],0,AY$5-1))=1,"ok","missing"))</f>
        <v/>
      </c>
      <c r="AZ26" t="str">
        <f ca="1">IF(OFFSET(cards[[#This Row],[1]],0,AZ$5-1)="","",  IF(COUNTIF(entities[entity_id],OFFSET(cards[[#This Row],[1]],0,AZ$5-1))=1,"ok","missing"))</f>
        <v/>
      </c>
      <c r="BA26" t="str">
        <f ca="1">IF(OFFSET(cards[[#This Row],[1]],0,BA$5-1)="","",  IF(COUNTIF(entities[entity_id],OFFSET(cards[[#This Row],[1]],0,BA$5-1))=1,"ok","missing"))</f>
        <v/>
      </c>
      <c r="BB26" t="str">
        <f ca="1">IF(OFFSET(cards[[#This Row],[1]],0,BB$5-1)="","",  IF(COUNTIF(entities[entity_id],OFFSET(cards[[#This Row],[1]],0,BB$5-1))=1,"ok","missing"))</f>
        <v/>
      </c>
      <c r="BC26" t="str">
        <f ca="1">IF(OFFSET(cards[[#This Row],[1]],0,BC$5-1)="","",  IF(COUNTIF(entities[entity_id],OFFSET(cards[[#This Row],[1]],0,BC$5-1))=1,"ok","missing"))</f>
        <v/>
      </c>
      <c r="BD26" t="str">
        <f ca="1">IF(OFFSET(cards[[#This Row],[1]],0,BD$5-1)="","",  IF(COUNTIF(entities[entity_id],OFFSET(cards[[#This Row],[1]],0,BD$5-1))=1,"ok","missing"))</f>
        <v/>
      </c>
      <c r="BE26" t="str">
        <f ca="1">IF(OFFSET(cards[[#This Row],[1]],0,BE$5-1)="","",  IF(COUNTIF(entities[entity_id],OFFSET(cards[[#This Row],[1]],0,BE$5-1))=1,"ok","missing"))</f>
        <v/>
      </c>
      <c r="BF26" t="str">
        <f ca="1">IF(OFFSET(cards[[#This Row],[1]],0,BF$5-1)="","",  IF(COUNTIF(entities[entity_id],OFFSET(cards[[#This Row],[1]],0,BF$5-1))=1,"ok","missing"))</f>
        <v/>
      </c>
      <c r="BG26" t="str">
        <f>"group."&amp;cards[[#This Row],[object_id]]</f>
        <v>group.phones</v>
      </c>
      <c r="BH26" t="str">
        <f t="array" ref="BH26">IFERROR(INDEX(views[object_id],SMALL(IF(views[[1]:[25]]=cards[[#This Row],[entity_id]],ROW(views[])-7,99^99),1)),"")</f>
        <v>network_view</v>
      </c>
      <c r="BI26" s="6" t="str">
        <f>IF(cards[[#This Row],[First space]]-cards[[#This Row],[Entities count]]=1,"ok","Check entitiy names")</f>
        <v>ok</v>
      </c>
      <c r="BJ26" s="6" t="str">
        <f>IF(cards[[#This Row],[View]]&lt;&gt;"","ok","not in view")</f>
        <v>ok</v>
      </c>
      <c r="BK26" s="6" t="str">
        <f ca="1">IF(COUNTIF(cards[[#This Row],[C1]:[C25]],"missing")=0,"ok","some entities missing from Entities tab")</f>
        <v>ok</v>
      </c>
    </row>
    <row r="27" spans="2:63" x14ac:dyDescent="0.45">
      <c r="B27">
        <v>20</v>
      </c>
      <c r="C27" t="s">
        <v>661</v>
      </c>
      <c r="D27" t="s">
        <v>899</v>
      </c>
      <c r="F27" t="s">
        <v>108</v>
      </c>
      <c r="G27" t="s">
        <v>113</v>
      </c>
      <c r="H27" t="s">
        <v>106</v>
      </c>
      <c r="I27" t="s">
        <v>755</v>
      </c>
      <c r="AE27">
        <f>ROW(cards[[#This Row],[object_id order]])-ROW(cards[])+1</f>
        <v>20</v>
      </c>
      <c r="AF27" s="6">
        <f>COUNTA(cards[[#This Row],[1]:[25]])</f>
        <v>4</v>
      </c>
      <c r="AG27" s="6">
        <f t="array" ref="AG27">MATCH(TRUE,INDEX(ISBLANK(cards[[#This Row],[1]:[25]]),0,0),0)</f>
        <v>5</v>
      </c>
      <c r="AH27" t="str">
        <f ca="1">IF(OFFSET(cards[[#This Row],[1]],0,AH$5-1)="","",  IF(COUNTIF(entities[entity_id],OFFSET(cards[[#This Row],[1]],0,AH$5-1))=1,"ok","missing"))</f>
        <v>ok</v>
      </c>
      <c r="AI27" t="str">
        <f ca="1">IF(OFFSET(cards[[#This Row],[1]],0,AI$5-1)="","",  IF(COUNTIF(entities[entity_id],OFFSET(cards[[#This Row],[1]],0,AI$5-1))=1,"ok","missing"))</f>
        <v>ok</v>
      </c>
      <c r="AJ27" t="str">
        <f ca="1">IF(OFFSET(cards[[#This Row],[1]],0,AJ$5-1)="","",  IF(COUNTIF(entities[entity_id],OFFSET(cards[[#This Row],[1]],0,AJ$5-1))=1,"ok","missing"))</f>
        <v>ok</v>
      </c>
      <c r="AK27" t="str">
        <f ca="1">IF(OFFSET(cards[[#This Row],[1]],0,AK$5-1)="","",  IF(COUNTIF(entities[entity_id],OFFSET(cards[[#This Row],[1]],0,AK$5-1))=1,"ok","missing"))</f>
        <v>ok</v>
      </c>
      <c r="AL27" t="str">
        <f ca="1">IF(OFFSET(cards[[#This Row],[1]],0,AL$5-1)="","",  IF(COUNTIF(entities[entity_id],OFFSET(cards[[#This Row],[1]],0,AL$5-1))=1,"ok","missing"))</f>
        <v/>
      </c>
      <c r="AM27" t="str">
        <f ca="1">IF(OFFSET(cards[[#This Row],[1]],0,AM$5-1)="","",  IF(COUNTIF(entities[entity_id],OFFSET(cards[[#This Row],[1]],0,AM$5-1))=1,"ok","missing"))</f>
        <v/>
      </c>
      <c r="AN27" t="str">
        <f ca="1">IF(OFFSET(cards[[#This Row],[1]],0,AN$5-1)="","",  IF(COUNTIF(entities[entity_id],OFFSET(cards[[#This Row],[1]],0,AN$5-1))=1,"ok","missing"))</f>
        <v/>
      </c>
      <c r="AO27" t="str">
        <f ca="1">IF(OFFSET(cards[[#This Row],[1]],0,AO$5-1)="","",  IF(COUNTIF(entities[entity_id],OFFSET(cards[[#This Row],[1]],0,AO$5-1))=1,"ok","missing"))</f>
        <v/>
      </c>
      <c r="AP27" t="str">
        <f ca="1">IF(OFFSET(cards[[#This Row],[1]],0,AP$5-1)="","",  IF(COUNTIF(entities[entity_id],OFFSET(cards[[#This Row],[1]],0,AP$5-1))=1,"ok","missing"))</f>
        <v/>
      </c>
      <c r="AQ27" t="str">
        <f ca="1">IF(OFFSET(cards[[#This Row],[1]],0,AQ$5-1)="","",  IF(COUNTIF(entities[entity_id],OFFSET(cards[[#This Row],[1]],0,AQ$5-1))=1,"ok","missing"))</f>
        <v/>
      </c>
      <c r="AR27" t="str">
        <f ca="1">IF(OFFSET(cards[[#This Row],[1]],0,AR$5-1)="","",  IF(COUNTIF(entities[entity_id],OFFSET(cards[[#This Row],[1]],0,AR$5-1))=1,"ok","missing"))</f>
        <v/>
      </c>
      <c r="AS27" t="str">
        <f ca="1">IF(OFFSET(cards[[#This Row],[1]],0,AS$5-1)="","",  IF(COUNTIF(entities[entity_id],OFFSET(cards[[#This Row],[1]],0,AS$5-1))=1,"ok","missing"))</f>
        <v/>
      </c>
      <c r="AT27" t="str">
        <f ca="1">IF(OFFSET(cards[[#This Row],[1]],0,AT$5-1)="","",  IF(COUNTIF(entities[entity_id],OFFSET(cards[[#This Row],[1]],0,AT$5-1))=1,"ok","missing"))</f>
        <v/>
      </c>
      <c r="AU27" t="str">
        <f ca="1">IF(OFFSET(cards[[#This Row],[1]],0,AU$5-1)="","",  IF(COUNTIF(entities[entity_id],OFFSET(cards[[#This Row],[1]],0,AU$5-1))=1,"ok","missing"))</f>
        <v/>
      </c>
      <c r="AV27" t="str">
        <f ca="1">IF(OFFSET(cards[[#This Row],[1]],0,AV$5-1)="","",  IF(COUNTIF(entities[entity_id],OFFSET(cards[[#This Row],[1]],0,AV$5-1))=1,"ok","missing"))</f>
        <v/>
      </c>
      <c r="AW27" t="str">
        <f ca="1">IF(OFFSET(cards[[#This Row],[1]],0,AW$5-1)="","",  IF(COUNTIF(entities[entity_id],OFFSET(cards[[#This Row],[1]],0,AW$5-1))=1,"ok","missing"))</f>
        <v/>
      </c>
      <c r="AX27" t="str">
        <f ca="1">IF(OFFSET(cards[[#This Row],[1]],0,AX$5-1)="","",  IF(COUNTIF(entities[entity_id],OFFSET(cards[[#This Row],[1]],0,AX$5-1))=1,"ok","missing"))</f>
        <v/>
      </c>
      <c r="AY27" t="str">
        <f ca="1">IF(OFFSET(cards[[#This Row],[1]],0,AY$5-1)="","",  IF(COUNTIF(entities[entity_id],OFFSET(cards[[#This Row],[1]],0,AY$5-1))=1,"ok","missing"))</f>
        <v/>
      </c>
      <c r="AZ27" t="str">
        <f ca="1">IF(OFFSET(cards[[#This Row],[1]],0,AZ$5-1)="","",  IF(COUNTIF(entities[entity_id],OFFSET(cards[[#This Row],[1]],0,AZ$5-1))=1,"ok","missing"))</f>
        <v/>
      </c>
      <c r="BA27" t="str">
        <f ca="1">IF(OFFSET(cards[[#This Row],[1]],0,BA$5-1)="","",  IF(COUNTIF(entities[entity_id],OFFSET(cards[[#This Row],[1]],0,BA$5-1))=1,"ok","missing"))</f>
        <v/>
      </c>
      <c r="BB27" t="str">
        <f ca="1">IF(OFFSET(cards[[#This Row],[1]],0,BB$5-1)="","",  IF(COUNTIF(entities[entity_id],OFFSET(cards[[#This Row],[1]],0,BB$5-1))=1,"ok","missing"))</f>
        <v/>
      </c>
      <c r="BC27" t="str">
        <f ca="1">IF(OFFSET(cards[[#This Row],[1]],0,BC$5-1)="","",  IF(COUNTIF(entities[entity_id],OFFSET(cards[[#This Row],[1]],0,BC$5-1))=1,"ok","missing"))</f>
        <v/>
      </c>
      <c r="BD27" t="str">
        <f ca="1">IF(OFFSET(cards[[#This Row],[1]],0,BD$5-1)="","",  IF(COUNTIF(entities[entity_id],OFFSET(cards[[#This Row],[1]],0,BD$5-1))=1,"ok","missing"))</f>
        <v/>
      </c>
      <c r="BE27" t="str">
        <f ca="1">IF(OFFSET(cards[[#This Row],[1]],0,BE$5-1)="","",  IF(COUNTIF(entities[entity_id],OFFSET(cards[[#This Row],[1]],0,BE$5-1))=1,"ok","missing"))</f>
        <v/>
      </c>
      <c r="BF27" t="str">
        <f ca="1">IF(OFFSET(cards[[#This Row],[1]],0,BF$5-1)="","",  IF(COUNTIF(entities[entity_id],OFFSET(cards[[#This Row],[1]],0,BF$5-1))=1,"ok","missing"))</f>
        <v/>
      </c>
      <c r="BG27" t="str">
        <f>"group."&amp;cards[[#This Row],[object_id]]</f>
        <v>group.personal_devices</v>
      </c>
      <c r="BH27" t="str">
        <f t="array" ref="BH27">IFERROR(INDEX(views[object_id],SMALL(IF(views[[1]:[25]]=cards[[#This Row],[entity_id]],ROW(views[])-7,99^99),1)),"")</f>
        <v>network_view</v>
      </c>
      <c r="BI27" s="6" t="str">
        <f>IF(cards[[#This Row],[First space]]-cards[[#This Row],[Entities count]]=1,"ok","Check entitiy names")</f>
        <v>ok</v>
      </c>
      <c r="BJ27" s="6" t="str">
        <f>IF(cards[[#This Row],[View]]&lt;&gt;"","ok","not in view")</f>
        <v>ok</v>
      </c>
      <c r="BK27" s="6" t="str">
        <f ca="1">IF(COUNTIF(cards[[#This Row],[C1]:[C25]],"missing")=0,"ok","some entities missing from Entities tab")</f>
        <v>ok</v>
      </c>
    </row>
    <row r="28" spans="2:63" x14ac:dyDescent="0.45">
      <c r="B28">
        <v>21</v>
      </c>
      <c r="C28" t="s">
        <v>662</v>
      </c>
      <c r="D28" t="s">
        <v>900</v>
      </c>
      <c r="F28" t="s">
        <v>115</v>
      </c>
      <c r="G28" t="s">
        <v>107</v>
      </c>
      <c r="H28" t="s">
        <v>116</v>
      </c>
      <c r="I28" t="s">
        <v>110</v>
      </c>
      <c r="J28" t="s">
        <v>111</v>
      </c>
      <c r="K28" t="s">
        <v>98</v>
      </c>
      <c r="L28" t="s">
        <v>99</v>
      </c>
      <c r="M28" t="s">
        <v>104</v>
      </c>
      <c r="N28" t="s">
        <v>836</v>
      </c>
      <c r="O28" t="s">
        <v>117</v>
      </c>
      <c r="AE28">
        <f>ROW(cards[[#This Row],[object_id order]])-ROW(cards[])+1</f>
        <v>21</v>
      </c>
      <c r="AF28" s="6">
        <f>COUNTA(cards[[#This Row],[1]:[25]])</f>
        <v>10</v>
      </c>
      <c r="AG28" s="6">
        <f t="array" ref="AG28">MATCH(TRUE,INDEX(ISBLANK(cards[[#This Row],[1]:[25]]),0,0),0)</f>
        <v>11</v>
      </c>
      <c r="AH28" t="str">
        <f ca="1">IF(OFFSET(cards[[#This Row],[1]],0,AH$5-1)="","",  IF(COUNTIF(entities[entity_id],OFFSET(cards[[#This Row],[1]],0,AH$5-1))=1,"ok","missing"))</f>
        <v>ok</v>
      </c>
      <c r="AI28" t="str">
        <f ca="1">IF(OFFSET(cards[[#This Row],[1]],0,AI$5-1)="","",  IF(COUNTIF(entities[entity_id],OFFSET(cards[[#This Row],[1]],0,AI$5-1))=1,"ok","missing"))</f>
        <v>ok</v>
      </c>
      <c r="AJ28" t="str">
        <f ca="1">IF(OFFSET(cards[[#This Row],[1]],0,AJ$5-1)="","",  IF(COUNTIF(entities[entity_id],OFFSET(cards[[#This Row],[1]],0,AJ$5-1))=1,"ok","missing"))</f>
        <v>ok</v>
      </c>
      <c r="AK28" t="str">
        <f ca="1">IF(OFFSET(cards[[#This Row],[1]],0,AK$5-1)="","",  IF(COUNTIF(entities[entity_id],OFFSET(cards[[#This Row],[1]],0,AK$5-1))=1,"ok","missing"))</f>
        <v>ok</v>
      </c>
      <c r="AL28" t="str">
        <f ca="1">IF(OFFSET(cards[[#This Row],[1]],0,AL$5-1)="","",  IF(COUNTIF(entities[entity_id],OFFSET(cards[[#This Row],[1]],0,AL$5-1))=1,"ok","missing"))</f>
        <v>ok</v>
      </c>
      <c r="AM28" t="str">
        <f ca="1">IF(OFFSET(cards[[#This Row],[1]],0,AM$5-1)="","",  IF(COUNTIF(entities[entity_id],OFFSET(cards[[#This Row],[1]],0,AM$5-1))=1,"ok","missing"))</f>
        <v>ok</v>
      </c>
      <c r="AN28" t="str">
        <f ca="1">IF(OFFSET(cards[[#This Row],[1]],0,AN$5-1)="","",  IF(COUNTIF(entities[entity_id],OFFSET(cards[[#This Row],[1]],0,AN$5-1))=1,"ok","missing"))</f>
        <v>ok</v>
      </c>
      <c r="AO28" t="str">
        <f ca="1">IF(OFFSET(cards[[#This Row],[1]],0,AO$5-1)="","",  IF(COUNTIF(entities[entity_id],OFFSET(cards[[#This Row],[1]],0,AO$5-1))=1,"ok","missing"))</f>
        <v>ok</v>
      </c>
      <c r="AP28" t="str">
        <f ca="1">IF(OFFSET(cards[[#This Row],[1]],0,AP$5-1)="","",  IF(COUNTIF(entities[entity_id],OFFSET(cards[[#This Row],[1]],0,AP$5-1))=1,"ok","missing"))</f>
        <v>ok</v>
      </c>
      <c r="AQ28" t="str">
        <f ca="1">IF(OFFSET(cards[[#This Row],[1]],0,AQ$5-1)="","",  IF(COUNTIF(entities[entity_id],OFFSET(cards[[#This Row],[1]],0,AQ$5-1))=1,"ok","missing"))</f>
        <v>ok</v>
      </c>
      <c r="AR28" t="str">
        <f ca="1">IF(OFFSET(cards[[#This Row],[1]],0,AR$5-1)="","",  IF(COUNTIF(entities[entity_id],OFFSET(cards[[#This Row],[1]],0,AR$5-1))=1,"ok","missing"))</f>
        <v/>
      </c>
      <c r="AS28" t="str">
        <f ca="1">IF(OFFSET(cards[[#This Row],[1]],0,AS$5-1)="","",  IF(COUNTIF(entities[entity_id],OFFSET(cards[[#This Row],[1]],0,AS$5-1))=1,"ok","missing"))</f>
        <v/>
      </c>
      <c r="AT28" t="str">
        <f ca="1">IF(OFFSET(cards[[#This Row],[1]],0,AT$5-1)="","",  IF(COUNTIF(entities[entity_id],OFFSET(cards[[#This Row],[1]],0,AT$5-1))=1,"ok","missing"))</f>
        <v/>
      </c>
      <c r="AU28" t="str">
        <f ca="1">IF(OFFSET(cards[[#This Row],[1]],0,AU$5-1)="","",  IF(COUNTIF(entities[entity_id],OFFSET(cards[[#This Row],[1]],0,AU$5-1))=1,"ok","missing"))</f>
        <v/>
      </c>
      <c r="AV28" t="str">
        <f ca="1">IF(OFFSET(cards[[#This Row],[1]],0,AV$5-1)="","",  IF(COUNTIF(entities[entity_id],OFFSET(cards[[#This Row],[1]],0,AV$5-1))=1,"ok","missing"))</f>
        <v/>
      </c>
      <c r="AW28" t="str">
        <f ca="1">IF(OFFSET(cards[[#This Row],[1]],0,AW$5-1)="","",  IF(COUNTIF(entities[entity_id],OFFSET(cards[[#This Row],[1]],0,AW$5-1))=1,"ok","missing"))</f>
        <v/>
      </c>
      <c r="AX28" t="str">
        <f ca="1">IF(OFFSET(cards[[#This Row],[1]],0,AX$5-1)="","",  IF(COUNTIF(entities[entity_id],OFFSET(cards[[#This Row],[1]],0,AX$5-1))=1,"ok","missing"))</f>
        <v/>
      </c>
      <c r="AY28" t="str">
        <f ca="1">IF(OFFSET(cards[[#This Row],[1]],0,AY$5-1)="","",  IF(COUNTIF(entities[entity_id],OFFSET(cards[[#This Row],[1]],0,AY$5-1))=1,"ok","missing"))</f>
        <v/>
      </c>
      <c r="AZ28" t="str">
        <f ca="1">IF(OFFSET(cards[[#This Row],[1]],0,AZ$5-1)="","",  IF(COUNTIF(entities[entity_id],OFFSET(cards[[#This Row],[1]],0,AZ$5-1))=1,"ok","missing"))</f>
        <v/>
      </c>
      <c r="BA28" t="str">
        <f ca="1">IF(OFFSET(cards[[#This Row],[1]],0,BA$5-1)="","",  IF(COUNTIF(entities[entity_id],OFFSET(cards[[#This Row],[1]],0,BA$5-1))=1,"ok","missing"))</f>
        <v/>
      </c>
      <c r="BB28" t="str">
        <f ca="1">IF(OFFSET(cards[[#This Row],[1]],0,BB$5-1)="","",  IF(COUNTIF(entities[entity_id],OFFSET(cards[[#This Row],[1]],0,BB$5-1))=1,"ok","missing"))</f>
        <v/>
      </c>
      <c r="BC28" t="str">
        <f ca="1">IF(OFFSET(cards[[#This Row],[1]],0,BC$5-1)="","",  IF(COUNTIF(entities[entity_id],OFFSET(cards[[#This Row],[1]],0,BC$5-1))=1,"ok","missing"))</f>
        <v/>
      </c>
      <c r="BD28" t="str">
        <f ca="1">IF(OFFSET(cards[[#This Row],[1]],0,BD$5-1)="","",  IF(COUNTIF(entities[entity_id],OFFSET(cards[[#This Row],[1]],0,BD$5-1))=1,"ok","missing"))</f>
        <v/>
      </c>
      <c r="BE28" t="str">
        <f ca="1">IF(OFFSET(cards[[#This Row],[1]],0,BE$5-1)="","",  IF(COUNTIF(entities[entity_id],OFFSET(cards[[#This Row],[1]],0,BE$5-1))=1,"ok","missing"))</f>
        <v/>
      </c>
      <c r="BF28" t="str">
        <f ca="1">IF(OFFSET(cards[[#This Row],[1]],0,BF$5-1)="","",  IF(COUNTIF(entities[entity_id],OFFSET(cards[[#This Row],[1]],0,BF$5-1))=1,"ok","missing"))</f>
        <v/>
      </c>
      <c r="BG28" t="str">
        <f>"group."&amp;cards[[#This Row],[object_id]]</f>
        <v>group.iot_devices</v>
      </c>
      <c r="BH28" t="str">
        <f t="array" ref="BH28">IFERROR(INDEX(views[object_id],SMALL(IF(views[[1]:[25]]=cards[[#This Row],[entity_id]],ROW(views[])-7,99^99),1)),"")</f>
        <v>network_view</v>
      </c>
      <c r="BI28" s="6" t="str">
        <f>IF(cards[[#This Row],[First space]]-cards[[#This Row],[Entities count]]=1,"ok","Check entitiy names")</f>
        <v>ok</v>
      </c>
      <c r="BJ28" s="6" t="str">
        <f>IF(cards[[#This Row],[View]]&lt;&gt;"","ok","not in view")</f>
        <v>ok</v>
      </c>
      <c r="BK28" s="6" t="str">
        <f ca="1">IF(COUNTIF(cards[[#This Row],[C1]:[C25]],"missing")=0,"ok","some entities missing from Entities tab")</f>
        <v>ok</v>
      </c>
    </row>
    <row r="29" spans="2:63" x14ac:dyDescent="0.45">
      <c r="B29">
        <v>22</v>
      </c>
      <c r="C29" t="s">
        <v>659</v>
      </c>
      <c r="D29" t="s">
        <v>411</v>
      </c>
      <c r="F29" t="s">
        <v>192</v>
      </c>
      <c r="G29" t="s">
        <v>194</v>
      </c>
      <c r="H29" t="s">
        <v>193</v>
      </c>
      <c r="AE29">
        <f>ROW(cards[[#This Row],[object_id order]])-ROW(cards[])+1</f>
        <v>22</v>
      </c>
      <c r="AF29" s="6">
        <f>COUNTA(cards[[#This Row],[1]:[25]])</f>
        <v>3</v>
      </c>
      <c r="AG29" s="6">
        <f t="array" ref="AG29">MATCH(TRUE,INDEX(ISBLANK(cards[[#This Row],[1]:[25]]),0,0),0)</f>
        <v>4</v>
      </c>
      <c r="AH29" t="str">
        <f ca="1">IF(OFFSET(cards[[#This Row],[1]],0,AH$5-1)="","",  IF(COUNTIF(entities[entity_id],OFFSET(cards[[#This Row],[1]],0,AH$5-1))=1,"ok","missing"))</f>
        <v>ok</v>
      </c>
      <c r="AI29" t="str">
        <f ca="1">IF(OFFSET(cards[[#This Row],[1]],0,AI$5-1)="","",  IF(COUNTIF(entities[entity_id],OFFSET(cards[[#This Row],[1]],0,AI$5-1))=1,"ok","missing"))</f>
        <v>ok</v>
      </c>
      <c r="AJ29" t="str">
        <f ca="1">IF(OFFSET(cards[[#This Row],[1]],0,AJ$5-1)="","",  IF(COUNTIF(entities[entity_id],OFFSET(cards[[#This Row],[1]],0,AJ$5-1))=1,"ok","missing"))</f>
        <v>ok</v>
      </c>
      <c r="AK29" t="str">
        <f ca="1">IF(OFFSET(cards[[#This Row],[1]],0,AK$5-1)="","",  IF(COUNTIF(entities[entity_id],OFFSET(cards[[#This Row],[1]],0,AK$5-1))=1,"ok","missing"))</f>
        <v/>
      </c>
      <c r="AL29" t="str">
        <f ca="1">IF(OFFSET(cards[[#This Row],[1]],0,AL$5-1)="","",  IF(COUNTIF(entities[entity_id],OFFSET(cards[[#This Row],[1]],0,AL$5-1))=1,"ok","missing"))</f>
        <v/>
      </c>
      <c r="AM29" t="str">
        <f ca="1">IF(OFFSET(cards[[#This Row],[1]],0,AM$5-1)="","",  IF(COUNTIF(entities[entity_id],OFFSET(cards[[#This Row],[1]],0,AM$5-1))=1,"ok","missing"))</f>
        <v/>
      </c>
      <c r="AN29" t="str">
        <f ca="1">IF(OFFSET(cards[[#This Row],[1]],0,AN$5-1)="","",  IF(COUNTIF(entities[entity_id],OFFSET(cards[[#This Row],[1]],0,AN$5-1))=1,"ok","missing"))</f>
        <v/>
      </c>
      <c r="AO29" t="str">
        <f ca="1">IF(OFFSET(cards[[#This Row],[1]],0,AO$5-1)="","",  IF(COUNTIF(entities[entity_id],OFFSET(cards[[#This Row],[1]],0,AO$5-1))=1,"ok","missing"))</f>
        <v/>
      </c>
      <c r="AP29" t="str">
        <f ca="1">IF(OFFSET(cards[[#This Row],[1]],0,AP$5-1)="","",  IF(COUNTIF(entities[entity_id],OFFSET(cards[[#This Row],[1]],0,AP$5-1))=1,"ok","missing"))</f>
        <v/>
      </c>
      <c r="AQ29" t="str">
        <f ca="1">IF(OFFSET(cards[[#This Row],[1]],0,AQ$5-1)="","",  IF(COUNTIF(entities[entity_id],OFFSET(cards[[#This Row],[1]],0,AQ$5-1))=1,"ok","missing"))</f>
        <v/>
      </c>
      <c r="AR29" t="str">
        <f ca="1">IF(OFFSET(cards[[#This Row],[1]],0,AR$5-1)="","",  IF(COUNTIF(entities[entity_id],OFFSET(cards[[#This Row],[1]],0,AR$5-1))=1,"ok","missing"))</f>
        <v/>
      </c>
      <c r="AS29" t="str">
        <f ca="1">IF(OFFSET(cards[[#This Row],[1]],0,AS$5-1)="","",  IF(COUNTIF(entities[entity_id],OFFSET(cards[[#This Row],[1]],0,AS$5-1))=1,"ok","missing"))</f>
        <v/>
      </c>
      <c r="AT29" t="str">
        <f ca="1">IF(OFFSET(cards[[#This Row],[1]],0,AT$5-1)="","",  IF(COUNTIF(entities[entity_id],OFFSET(cards[[#This Row],[1]],0,AT$5-1))=1,"ok","missing"))</f>
        <v/>
      </c>
      <c r="AU29" t="str">
        <f ca="1">IF(OFFSET(cards[[#This Row],[1]],0,AU$5-1)="","",  IF(COUNTIF(entities[entity_id],OFFSET(cards[[#This Row],[1]],0,AU$5-1))=1,"ok","missing"))</f>
        <v/>
      </c>
      <c r="AV29" t="str">
        <f ca="1">IF(OFFSET(cards[[#This Row],[1]],0,AV$5-1)="","",  IF(COUNTIF(entities[entity_id],OFFSET(cards[[#This Row],[1]],0,AV$5-1))=1,"ok","missing"))</f>
        <v/>
      </c>
      <c r="AW29" t="str">
        <f ca="1">IF(OFFSET(cards[[#This Row],[1]],0,AW$5-1)="","",  IF(COUNTIF(entities[entity_id],OFFSET(cards[[#This Row],[1]],0,AW$5-1))=1,"ok","missing"))</f>
        <v/>
      </c>
      <c r="AX29" t="str">
        <f ca="1">IF(OFFSET(cards[[#This Row],[1]],0,AX$5-1)="","",  IF(COUNTIF(entities[entity_id],OFFSET(cards[[#This Row],[1]],0,AX$5-1))=1,"ok","missing"))</f>
        <v/>
      </c>
      <c r="AY29" t="str">
        <f ca="1">IF(OFFSET(cards[[#This Row],[1]],0,AY$5-1)="","",  IF(COUNTIF(entities[entity_id],OFFSET(cards[[#This Row],[1]],0,AY$5-1))=1,"ok","missing"))</f>
        <v/>
      </c>
      <c r="AZ29" t="str">
        <f ca="1">IF(OFFSET(cards[[#This Row],[1]],0,AZ$5-1)="","",  IF(COUNTIF(entities[entity_id],OFFSET(cards[[#This Row],[1]],0,AZ$5-1))=1,"ok","missing"))</f>
        <v/>
      </c>
      <c r="BA29" t="str">
        <f ca="1">IF(OFFSET(cards[[#This Row],[1]],0,BA$5-1)="","",  IF(COUNTIF(entities[entity_id],OFFSET(cards[[#This Row],[1]],0,BA$5-1))=1,"ok","missing"))</f>
        <v/>
      </c>
      <c r="BB29" t="str">
        <f ca="1">IF(OFFSET(cards[[#This Row],[1]],0,BB$5-1)="","",  IF(COUNTIF(entities[entity_id],OFFSET(cards[[#This Row],[1]],0,BB$5-1))=1,"ok","missing"))</f>
        <v/>
      </c>
      <c r="BC29" t="str">
        <f ca="1">IF(OFFSET(cards[[#This Row],[1]],0,BC$5-1)="","",  IF(COUNTIF(entities[entity_id],OFFSET(cards[[#This Row],[1]],0,BC$5-1))=1,"ok","missing"))</f>
        <v/>
      </c>
      <c r="BD29" t="str">
        <f ca="1">IF(OFFSET(cards[[#This Row],[1]],0,BD$5-1)="","",  IF(COUNTIF(entities[entity_id],OFFSET(cards[[#This Row],[1]],0,BD$5-1))=1,"ok","missing"))</f>
        <v/>
      </c>
      <c r="BE29" t="str">
        <f ca="1">IF(OFFSET(cards[[#This Row],[1]],0,BE$5-1)="","",  IF(COUNTIF(entities[entity_id],OFFSET(cards[[#This Row],[1]],0,BE$5-1))=1,"ok","missing"))</f>
        <v/>
      </c>
      <c r="BF29" t="str">
        <f ca="1">IF(OFFSET(cards[[#This Row],[1]],0,BF$5-1)="","",  IF(COUNTIF(entities[entity_id],OFFSET(cards[[#This Row],[1]],0,BF$5-1))=1,"ok","missing"))</f>
        <v/>
      </c>
      <c r="BG29" t="str">
        <f>"group."&amp;cards[[#This Row],[object_id]]</f>
        <v>group.network</v>
      </c>
      <c r="BH29" t="str">
        <f t="array" ref="BH29">IFERROR(INDEX(views[object_id],SMALL(IF(views[[1]:[25]]=cards[[#This Row],[entity_id]],ROW(views[])-7,99^99),1)),"")</f>
        <v>network_view</v>
      </c>
      <c r="BI29" s="6" t="str">
        <f>IF(cards[[#This Row],[First space]]-cards[[#This Row],[Entities count]]=1,"ok","Check entitiy names")</f>
        <v>ok</v>
      </c>
      <c r="BJ29" s="6" t="str">
        <f>IF(cards[[#This Row],[View]]&lt;&gt;"","ok","not in view")</f>
        <v>ok</v>
      </c>
      <c r="BK29" s="6" t="str">
        <f ca="1">IF(COUNTIF(cards[[#This Row],[C1]:[C25]],"missing")=0,"ok","some entities missing from Entities tab")</f>
        <v>ok</v>
      </c>
    </row>
    <row r="30" spans="2:63" x14ac:dyDescent="0.45">
      <c r="B30">
        <v>23</v>
      </c>
      <c r="C30" t="s">
        <v>663</v>
      </c>
      <c r="D30" t="s">
        <v>765</v>
      </c>
      <c r="F30" t="s">
        <v>169</v>
      </c>
      <c r="G30" t="s">
        <v>170</v>
      </c>
      <c r="H30" t="s">
        <v>191</v>
      </c>
      <c r="I30" t="s">
        <v>189</v>
      </c>
      <c r="J30" t="s">
        <v>190</v>
      </c>
      <c r="AE30">
        <f>ROW(cards[[#This Row],[object_id order]])-ROW(cards[])+1</f>
        <v>23</v>
      </c>
      <c r="AF30" s="6">
        <f>COUNTA(cards[[#This Row],[1]:[25]])</f>
        <v>5</v>
      </c>
      <c r="AG30" s="6">
        <f t="array" ref="AG30">MATCH(TRUE,INDEX(ISBLANK(cards[[#This Row],[1]:[25]]),0,0),0)</f>
        <v>6</v>
      </c>
      <c r="AH30" t="str">
        <f ca="1">IF(OFFSET(cards[[#This Row],[1]],0,AH$5-1)="","",  IF(COUNTIF(entities[entity_id],OFFSET(cards[[#This Row],[1]],0,AH$5-1))=1,"ok","missing"))</f>
        <v>ok</v>
      </c>
      <c r="AI30" t="str">
        <f ca="1">IF(OFFSET(cards[[#This Row],[1]],0,AI$5-1)="","",  IF(COUNTIF(entities[entity_id],OFFSET(cards[[#This Row],[1]],0,AI$5-1))=1,"ok","missing"))</f>
        <v>ok</v>
      </c>
      <c r="AJ30" t="str">
        <f ca="1">IF(OFFSET(cards[[#This Row],[1]],0,AJ$5-1)="","",  IF(COUNTIF(entities[entity_id],OFFSET(cards[[#This Row],[1]],0,AJ$5-1))=1,"ok","missing"))</f>
        <v>ok</v>
      </c>
      <c r="AK30" t="str">
        <f ca="1">IF(OFFSET(cards[[#This Row],[1]],0,AK$5-1)="","",  IF(COUNTIF(entities[entity_id],OFFSET(cards[[#This Row],[1]],0,AK$5-1))=1,"ok","missing"))</f>
        <v>ok</v>
      </c>
      <c r="AL30" t="str">
        <f ca="1">IF(OFFSET(cards[[#This Row],[1]],0,AL$5-1)="","",  IF(COUNTIF(entities[entity_id],OFFSET(cards[[#This Row],[1]],0,AL$5-1))=1,"ok","missing"))</f>
        <v>ok</v>
      </c>
      <c r="AM30" t="str">
        <f ca="1">IF(OFFSET(cards[[#This Row],[1]],0,AM$5-1)="","",  IF(COUNTIF(entities[entity_id],OFFSET(cards[[#This Row],[1]],0,AM$5-1))=1,"ok","missing"))</f>
        <v/>
      </c>
      <c r="AN30" t="str">
        <f ca="1">IF(OFFSET(cards[[#This Row],[1]],0,AN$5-1)="","",  IF(COUNTIF(entities[entity_id],OFFSET(cards[[#This Row],[1]],0,AN$5-1))=1,"ok","missing"))</f>
        <v/>
      </c>
      <c r="AO30" t="str">
        <f ca="1">IF(OFFSET(cards[[#This Row],[1]],0,AO$5-1)="","",  IF(COUNTIF(entities[entity_id],OFFSET(cards[[#This Row],[1]],0,AO$5-1))=1,"ok","missing"))</f>
        <v/>
      </c>
      <c r="AP30" t="str">
        <f ca="1">IF(OFFSET(cards[[#This Row],[1]],0,AP$5-1)="","",  IF(COUNTIF(entities[entity_id],OFFSET(cards[[#This Row],[1]],0,AP$5-1))=1,"ok","missing"))</f>
        <v/>
      </c>
      <c r="AQ30" t="str">
        <f ca="1">IF(OFFSET(cards[[#This Row],[1]],0,AQ$5-1)="","",  IF(COUNTIF(entities[entity_id],OFFSET(cards[[#This Row],[1]],0,AQ$5-1))=1,"ok","missing"))</f>
        <v/>
      </c>
      <c r="AR30" t="str">
        <f ca="1">IF(OFFSET(cards[[#This Row],[1]],0,AR$5-1)="","",  IF(COUNTIF(entities[entity_id],OFFSET(cards[[#This Row],[1]],0,AR$5-1))=1,"ok","missing"))</f>
        <v/>
      </c>
      <c r="AS30" t="str">
        <f ca="1">IF(OFFSET(cards[[#This Row],[1]],0,AS$5-1)="","",  IF(COUNTIF(entities[entity_id],OFFSET(cards[[#This Row],[1]],0,AS$5-1))=1,"ok","missing"))</f>
        <v/>
      </c>
      <c r="AT30" t="str">
        <f ca="1">IF(OFFSET(cards[[#This Row],[1]],0,AT$5-1)="","",  IF(COUNTIF(entities[entity_id],OFFSET(cards[[#This Row],[1]],0,AT$5-1))=1,"ok","missing"))</f>
        <v/>
      </c>
      <c r="AU30" t="str">
        <f ca="1">IF(OFFSET(cards[[#This Row],[1]],0,AU$5-1)="","",  IF(COUNTIF(entities[entity_id],OFFSET(cards[[#This Row],[1]],0,AU$5-1))=1,"ok","missing"))</f>
        <v/>
      </c>
      <c r="AV30" t="str">
        <f ca="1">IF(OFFSET(cards[[#This Row],[1]],0,AV$5-1)="","",  IF(COUNTIF(entities[entity_id],OFFSET(cards[[#This Row],[1]],0,AV$5-1))=1,"ok","missing"))</f>
        <v/>
      </c>
      <c r="AW30" t="str">
        <f ca="1">IF(OFFSET(cards[[#This Row],[1]],0,AW$5-1)="","",  IF(COUNTIF(entities[entity_id],OFFSET(cards[[#This Row],[1]],0,AW$5-1))=1,"ok","missing"))</f>
        <v/>
      </c>
      <c r="AX30" t="str">
        <f ca="1">IF(OFFSET(cards[[#This Row],[1]],0,AX$5-1)="","",  IF(COUNTIF(entities[entity_id],OFFSET(cards[[#This Row],[1]],0,AX$5-1))=1,"ok","missing"))</f>
        <v/>
      </c>
      <c r="AY30" t="str">
        <f ca="1">IF(OFFSET(cards[[#This Row],[1]],0,AY$5-1)="","",  IF(COUNTIF(entities[entity_id],OFFSET(cards[[#This Row],[1]],0,AY$5-1))=1,"ok","missing"))</f>
        <v/>
      </c>
      <c r="AZ30" t="str">
        <f ca="1">IF(OFFSET(cards[[#This Row],[1]],0,AZ$5-1)="","",  IF(COUNTIF(entities[entity_id],OFFSET(cards[[#This Row],[1]],0,AZ$5-1))=1,"ok","missing"))</f>
        <v/>
      </c>
      <c r="BA30" t="str">
        <f ca="1">IF(OFFSET(cards[[#This Row],[1]],0,BA$5-1)="","",  IF(COUNTIF(entities[entity_id],OFFSET(cards[[#This Row],[1]],0,BA$5-1))=1,"ok","missing"))</f>
        <v/>
      </c>
      <c r="BB30" t="str">
        <f ca="1">IF(OFFSET(cards[[#This Row],[1]],0,BB$5-1)="","",  IF(COUNTIF(entities[entity_id],OFFSET(cards[[#This Row],[1]],0,BB$5-1))=1,"ok","missing"))</f>
        <v/>
      </c>
      <c r="BC30" t="str">
        <f ca="1">IF(OFFSET(cards[[#This Row],[1]],0,BC$5-1)="","",  IF(COUNTIF(entities[entity_id],OFFSET(cards[[#This Row],[1]],0,BC$5-1))=1,"ok","missing"))</f>
        <v/>
      </c>
      <c r="BD30" t="str">
        <f ca="1">IF(OFFSET(cards[[#This Row],[1]],0,BD$5-1)="","",  IF(COUNTIF(entities[entity_id],OFFSET(cards[[#This Row],[1]],0,BD$5-1))=1,"ok","missing"))</f>
        <v/>
      </c>
      <c r="BE30" t="str">
        <f ca="1">IF(OFFSET(cards[[#This Row],[1]],0,BE$5-1)="","",  IF(COUNTIF(entities[entity_id],OFFSET(cards[[#This Row],[1]],0,BE$5-1))=1,"ok","missing"))</f>
        <v/>
      </c>
      <c r="BF30" t="str">
        <f ca="1">IF(OFFSET(cards[[#This Row],[1]],0,BF$5-1)="","",  IF(COUNTIF(entities[entity_id],OFFSET(cards[[#This Row],[1]],0,BF$5-1))=1,"ok","missing"))</f>
        <v/>
      </c>
      <c r="BG30" t="str">
        <f>"group."&amp;cards[[#This Row],[object_id]]</f>
        <v>group.host_device</v>
      </c>
      <c r="BH30" t="str">
        <f t="array" ref="BH30">IFERROR(INDEX(views[object_id],SMALL(IF(views[[1]:[25]]=cards[[#This Row],[entity_id]],ROW(views[])-7,99^99),1)),"")</f>
        <v>network_view</v>
      </c>
      <c r="BI30" s="6" t="str">
        <f>IF(cards[[#This Row],[First space]]-cards[[#This Row],[Entities count]]=1,"ok","Check entitiy names")</f>
        <v>ok</v>
      </c>
      <c r="BJ30" s="6" t="str">
        <f>IF(cards[[#This Row],[View]]&lt;&gt;"","ok","not in view")</f>
        <v>ok</v>
      </c>
      <c r="BK30" s="6" t="str">
        <f ca="1">IF(COUNTIF(cards[[#This Row],[C1]:[C25]],"missing")=0,"ok","some entities missing from Entities tab")</f>
        <v>ok</v>
      </c>
    </row>
    <row r="31" spans="2:63" x14ac:dyDescent="0.45">
      <c r="B31">
        <v>24</v>
      </c>
      <c r="C31" t="s">
        <v>758</v>
      </c>
      <c r="D31" t="s">
        <v>757</v>
      </c>
      <c r="F31" t="s">
        <v>105</v>
      </c>
      <c r="AE31">
        <f>ROW(cards[[#This Row],[object_id order]])-ROW(cards[])+1</f>
        <v>24</v>
      </c>
      <c r="AF31" s="6">
        <f>COUNTA(cards[[#This Row],[1]:[25]])</f>
        <v>1</v>
      </c>
      <c r="AG31" s="6">
        <f t="array" ref="AG31">MATCH(TRUE,INDEX(ISBLANK(cards[[#This Row],[1]:[25]]),0,0),0)</f>
        <v>2</v>
      </c>
      <c r="AH31" t="str">
        <f ca="1">IF(OFFSET(cards[[#This Row],[1]],0,AH$5-1)="","",  IF(COUNTIF(entities[entity_id],OFFSET(cards[[#This Row],[1]],0,AH$5-1))=1,"ok","missing"))</f>
        <v>ok</v>
      </c>
      <c r="AI31" t="str">
        <f ca="1">IF(OFFSET(cards[[#This Row],[1]],0,AI$5-1)="","",  IF(COUNTIF(entities[entity_id],OFFSET(cards[[#This Row],[1]],0,AI$5-1))=1,"ok","missing"))</f>
        <v/>
      </c>
      <c r="AJ31" t="str">
        <f ca="1">IF(OFFSET(cards[[#This Row],[1]],0,AJ$5-1)="","",  IF(COUNTIF(entities[entity_id],OFFSET(cards[[#This Row],[1]],0,AJ$5-1))=1,"ok","missing"))</f>
        <v/>
      </c>
      <c r="AK31" t="str">
        <f ca="1">IF(OFFSET(cards[[#This Row],[1]],0,AK$5-1)="","",  IF(COUNTIF(entities[entity_id],OFFSET(cards[[#This Row],[1]],0,AK$5-1))=1,"ok","missing"))</f>
        <v/>
      </c>
      <c r="AL31" t="str">
        <f ca="1">IF(OFFSET(cards[[#This Row],[1]],0,AL$5-1)="","",  IF(COUNTIF(entities[entity_id],OFFSET(cards[[#This Row],[1]],0,AL$5-1))=1,"ok","missing"))</f>
        <v/>
      </c>
      <c r="AM31" t="str">
        <f ca="1">IF(OFFSET(cards[[#This Row],[1]],0,AM$5-1)="","",  IF(COUNTIF(entities[entity_id],OFFSET(cards[[#This Row],[1]],0,AM$5-1))=1,"ok","missing"))</f>
        <v/>
      </c>
      <c r="AN31" t="str">
        <f ca="1">IF(OFFSET(cards[[#This Row],[1]],0,AN$5-1)="","",  IF(COUNTIF(entities[entity_id],OFFSET(cards[[#This Row],[1]],0,AN$5-1))=1,"ok","missing"))</f>
        <v/>
      </c>
      <c r="AO31" t="str">
        <f ca="1">IF(OFFSET(cards[[#This Row],[1]],0,AO$5-1)="","",  IF(COUNTIF(entities[entity_id],OFFSET(cards[[#This Row],[1]],0,AO$5-1))=1,"ok","missing"))</f>
        <v/>
      </c>
      <c r="AP31" t="str">
        <f ca="1">IF(OFFSET(cards[[#This Row],[1]],0,AP$5-1)="","",  IF(COUNTIF(entities[entity_id],OFFSET(cards[[#This Row],[1]],0,AP$5-1))=1,"ok","missing"))</f>
        <v/>
      </c>
      <c r="AQ31" t="str">
        <f ca="1">IF(OFFSET(cards[[#This Row],[1]],0,AQ$5-1)="","",  IF(COUNTIF(entities[entity_id],OFFSET(cards[[#This Row],[1]],0,AQ$5-1))=1,"ok","missing"))</f>
        <v/>
      </c>
      <c r="AR31" t="str">
        <f ca="1">IF(OFFSET(cards[[#This Row],[1]],0,AR$5-1)="","",  IF(COUNTIF(entities[entity_id],OFFSET(cards[[#This Row],[1]],0,AR$5-1))=1,"ok","missing"))</f>
        <v/>
      </c>
      <c r="AS31" t="str">
        <f ca="1">IF(OFFSET(cards[[#This Row],[1]],0,AS$5-1)="","",  IF(COUNTIF(entities[entity_id],OFFSET(cards[[#This Row],[1]],0,AS$5-1))=1,"ok","missing"))</f>
        <v/>
      </c>
      <c r="AT31" t="str">
        <f ca="1">IF(OFFSET(cards[[#This Row],[1]],0,AT$5-1)="","",  IF(COUNTIF(entities[entity_id],OFFSET(cards[[#This Row],[1]],0,AT$5-1))=1,"ok","missing"))</f>
        <v/>
      </c>
      <c r="AU31" t="str">
        <f ca="1">IF(OFFSET(cards[[#This Row],[1]],0,AU$5-1)="","",  IF(COUNTIF(entities[entity_id],OFFSET(cards[[#This Row],[1]],0,AU$5-1))=1,"ok","missing"))</f>
        <v/>
      </c>
      <c r="AV31" t="str">
        <f ca="1">IF(OFFSET(cards[[#This Row],[1]],0,AV$5-1)="","",  IF(COUNTIF(entities[entity_id],OFFSET(cards[[#This Row],[1]],0,AV$5-1))=1,"ok","missing"))</f>
        <v/>
      </c>
      <c r="AW31" t="str">
        <f ca="1">IF(OFFSET(cards[[#This Row],[1]],0,AW$5-1)="","",  IF(COUNTIF(entities[entity_id],OFFSET(cards[[#This Row],[1]],0,AW$5-1))=1,"ok","missing"))</f>
        <v/>
      </c>
      <c r="AX31" t="str">
        <f ca="1">IF(OFFSET(cards[[#This Row],[1]],0,AX$5-1)="","",  IF(COUNTIF(entities[entity_id],OFFSET(cards[[#This Row],[1]],0,AX$5-1))=1,"ok","missing"))</f>
        <v/>
      </c>
      <c r="AY31" t="str">
        <f ca="1">IF(OFFSET(cards[[#This Row],[1]],0,AY$5-1)="","",  IF(COUNTIF(entities[entity_id],OFFSET(cards[[#This Row],[1]],0,AY$5-1))=1,"ok","missing"))</f>
        <v/>
      </c>
      <c r="AZ31" t="str">
        <f ca="1">IF(OFFSET(cards[[#This Row],[1]],0,AZ$5-1)="","",  IF(COUNTIF(entities[entity_id],OFFSET(cards[[#This Row],[1]],0,AZ$5-1))=1,"ok","missing"))</f>
        <v/>
      </c>
      <c r="BA31" t="str">
        <f ca="1">IF(OFFSET(cards[[#This Row],[1]],0,BA$5-1)="","",  IF(COUNTIF(entities[entity_id],OFFSET(cards[[#This Row],[1]],0,BA$5-1))=1,"ok","missing"))</f>
        <v/>
      </c>
      <c r="BB31" t="str">
        <f ca="1">IF(OFFSET(cards[[#This Row],[1]],0,BB$5-1)="","",  IF(COUNTIF(entities[entity_id],OFFSET(cards[[#This Row],[1]],0,BB$5-1))=1,"ok","missing"))</f>
        <v/>
      </c>
      <c r="BC31" t="str">
        <f ca="1">IF(OFFSET(cards[[#This Row],[1]],0,BC$5-1)="","",  IF(COUNTIF(entities[entity_id],OFFSET(cards[[#This Row],[1]],0,BC$5-1))=1,"ok","missing"))</f>
        <v/>
      </c>
      <c r="BD31" t="str">
        <f ca="1">IF(OFFSET(cards[[#This Row],[1]],0,BD$5-1)="","",  IF(COUNTIF(entities[entity_id],OFFSET(cards[[#This Row],[1]],0,BD$5-1))=1,"ok","missing"))</f>
        <v/>
      </c>
      <c r="BE31" t="str">
        <f ca="1">IF(OFFSET(cards[[#This Row],[1]],0,BE$5-1)="","",  IF(COUNTIF(entities[entity_id],OFFSET(cards[[#This Row],[1]],0,BE$5-1))=1,"ok","missing"))</f>
        <v/>
      </c>
      <c r="BF31" t="str">
        <f ca="1">IF(OFFSET(cards[[#This Row],[1]],0,BF$5-1)="","",  IF(COUNTIF(entities[entity_id],OFFSET(cards[[#This Row],[1]],0,BF$5-1))=1,"ok","missing"))</f>
        <v/>
      </c>
      <c r="BG31" t="str">
        <f>"group."&amp;cards[[#This Row],[object_id]]</f>
        <v>group.misc_devices</v>
      </c>
      <c r="BH31" t="str">
        <f t="array" ref="BH31">IFERROR(INDEX(views[object_id],SMALL(IF(views[[1]:[25]]=cards[[#This Row],[entity_id]],ROW(views[])-7,99^99),1)),"")</f>
        <v/>
      </c>
      <c r="BI31" s="6" t="str">
        <f>IF(cards[[#This Row],[First space]]-cards[[#This Row],[Entities count]]=1,"ok","Check entitiy names")</f>
        <v>ok</v>
      </c>
      <c r="BJ31" s="6" t="str">
        <f>IF(cards[[#This Row],[View]]&lt;&gt;"","ok","not in view")</f>
        <v>not in view</v>
      </c>
      <c r="BK31" s="6" t="str">
        <f ca="1">IF(COUNTIF(cards[[#This Row],[C1]:[C25]],"missing")=0,"ok","some entities missing from Entities tab")</f>
        <v>ok</v>
      </c>
    </row>
  </sheetData>
  <conditionalFormatting sqref="K18:AD18 F18:I18 F30:AD31 W28:AD28 F28:U28 F19:AD22 F25:AD27 R24:AD24 O24:P24 F24:M24 AA29:AD29 V29 G29:P29 F16:AD17 M15:AD15 F15:J15 F23 H23:AD23 F8:AD14">
    <cfRule type="expression" dxfId="55" priority="4">
      <formula>OFFSET(F8,0,28)="missing"</formula>
    </cfRule>
  </conditionalFormatting>
  <conditionalFormatting sqref="BI8:BK31">
    <cfRule type="expression" dxfId="54" priority="3">
      <formula>BI8&lt;&gt;"ok"</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H12"/>
  <sheetViews>
    <sheetView showGridLines="0" workbookViewId="0">
      <selection activeCell="G10" sqref="G10"/>
    </sheetView>
  </sheetViews>
  <sheetFormatPr defaultRowHeight="14.25" outlineLevelCol="1" x14ac:dyDescent="0.45"/>
  <cols>
    <col min="1" max="1" width="2.3984375" customWidth="1"/>
    <col min="2" max="2" width="4.265625" bestFit="1" customWidth="1"/>
    <col min="3" max="3" width="14.1328125" bestFit="1" customWidth="1"/>
    <col min="6" max="30" width="5.59765625" customWidth="1"/>
    <col min="31" max="32" width="5.59765625" hidden="1" customWidth="1" outlineLevel="1"/>
    <col min="33" max="33" width="4.86328125" hidden="1" customWidth="1" outlineLevel="1"/>
    <col min="34" max="58" width="5.59765625" hidden="1" customWidth="1" outlineLevel="1"/>
    <col min="59" max="59" width="9.1328125" collapsed="1"/>
    <col min="60" max="60" width="12" bestFit="1" customWidth="1"/>
    <col min="62" max="62" width="12" bestFit="1" customWidth="1"/>
  </cols>
  <sheetData>
    <row r="1" spans="1:60" ht="21" x14ac:dyDescent="0.65">
      <c r="A1" s="1" t="s">
        <v>407</v>
      </c>
    </row>
    <row r="3" spans="1:60" x14ac:dyDescent="0.45">
      <c r="A3" s="19" t="s">
        <v>694</v>
      </c>
    </row>
    <row r="4" spans="1:60" x14ac:dyDescent="0.45">
      <c r="A4" s="19" t="s">
        <v>833</v>
      </c>
    </row>
    <row r="5" spans="1:60" x14ac:dyDescent="0.45">
      <c r="AG5" t="s">
        <v>729</v>
      </c>
      <c r="AH5">
        <v>1</v>
      </c>
      <c r="AI5">
        <v>2</v>
      </c>
      <c r="AJ5">
        <v>3</v>
      </c>
      <c r="AK5">
        <v>4</v>
      </c>
      <c r="AL5">
        <v>5</v>
      </c>
      <c r="AM5">
        <v>6</v>
      </c>
      <c r="AN5">
        <v>7</v>
      </c>
      <c r="AO5">
        <v>8</v>
      </c>
      <c r="AP5">
        <v>9</v>
      </c>
      <c r="AQ5">
        <v>10</v>
      </c>
      <c r="AR5">
        <v>11</v>
      </c>
      <c r="AS5">
        <v>12</v>
      </c>
      <c r="AT5">
        <v>13</v>
      </c>
      <c r="AU5">
        <v>14</v>
      </c>
      <c r="AV5">
        <v>15</v>
      </c>
      <c r="AW5">
        <v>16</v>
      </c>
      <c r="AX5">
        <v>17</v>
      </c>
      <c r="AY5">
        <v>18</v>
      </c>
      <c r="AZ5">
        <v>19</v>
      </c>
      <c r="BA5">
        <v>20</v>
      </c>
      <c r="BB5">
        <v>21</v>
      </c>
      <c r="BC5">
        <v>22</v>
      </c>
      <c r="BD5">
        <v>23</v>
      </c>
      <c r="BE5">
        <v>24</v>
      </c>
      <c r="BF5">
        <v>25</v>
      </c>
    </row>
    <row r="6" spans="1:60" x14ac:dyDescent="0.45">
      <c r="F6" t="s">
        <v>736</v>
      </c>
      <c r="AE6" t="s">
        <v>832</v>
      </c>
      <c r="BG6" t="s">
        <v>695</v>
      </c>
    </row>
    <row r="7" spans="1:60" x14ac:dyDescent="0.45">
      <c r="B7" t="s">
        <v>835</v>
      </c>
      <c r="C7" t="s">
        <v>208</v>
      </c>
      <c r="D7" t="s">
        <v>1</v>
      </c>
      <c r="E7" t="s">
        <v>205</v>
      </c>
      <c r="F7" t="s">
        <v>352</v>
      </c>
      <c r="G7" t="s">
        <v>353</v>
      </c>
      <c r="H7" t="s">
        <v>354</v>
      </c>
      <c r="I7" t="s">
        <v>417</v>
      </c>
      <c r="J7" t="s">
        <v>418</v>
      </c>
      <c r="K7" t="s">
        <v>419</v>
      </c>
      <c r="L7" t="s">
        <v>420</v>
      </c>
      <c r="M7" t="s">
        <v>421</v>
      </c>
      <c r="N7" t="s">
        <v>422</v>
      </c>
      <c r="O7" t="s">
        <v>423</v>
      </c>
      <c r="P7" t="s">
        <v>424</v>
      </c>
      <c r="Q7" t="s">
        <v>425</v>
      </c>
      <c r="R7" t="s">
        <v>426</v>
      </c>
      <c r="S7" t="s">
        <v>427</v>
      </c>
      <c r="T7" t="s">
        <v>428</v>
      </c>
      <c r="U7" t="s">
        <v>429</v>
      </c>
      <c r="V7" t="s">
        <v>430</v>
      </c>
      <c r="W7" t="s">
        <v>431</v>
      </c>
      <c r="X7" t="s">
        <v>432</v>
      </c>
      <c r="Y7" t="s">
        <v>433</v>
      </c>
      <c r="Z7" t="s">
        <v>434</v>
      </c>
      <c r="AA7" t="s">
        <v>435</v>
      </c>
      <c r="AB7" t="s">
        <v>436</v>
      </c>
      <c r="AC7" t="s">
        <v>437</v>
      </c>
      <c r="AD7" t="s">
        <v>438</v>
      </c>
      <c r="AE7" s="13" t="s">
        <v>831</v>
      </c>
      <c r="AF7" s="13" t="s">
        <v>681</v>
      </c>
      <c r="AG7" s="13" t="s">
        <v>444</v>
      </c>
      <c r="AH7" s="13" t="s">
        <v>704</v>
      </c>
      <c r="AI7" s="13" t="s">
        <v>705</v>
      </c>
      <c r="AJ7" s="13" t="s">
        <v>706</v>
      </c>
      <c r="AK7" s="13" t="s">
        <v>707</v>
      </c>
      <c r="AL7" s="13" t="s">
        <v>708</v>
      </c>
      <c r="AM7" s="13" t="s">
        <v>709</v>
      </c>
      <c r="AN7" s="13" t="s">
        <v>710</v>
      </c>
      <c r="AO7" s="13" t="s">
        <v>711</v>
      </c>
      <c r="AP7" s="13" t="s">
        <v>712</v>
      </c>
      <c r="AQ7" s="13" t="s">
        <v>713</v>
      </c>
      <c r="AR7" s="13" t="s">
        <v>714</v>
      </c>
      <c r="AS7" s="13" t="s">
        <v>715</v>
      </c>
      <c r="AT7" s="13" t="s">
        <v>716</v>
      </c>
      <c r="AU7" s="13" t="s">
        <v>717</v>
      </c>
      <c r="AV7" s="13" t="s">
        <v>718</v>
      </c>
      <c r="AW7" s="13" t="s">
        <v>719</v>
      </c>
      <c r="AX7" s="13" t="s">
        <v>720</v>
      </c>
      <c r="AY7" s="13" t="s">
        <v>721</v>
      </c>
      <c r="AZ7" s="13" t="s">
        <v>722</v>
      </c>
      <c r="BA7" s="13" t="s">
        <v>723</v>
      </c>
      <c r="BB7" s="13" t="s">
        <v>724</v>
      </c>
      <c r="BC7" s="13" t="s">
        <v>725</v>
      </c>
      <c r="BD7" s="13" t="s">
        <v>726</v>
      </c>
      <c r="BE7" s="13" t="s">
        <v>727</v>
      </c>
      <c r="BF7" s="13" t="s">
        <v>728</v>
      </c>
      <c r="BG7" s="13" t="s">
        <v>445</v>
      </c>
      <c r="BH7" s="13" t="s">
        <v>733</v>
      </c>
    </row>
    <row r="8" spans="1:60" x14ac:dyDescent="0.45">
      <c r="B8">
        <v>1</v>
      </c>
      <c r="C8" t="s">
        <v>739</v>
      </c>
      <c r="F8" t="s">
        <v>821</v>
      </c>
      <c r="G8" t="s">
        <v>134</v>
      </c>
      <c r="H8" t="s">
        <v>118</v>
      </c>
      <c r="I8" t="s">
        <v>147</v>
      </c>
      <c r="J8" t="s">
        <v>790</v>
      </c>
      <c r="AE8" s="6">
        <f>ROW(views[[#This Row],[object_id order]])-ROW(views[])+1</f>
        <v>1</v>
      </c>
      <c r="AF8" s="6">
        <f>COUNTA(views[[#This Row],[1]:[25]])</f>
        <v>5</v>
      </c>
      <c r="AG8" s="6">
        <f t="array" ref="AG8">MATCH(TRUE,INDEX(ISBLANK(views[[#This Row],[1]:[25]]),0,0),0)</f>
        <v>6</v>
      </c>
      <c r="AH8" s="6" t="str">
        <f ca="1">IF(OFFSET(views[[#This Row],[1]],0,AH$5-1)="","",  IF(COUNTIF(entities[entity_id],OFFSET(views[[#This Row],[1]],0,AH$5-1))+COUNTIF(cards[entity_id],OFFSET(views[[#This Row],[1]],0,AH$5-1))&gt;1,"ok","missing"))</f>
        <v>ok</v>
      </c>
      <c r="AI8" s="6" t="str">
        <f ca="1">IF(OFFSET(views[[#This Row],[1]],0,AI$5-1)="","",  IF(COUNTIF(entities[entity_id],OFFSET(views[[#This Row],[1]],0,AI$5-1))+COUNTIF(cards[entity_id],OFFSET(views[[#This Row],[1]],0,AI$5-1))&gt;1,"ok","missing"))</f>
        <v>ok</v>
      </c>
      <c r="AJ8" s="6" t="str">
        <f ca="1">IF(OFFSET(views[[#This Row],[1]],0,AJ$5-1)="","",  IF(COUNTIF(entities[entity_id],OFFSET(views[[#This Row],[1]],0,AJ$5-1))+COUNTIF(cards[entity_id],OFFSET(views[[#This Row],[1]],0,AJ$5-1))&gt;1,"ok","missing"))</f>
        <v>ok</v>
      </c>
      <c r="AK8" s="6" t="str">
        <f ca="1">IF(OFFSET(views[[#This Row],[1]],0,AK$5-1)="","",  IF(COUNTIF(entities[entity_id],OFFSET(views[[#This Row],[1]],0,AK$5-1))+COUNTIF(cards[entity_id],OFFSET(views[[#This Row],[1]],0,AK$5-1))&gt;1,"ok","missing"))</f>
        <v>ok</v>
      </c>
      <c r="AL8" s="6" t="str">
        <f ca="1">IF(OFFSET(views[[#This Row],[1]],0,AL$5-1)="","",  IF(COUNTIF(entities[entity_id],OFFSET(views[[#This Row],[1]],0,AL$5-1))+COUNTIF(cards[entity_id],OFFSET(views[[#This Row],[1]],0,AL$5-1))&gt;1,"ok","missing"))</f>
        <v>missing</v>
      </c>
      <c r="AM8" s="6" t="str">
        <f ca="1">IF(OFFSET(views[[#This Row],[1]],0,AM$5-1)="","",  IF(COUNTIF(entities[entity_id],OFFSET(views[[#This Row],[1]],0,AM$5-1))+COUNTIF(cards[entity_id],OFFSET(views[[#This Row],[1]],0,AM$5-1))&gt;1,"ok","missing"))</f>
        <v/>
      </c>
      <c r="AN8" s="6" t="str">
        <f ca="1">IF(OFFSET(views[[#This Row],[1]],0,AN$5-1)="","",  IF(COUNTIF(entities[entity_id],OFFSET(views[[#This Row],[1]],0,AN$5-1))+COUNTIF(cards[entity_id],OFFSET(views[[#This Row],[1]],0,AN$5-1))&gt;1,"ok","missing"))</f>
        <v/>
      </c>
      <c r="AO8" s="6" t="str">
        <f ca="1">IF(OFFSET(views[[#This Row],[1]],0,AO$5-1)="","",  IF(COUNTIF(entities[entity_id],OFFSET(views[[#This Row],[1]],0,AO$5-1))+COUNTIF(cards[entity_id],OFFSET(views[[#This Row],[1]],0,AO$5-1))&gt;1,"ok","missing"))</f>
        <v/>
      </c>
      <c r="AP8" s="6" t="str">
        <f ca="1">IF(OFFSET(views[[#This Row],[1]],0,AP$5-1)="","",  IF(COUNTIF(entities[entity_id],OFFSET(views[[#This Row],[1]],0,AP$5-1))+COUNTIF(cards[entity_id],OFFSET(views[[#This Row],[1]],0,AP$5-1))&gt;1,"ok","missing"))</f>
        <v/>
      </c>
      <c r="AQ8" s="6" t="str">
        <f ca="1">IF(OFFSET(views[[#This Row],[1]],0,AQ$5-1)="","",  IF(COUNTIF(entities[entity_id],OFFSET(views[[#This Row],[1]],0,AQ$5-1))+COUNTIF(cards[entity_id],OFFSET(views[[#This Row],[1]],0,AQ$5-1))&gt;1,"ok","missing"))</f>
        <v/>
      </c>
      <c r="AR8" s="6" t="str">
        <f ca="1">IF(OFFSET(views[[#This Row],[1]],0,AR$5-1)="","",  IF(COUNTIF(entities[entity_id],OFFSET(views[[#This Row],[1]],0,AR$5-1))+COUNTIF(cards[entity_id],OFFSET(views[[#This Row],[1]],0,AR$5-1))&gt;1,"ok","missing"))</f>
        <v/>
      </c>
      <c r="AS8" s="6" t="str">
        <f ca="1">IF(OFFSET(views[[#This Row],[1]],0,AS$5-1)="","",  IF(COUNTIF(entities[entity_id],OFFSET(views[[#This Row],[1]],0,AS$5-1))+COUNTIF(cards[entity_id],OFFSET(views[[#This Row],[1]],0,AS$5-1))&gt;1,"ok","missing"))</f>
        <v/>
      </c>
      <c r="AT8" s="6" t="str">
        <f ca="1">IF(OFFSET(views[[#This Row],[1]],0,AT$5-1)="","",  IF(COUNTIF(entities[entity_id],OFFSET(views[[#This Row],[1]],0,AT$5-1))+COUNTIF(cards[entity_id],OFFSET(views[[#This Row],[1]],0,AT$5-1))&gt;1,"ok","missing"))</f>
        <v/>
      </c>
      <c r="AU8" s="6" t="str">
        <f ca="1">IF(OFFSET(views[[#This Row],[1]],0,AU$5-1)="","",  IF(COUNTIF(entities[entity_id],OFFSET(views[[#This Row],[1]],0,AU$5-1))+COUNTIF(cards[entity_id],OFFSET(views[[#This Row],[1]],0,AU$5-1))&gt;1,"ok","missing"))</f>
        <v/>
      </c>
      <c r="AV8" s="6" t="str">
        <f ca="1">IF(OFFSET(views[[#This Row],[1]],0,AV$5-1)="","",  IF(COUNTIF(entities[entity_id],OFFSET(views[[#This Row],[1]],0,AV$5-1))+COUNTIF(cards[entity_id],OFFSET(views[[#This Row],[1]],0,AV$5-1))&gt;1,"ok","missing"))</f>
        <v/>
      </c>
      <c r="AW8" s="6" t="str">
        <f ca="1">IF(OFFSET(views[[#This Row],[1]],0,AW$5-1)="","",  IF(COUNTIF(entities[entity_id],OFFSET(views[[#This Row],[1]],0,AW$5-1))+COUNTIF(cards[entity_id],OFFSET(views[[#This Row],[1]],0,AW$5-1))&gt;1,"ok","missing"))</f>
        <v/>
      </c>
      <c r="AX8" s="6" t="str">
        <f ca="1">IF(OFFSET(views[[#This Row],[1]],0,AX$5-1)="","",  IF(COUNTIF(entities[entity_id],OFFSET(views[[#This Row],[1]],0,AX$5-1))+COUNTIF(cards[entity_id],OFFSET(views[[#This Row],[1]],0,AX$5-1))&gt;1,"ok","missing"))</f>
        <v/>
      </c>
      <c r="AY8" s="6" t="str">
        <f ca="1">IF(OFFSET(views[[#This Row],[1]],0,AY$5-1)="","",  IF(COUNTIF(entities[entity_id],OFFSET(views[[#This Row],[1]],0,AY$5-1))+COUNTIF(cards[entity_id],OFFSET(views[[#This Row],[1]],0,AY$5-1))&gt;1,"ok","missing"))</f>
        <v/>
      </c>
      <c r="AZ8" s="6" t="str">
        <f ca="1">IF(OFFSET(views[[#This Row],[1]],0,AZ$5-1)="","",  IF(COUNTIF(entities[entity_id],OFFSET(views[[#This Row],[1]],0,AZ$5-1))+COUNTIF(cards[entity_id],OFFSET(views[[#This Row],[1]],0,AZ$5-1))&gt;1,"ok","missing"))</f>
        <v/>
      </c>
      <c r="BA8" s="6" t="str">
        <f ca="1">IF(OFFSET(views[[#This Row],[1]],0,BA$5-1)="","",  IF(COUNTIF(entities[entity_id],OFFSET(views[[#This Row],[1]],0,BA$5-1))+COUNTIF(cards[entity_id],OFFSET(views[[#This Row],[1]],0,BA$5-1))&gt;1,"ok","missing"))</f>
        <v/>
      </c>
      <c r="BB8" s="6" t="str">
        <f ca="1">IF(OFFSET(views[[#This Row],[1]],0,BB$5-1)="","",  IF(COUNTIF(entities[entity_id],OFFSET(views[[#This Row],[1]],0,BB$5-1))+COUNTIF(cards[entity_id],OFFSET(views[[#This Row],[1]],0,BB$5-1))&gt;1,"ok","missing"))</f>
        <v/>
      </c>
      <c r="BC8" s="6" t="str">
        <f ca="1">IF(OFFSET(views[[#This Row],[1]],0,BC$5-1)="","",  IF(COUNTIF(entities[entity_id],OFFSET(views[[#This Row],[1]],0,BC$5-1))+COUNTIF(cards[entity_id],OFFSET(views[[#This Row],[1]],0,BC$5-1))&gt;1,"ok","missing"))</f>
        <v/>
      </c>
      <c r="BD8" s="6" t="str">
        <f ca="1">IF(OFFSET(views[[#This Row],[1]],0,BD$5-1)="","",  IF(COUNTIF(entities[entity_id],OFFSET(views[[#This Row],[1]],0,BD$5-1))+COUNTIF(cards[entity_id],OFFSET(views[[#This Row],[1]],0,BD$5-1))&gt;1,"ok","missing"))</f>
        <v/>
      </c>
      <c r="BE8" s="6" t="str">
        <f ca="1">IF(OFFSET(views[[#This Row],[1]],0,BE$5-1)="","",  IF(COUNTIF(entities[entity_id],OFFSET(views[[#This Row],[1]],0,BE$5-1))+COUNTIF(cards[entity_id],OFFSET(views[[#This Row],[1]],0,BE$5-1))&gt;1,"ok","missing"))</f>
        <v/>
      </c>
      <c r="BF8" s="6" t="str">
        <f ca="1">IF(OFFSET(views[[#This Row],[1]],0,BF$5-1)="","",  IF(COUNTIF(entities[entity_id],OFFSET(views[[#This Row],[1]],0,BF$5-1))+COUNTIF(cards[entity_id],OFFSET(views[[#This Row],[1]],0,BF$5-1))&gt;1,"ok","missing"))</f>
        <v/>
      </c>
      <c r="BG8" s="6" t="str">
        <f>IF(views[[#This Row],[First space]]-views[[#This Row],[Entities count]]=1,"ok","Check entitiy names")</f>
        <v>ok</v>
      </c>
      <c r="BH8" s="6" t="str">
        <f ca="1">IF(COUNTIF(views[[#This Row],[C1]:[C25]],"missing")=0,"ok","some entities missing from other tabs")</f>
        <v>some entities missing from other tabs</v>
      </c>
    </row>
    <row r="9" spans="1:60" x14ac:dyDescent="0.45">
      <c r="B9">
        <v>2</v>
      </c>
      <c r="C9" t="s">
        <v>408</v>
      </c>
      <c r="D9" t="s">
        <v>42</v>
      </c>
      <c r="E9" t="s">
        <v>416</v>
      </c>
      <c r="F9" t="s">
        <v>134</v>
      </c>
      <c r="G9" t="s">
        <v>118</v>
      </c>
      <c r="H9" t="s">
        <v>753</v>
      </c>
      <c r="AE9" s="6">
        <f>ROW(views[[#This Row],[object_id order]])-ROW(views[])+1</f>
        <v>2</v>
      </c>
      <c r="AF9">
        <f>COUNTA(views[[#This Row],[1]:[25]])</f>
        <v>3</v>
      </c>
      <c r="AG9">
        <f t="array" ref="AG9">MATCH(TRUE,INDEX(ISBLANK(views[[#This Row],[1]:[25]]),0,0),0)</f>
        <v>4</v>
      </c>
      <c r="AH9" s="6" t="str">
        <f ca="1">IF(OFFSET(views[[#This Row],[1]],0,AH$5-1)="","",  IF(COUNTIF(entities[entity_id],OFFSET(views[[#This Row],[1]],0,AH$5-1))+COUNTIF(cards[entity_id],OFFSET(views[[#This Row],[1]],0,AH$5-1))&gt;1,"ok","missing"))</f>
        <v>ok</v>
      </c>
      <c r="AI9" s="6" t="str">
        <f ca="1">IF(OFFSET(views[[#This Row],[1]],0,AI$5-1)="","",  IF(COUNTIF(entities[entity_id],OFFSET(views[[#This Row],[1]],0,AI$5-1))+COUNTIF(cards[entity_id],OFFSET(views[[#This Row],[1]],0,AI$5-1))&gt;1,"ok","missing"))</f>
        <v>ok</v>
      </c>
      <c r="AJ9" s="6" t="str">
        <f ca="1">IF(OFFSET(views[[#This Row],[1]],0,AJ$5-1)="","",  IF(COUNTIF(entities[entity_id],OFFSET(views[[#This Row],[1]],0,AJ$5-1))+COUNTIF(cards[entity_id],OFFSET(views[[#This Row],[1]],0,AJ$5-1))&gt;1,"ok","missing"))</f>
        <v>ok</v>
      </c>
      <c r="AK9" s="6" t="str">
        <f ca="1">IF(OFFSET(views[[#This Row],[1]],0,AK$5-1)="","",  IF(COUNTIF(entities[entity_id],OFFSET(views[[#This Row],[1]],0,AK$5-1))+COUNTIF(cards[entity_id],OFFSET(views[[#This Row],[1]],0,AK$5-1))&gt;1,"ok","missing"))</f>
        <v/>
      </c>
      <c r="AL9" s="6" t="str">
        <f ca="1">IF(OFFSET(views[[#This Row],[1]],0,AL$5-1)="","",  IF(COUNTIF(entities[entity_id],OFFSET(views[[#This Row],[1]],0,AL$5-1))+COUNTIF(cards[entity_id],OFFSET(views[[#This Row],[1]],0,AL$5-1))&gt;1,"ok","missing"))</f>
        <v/>
      </c>
      <c r="AM9" s="6" t="str">
        <f ca="1">IF(OFFSET(views[[#This Row],[1]],0,AM$5-1)="","",  IF(COUNTIF(entities[entity_id],OFFSET(views[[#This Row],[1]],0,AM$5-1))+COUNTIF(cards[entity_id],OFFSET(views[[#This Row],[1]],0,AM$5-1))&gt;1,"ok","missing"))</f>
        <v/>
      </c>
      <c r="AN9" s="6" t="str">
        <f ca="1">IF(OFFSET(views[[#This Row],[1]],0,AN$5-1)="","",  IF(COUNTIF(entities[entity_id],OFFSET(views[[#This Row],[1]],0,AN$5-1))+COUNTIF(cards[entity_id],OFFSET(views[[#This Row],[1]],0,AN$5-1))&gt;1,"ok","missing"))</f>
        <v/>
      </c>
      <c r="AO9" s="6" t="str">
        <f ca="1">IF(OFFSET(views[[#This Row],[1]],0,AO$5-1)="","",  IF(COUNTIF(entities[entity_id],OFFSET(views[[#This Row],[1]],0,AO$5-1))+COUNTIF(cards[entity_id],OFFSET(views[[#This Row],[1]],0,AO$5-1))&gt;1,"ok","missing"))</f>
        <v/>
      </c>
      <c r="AP9" s="6" t="str">
        <f ca="1">IF(OFFSET(views[[#This Row],[1]],0,AP$5-1)="","",  IF(COUNTIF(entities[entity_id],OFFSET(views[[#This Row],[1]],0,AP$5-1))+COUNTIF(cards[entity_id],OFFSET(views[[#This Row],[1]],0,AP$5-1))&gt;1,"ok","missing"))</f>
        <v/>
      </c>
      <c r="AQ9" s="6" t="str">
        <f ca="1">IF(OFFSET(views[[#This Row],[1]],0,AQ$5-1)="","",  IF(COUNTIF(entities[entity_id],OFFSET(views[[#This Row],[1]],0,AQ$5-1))+COUNTIF(cards[entity_id],OFFSET(views[[#This Row],[1]],0,AQ$5-1))&gt;1,"ok","missing"))</f>
        <v/>
      </c>
      <c r="AR9" s="6" t="str">
        <f ca="1">IF(OFFSET(views[[#This Row],[1]],0,AR$5-1)="","",  IF(COUNTIF(entities[entity_id],OFFSET(views[[#This Row],[1]],0,AR$5-1))+COUNTIF(cards[entity_id],OFFSET(views[[#This Row],[1]],0,AR$5-1))&gt;1,"ok","missing"))</f>
        <v/>
      </c>
      <c r="AS9" s="6" t="str">
        <f ca="1">IF(OFFSET(views[[#This Row],[1]],0,AS$5-1)="","",  IF(COUNTIF(entities[entity_id],OFFSET(views[[#This Row],[1]],0,AS$5-1))+COUNTIF(cards[entity_id],OFFSET(views[[#This Row],[1]],0,AS$5-1))&gt;1,"ok","missing"))</f>
        <v/>
      </c>
      <c r="AT9" s="6" t="str">
        <f ca="1">IF(OFFSET(views[[#This Row],[1]],0,AT$5-1)="","",  IF(COUNTIF(entities[entity_id],OFFSET(views[[#This Row],[1]],0,AT$5-1))+COUNTIF(cards[entity_id],OFFSET(views[[#This Row],[1]],0,AT$5-1))&gt;1,"ok","missing"))</f>
        <v/>
      </c>
      <c r="AU9" s="6" t="str">
        <f ca="1">IF(OFFSET(views[[#This Row],[1]],0,AU$5-1)="","",  IF(COUNTIF(entities[entity_id],OFFSET(views[[#This Row],[1]],0,AU$5-1))+COUNTIF(cards[entity_id],OFFSET(views[[#This Row],[1]],0,AU$5-1))&gt;1,"ok","missing"))</f>
        <v/>
      </c>
      <c r="AV9" s="6" t="str">
        <f ca="1">IF(OFFSET(views[[#This Row],[1]],0,AV$5-1)="","",  IF(COUNTIF(entities[entity_id],OFFSET(views[[#This Row],[1]],0,AV$5-1))+COUNTIF(cards[entity_id],OFFSET(views[[#This Row],[1]],0,AV$5-1))&gt;1,"ok","missing"))</f>
        <v/>
      </c>
      <c r="AW9" s="6" t="str">
        <f ca="1">IF(OFFSET(views[[#This Row],[1]],0,AW$5-1)="","",  IF(COUNTIF(entities[entity_id],OFFSET(views[[#This Row],[1]],0,AW$5-1))+COUNTIF(cards[entity_id],OFFSET(views[[#This Row],[1]],0,AW$5-1))&gt;1,"ok","missing"))</f>
        <v/>
      </c>
      <c r="AX9" s="6" t="str">
        <f ca="1">IF(OFFSET(views[[#This Row],[1]],0,AX$5-1)="","",  IF(COUNTIF(entities[entity_id],OFFSET(views[[#This Row],[1]],0,AX$5-1))+COUNTIF(cards[entity_id],OFFSET(views[[#This Row],[1]],0,AX$5-1))&gt;1,"ok","missing"))</f>
        <v/>
      </c>
      <c r="AY9" s="6" t="str">
        <f ca="1">IF(OFFSET(views[[#This Row],[1]],0,AY$5-1)="","",  IF(COUNTIF(entities[entity_id],OFFSET(views[[#This Row],[1]],0,AY$5-1))+COUNTIF(cards[entity_id],OFFSET(views[[#This Row],[1]],0,AY$5-1))&gt;1,"ok","missing"))</f>
        <v/>
      </c>
      <c r="AZ9" s="6" t="str">
        <f ca="1">IF(OFFSET(views[[#This Row],[1]],0,AZ$5-1)="","",  IF(COUNTIF(entities[entity_id],OFFSET(views[[#This Row],[1]],0,AZ$5-1))+COUNTIF(cards[entity_id],OFFSET(views[[#This Row],[1]],0,AZ$5-1))&gt;1,"ok","missing"))</f>
        <v/>
      </c>
      <c r="BA9" s="6" t="str">
        <f ca="1">IF(OFFSET(views[[#This Row],[1]],0,BA$5-1)="","",  IF(COUNTIF(entities[entity_id],OFFSET(views[[#This Row],[1]],0,BA$5-1))+COUNTIF(cards[entity_id],OFFSET(views[[#This Row],[1]],0,BA$5-1))&gt;1,"ok","missing"))</f>
        <v/>
      </c>
      <c r="BB9" s="6" t="str">
        <f ca="1">IF(OFFSET(views[[#This Row],[1]],0,BB$5-1)="","",  IF(COUNTIF(entities[entity_id],OFFSET(views[[#This Row],[1]],0,BB$5-1))+COUNTIF(cards[entity_id],OFFSET(views[[#This Row],[1]],0,BB$5-1))&gt;1,"ok","missing"))</f>
        <v/>
      </c>
      <c r="BC9" s="6" t="str">
        <f ca="1">IF(OFFSET(views[[#This Row],[1]],0,BC$5-1)="","",  IF(COUNTIF(entities[entity_id],OFFSET(views[[#This Row],[1]],0,BC$5-1))+COUNTIF(cards[entity_id],OFFSET(views[[#This Row],[1]],0,BC$5-1))&gt;1,"ok","missing"))</f>
        <v/>
      </c>
      <c r="BD9" s="6" t="str">
        <f ca="1">IF(OFFSET(views[[#This Row],[1]],0,BD$5-1)="","",  IF(COUNTIF(entities[entity_id],OFFSET(views[[#This Row],[1]],0,BD$5-1))+COUNTIF(cards[entity_id],OFFSET(views[[#This Row],[1]],0,BD$5-1))&gt;1,"ok","missing"))</f>
        <v/>
      </c>
      <c r="BE9" s="6" t="str">
        <f ca="1">IF(OFFSET(views[[#This Row],[1]],0,BE$5-1)="","",  IF(COUNTIF(entities[entity_id],OFFSET(views[[#This Row],[1]],0,BE$5-1))+COUNTIF(cards[entity_id],OFFSET(views[[#This Row],[1]],0,BE$5-1))&gt;1,"ok","missing"))</f>
        <v/>
      </c>
      <c r="BF9" s="6" t="str">
        <f ca="1">IF(OFFSET(views[[#This Row],[1]],0,BF$5-1)="","",  IF(COUNTIF(entities[entity_id],OFFSET(views[[#This Row],[1]],0,BF$5-1))+COUNTIF(cards[entity_id],OFFSET(views[[#This Row],[1]],0,BF$5-1))&gt;1,"ok","missing"))</f>
        <v/>
      </c>
      <c r="BG9" t="str">
        <f>IF(views[[#This Row],[First space]]-views[[#This Row],[Entities count]]=1,"ok","Check entitiy names")</f>
        <v>ok</v>
      </c>
      <c r="BH9" t="str">
        <f ca="1">IF(COUNTIF(views[[#This Row],[C1]:[C25]],"missing")=0,"ok","some entities missing from other tabs")</f>
        <v>ok</v>
      </c>
    </row>
    <row r="10" spans="1:60" x14ac:dyDescent="0.45">
      <c r="B10">
        <v>3</v>
      </c>
      <c r="C10" t="s">
        <v>820</v>
      </c>
      <c r="D10" t="s">
        <v>43</v>
      </c>
      <c r="E10" t="s">
        <v>415</v>
      </c>
      <c r="F10" t="s">
        <v>821</v>
      </c>
      <c r="G10" t="s">
        <v>790</v>
      </c>
      <c r="AE10" s="6">
        <f>ROW(views[[#This Row],[object_id order]])-ROW(views[])+1</f>
        <v>3</v>
      </c>
      <c r="AF10">
        <f>COUNTA(views[[#This Row],[1]:[25]])</f>
        <v>2</v>
      </c>
      <c r="AG10">
        <f t="array" ref="AG10">MATCH(TRUE,INDEX(ISBLANK(views[[#This Row],[1]:[25]]),0,0),0)</f>
        <v>3</v>
      </c>
      <c r="AH10" s="6" t="str">
        <f ca="1">IF(OFFSET(views[[#This Row],[1]],0,AH$5-1)="","",  IF(COUNTIF(entities[entity_id],OFFSET(views[[#This Row],[1]],0,AH$5-1))+COUNTIF(cards[entity_id],OFFSET(views[[#This Row],[1]],0,AH$5-1))&gt;1,"ok","missing"))</f>
        <v>ok</v>
      </c>
      <c r="AI10" s="6" t="str">
        <f ca="1">IF(OFFSET(views[[#This Row],[1]],0,AI$5-1)="","",  IF(COUNTIF(entities[entity_id],OFFSET(views[[#This Row],[1]],0,AI$5-1))+COUNTIF(cards[entity_id],OFFSET(views[[#This Row],[1]],0,AI$5-1))&gt;1,"ok","missing"))</f>
        <v>missing</v>
      </c>
      <c r="AJ10" s="6" t="str">
        <f ca="1">IF(OFFSET(views[[#This Row],[1]],0,AJ$5-1)="","",  IF(COUNTIF(entities[entity_id],OFFSET(views[[#This Row],[1]],0,AJ$5-1))+COUNTIF(cards[entity_id],OFFSET(views[[#This Row],[1]],0,AJ$5-1))&gt;1,"ok","missing"))</f>
        <v/>
      </c>
      <c r="AK10" s="6" t="str">
        <f ca="1">IF(OFFSET(views[[#This Row],[1]],0,AK$5-1)="","",  IF(COUNTIF(entities[entity_id],OFFSET(views[[#This Row],[1]],0,AK$5-1))+COUNTIF(cards[entity_id],OFFSET(views[[#This Row],[1]],0,AK$5-1))&gt;1,"ok","missing"))</f>
        <v/>
      </c>
      <c r="AL10" s="6" t="str">
        <f ca="1">IF(OFFSET(views[[#This Row],[1]],0,AL$5-1)="","",  IF(COUNTIF(entities[entity_id],OFFSET(views[[#This Row],[1]],0,AL$5-1))+COUNTIF(cards[entity_id],OFFSET(views[[#This Row],[1]],0,AL$5-1))&gt;1,"ok","missing"))</f>
        <v/>
      </c>
      <c r="AM10" s="6" t="str">
        <f ca="1">IF(OFFSET(views[[#This Row],[1]],0,AM$5-1)="","",  IF(COUNTIF(entities[entity_id],OFFSET(views[[#This Row],[1]],0,AM$5-1))+COUNTIF(cards[entity_id],OFFSET(views[[#This Row],[1]],0,AM$5-1))&gt;1,"ok","missing"))</f>
        <v/>
      </c>
      <c r="AN10" s="6" t="str">
        <f ca="1">IF(OFFSET(views[[#This Row],[1]],0,AN$5-1)="","",  IF(COUNTIF(entities[entity_id],OFFSET(views[[#This Row],[1]],0,AN$5-1))+COUNTIF(cards[entity_id],OFFSET(views[[#This Row],[1]],0,AN$5-1))&gt;1,"ok","missing"))</f>
        <v/>
      </c>
      <c r="AO10" s="6" t="str">
        <f ca="1">IF(OFFSET(views[[#This Row],[1]],0,AO$5-1)="","",  IF(COUNTIF(entities[entity_id],OFFSET(views[[#This Row],[1]],0,AO$5-1))+COUNTIF(cards[entity_id],OFFSET(views[[#This Row],[1]],0,AO$5-1))&gt;1,"ok","missing"))</f>
        <v/>
      </c>
      <c r="AP10" s="6" t="str">
        <f ca="1">IF(OFFSET(views[[#This Row],[1]],0,AP$5-1)="","",  IF(COUNTIF(entities[entity_id],OFFSET(views[[#This Row],[1]],0,AP$5-1))+COUNTIF(cards[entity_id],OFFSET(views[[#This Row],[1]],0,AP$5-1))&gt;1,"ok","missing"))</f>
        <v/>
      </c>
      <c r="AQ10" s="6" t="str">
        <f ca="1">IF(OFFSET(views[[#This Row],[1]],0,AQ$5-1)="","",  IF(COUNTIF(entities[entity_id],OFFSET(views[[#This Row],[1]],0,AQ$5-1))+COUNTIF(cards[entity_id],OFFSET(views[[#This Row],[1]],0,AQ$5-1))&gt;1,"ok","missing"))</f>
        <v/>
      </c>
      <c r="AR10" s="6" t="str">
        <f ca="1">IF(OFFSET(views[[#This Row],[1]],0,AR$5-1)="","",  IF(COUNTIF(entities[entity_id],OFFSET(views[[#This Row],[1]],0,AR$5-1))+COUNTIF(cards[entity_id],OFFSET(views[[#This Row],[1]],0,AR$5-1))&gt;1,"ok","missing"))</f>
        <v/>
      </c>
      <c r="AS10" s="6" t="str">
        <f ca="1">IF(OFFSET(views[[#This Row],[1]],0,AS$5-1)="","",  IF(COUNTIF(entities[entity_id],OFFSET(views[[#This Row],[1]],0,AS$5-1))+COUNTIF(cards[entity_id],OFFSET(views[[#This Row],[1]],0,AS$5-1))&gt;1,"ok","missing"))</f>
        <v/>
      </c>
      <c r="AT10" s="6" t="str">
        <f ca="1">IF(OFFSET(views[[#This Row],[1]],0,AT$5-1)="","",  IF(COUNTIF(entities[entity_id],OFFSET(views[[#This Row],[1]],0,AT$5-1))+COUNTIF(cards[entity_id],OFFSET(views[[#This Row],[1]],0,AT$5-1))&gt;1,"ok","missing"))</f>
        <v/>
      </c>
      <c r="AU10" s="6" t="str">
        <f ca="1">IF(OFFSET(views[[#This Row],[1]],0,AU$5-1)="","",  IF(COUNTIF(entities[entity_id],OFFSET(views[[#This Row],[1]],0,AU$5-1))+COUNTIF(cards[entity_id],OFFSET(views[[#This Row],[1]],0,AU$5-1))&gt;1,"ok","missing"))</f>
        <v/>
      </c>
      <c r="AV10" s="6" t="str">
        <f ca="1">IF(OFFSET(views[[#This Row],[1]],0,AV$5-1)="","",  IF(COUNTIF(entities[entity_id],OFFSET(views[[#This Row],[1]],0,AV$5-1))+COUNTIF(cards[entity_id],OFFSET(views[[#This Row],[1]],0,AV$5-1))&gt;1,"ok","missing"))</f>
        <v/>
      </c>
      <c r="AW10" s="6" t="str">
        <f ca="1">IF(OFFSET(views[[#This Row],[1]],0,AW$5-1)="","",  IF(COUNTIF(entities[entity_id],OFFSET(views[[#This Row],[1]],0,AW$5-1))+COUNTIF(cards[entity_id],OFFSET(views[[#This Row],[1]],0,AW$5-1))&gt;1,"ok","missing"))</f>
        <v/>
      </c>
      <c r="AX10" s="6" t="str">
        <f ca="1">IF(OFFSET(views[[#This Row],[1]],0,AX$5-1)="","",  IF(COUNTIF(entities[entity_id],OFFSET(views[[#This Row],[1]],0,AX$5-1))+COUNTIF(cards[entity_id],OFFSET(views[[#This Row],[1]],0,AX$5-1))&gt;1,"ok","missing"))</f>
        <v/>
      </c>
      <c r="AY10" s="6" t="str">
        <f ca="1">IF(OFFSET(views[[#This Row],[1]],0,AY$5-1)="","",  IF(COUNTIF(entities[entity_id],OFFSET(views[[#This Row],[1]],0,AY$5-1))+COUNTIF(cards[entity_id],OFFSET(views[[#This Row],[1]],0,AY$5-1))&gt;1,"ok","missing"))</f>
        <v/>
      </c>
      <c r="AZ10" s="6" t="str">
        <f ca="1">IF(OFFSET(views[[#This Row],[1]],0,AZ$5-1)="","",  IF(COUNTIF(entities[entity_id],OFFSET(views[[#This Row],[1]],0,AZ$5-1))+COUNTIF(cards[entity_id],OFFSET(views[[#This Row],[1]],0,AZ$5-1))&gt;1,"ok","missing"))</f>
        <v/>
      </c>
      <c r="BA10" s="6" t="str">
        <f ca="1">IF(OFFSET(views[[#This Row],[1]],0,BA$5-1)="","",  IF(COUNTIF(entities[entity_id],OFFSET(views[[#This Row],[1]],0,BA$5-1))+COUNTIF(cards[entity_id],OFFSET(views[[#This Row],[1]],0,BA$5-1))&gt;1,"ok","missing"))</f>
        <v/>
      </c>
      <c r="BB10" s="6" t="str">
        <f ca="1">IF(OFFSET(views[[#This Row],[1]],0,BB$5-1)="","",  IF(COUNTIF(entities[entity_id],OFFSET(views[[#This Row],[1]],0,BB$5-1))+COUNTIF(cards[entity_id],OFFSET(views[[#This Row],[1]],0,BB$5-1))&gt;1,"ok","missing"))</f>
        <v/>
      </c>
      <c r="BC10" s="6" t="str">
        <f ca="1">IF(OFFSET(views[[#This Row],[1]],0,BC$5-1)="","",  IF(COUNTIF(entities[entity_id],OFFSET(views[[#This Row],[1]],0,BC$5-1))+COUNTIF(cards[entity_id],OFFSET(views[[#This Row],[1]],0,BC$5-1))&gt;1,"ok","missing"))</f>
        <v/>
      </c>
      <c r="BD10" s="6" t="str">
        <f ca="1">IF(OFFSET(views[[#This Row],[1]],0,BD$5-1)="","",  IF(COUNTIF(entities[entity_id],OFFSET(views[[#This Row],[1]],0,BD$5-1))+COUNTIF(cards[entity_id],OFFSET(views[[#This Row],[1]],0,BD$5-1))&gt;1,"ok","missing"))</f>
        <v/>
      </c>
      <c r="BE10" s="6" t="str">
        <f ca="1">IF(OFFSET(views[[#This Row],[1]],0,BE$5-1)="","",  IF(COUNTIF(entities[entity_id],OFFSET(views[[#This Row],[1]],0,BE$5-1))+COUNTIF(cards[entity_id],OFFSET(views[[#This Row],[1]],0,BE$5-1))&gt;1,"ok","missing"))</f>
        <v/>
      </c>
      <c r="BF10" s="6" t="str">
        <f ca="1">IF(OFFSET(views[[#This Row],[1]],0,BF$5-1)="","",  IF(COUNTIF(entities[entity_id],OFFSET(views[[#This Row],[1]],0,BF$5-1))+COUNTIF(cards[entity_id],OFFSET(views[[#This Row],[1]],0,BF$5-1))&gt;1,"ok","missing"))</f>
        <v/>
      </c>
      <c r="BG10" t="str">
        <f>IF(views[[#This Row],[First space]]-views[[#This Row],[Entities count]]=1,"ok","Check entitiy names")</f>
        <v>ok</v>
      </c>
      <c r="BH10" t="str">
        <f ca="1">IF(COUNTIF(views[[#This Row],[C1]:[C25]],"missing")=0,"ok","some entities missing from other tabs")</f>
        <v>some entities missing from other tabs</v>
      </c>
    </row>
    <row r="11" spans="1:60" x14ac:dyDescent="0.45">
      <c r="B11">
        <v>4</v>
      </c>
      <c r="C11" t="s">
        <v>409</v>
      </c>
      <c r="D11" t="s">
        <v>413</v>
      </c>
      <c r="E11" t="s">
        <v>414</v>
      </c>
      <c r="F11" t="s">
        <v>137</v>
      </c>
      <c r="G11" t="s">
        <v>823</v>
      </c>
      <c r="AE11" s="6">
        <f>ROW(views[[#This Row],[object_id order]])-ROW(views[])+1</f>
        <v>4</v>
      </c>
      <c r="AF11">
        <f>COUNTA(views[[#This Row],[1]:[25]])</f>
        <v>2</v>
      </c>
      <c r="AG11">
        <f t="array" ref="AG11">MATCH(TRUE,INDEX(ISBLANK(views[[#This Row],[1]:[25]]),0,0),0)</f>
        <v>3</v>
      </c>
      <c r="AH11" s="6" t="str">
        <f ca="1">IF(OFFSET(views[[#This Row],[1]],0,AH$5-1)="","",  IF(COUNTIF(entities[entity_id],OFFSET(views[[#This Row],[1]],0,AH$5-1))+COUNTIF(cards[entity_id],OFFSET(views[[#This Row],[1]],0,AH$5-1))&gt;1,"ok","missing"))</f>
        <v>ok</v>
      </c>
      <c r="AI11" s="6" t="str">
        <f ca="1">IF(OFFSET(views[[#This Row],[1]],0,AI$5-1)="","",  IF(COUNTIF(entities[entity_id],OFFSET(views[[#This Row],[1]],0,AI$5-1))+COUNTIF(cards[entity_id],OFFSET(views[[#This Row],[1]],0,AI$5-1))&gt;1,"ok","missing"))</f>
        <v>ok</v>
      </c>
      <c r="AJ11" s="6" t="str">
        <f ca="1">IF(OFFSET(views[[#This Row],[1]],0,AJ$5-1)="","",  IF(COUNTIF(entities[entity_id],OFFSET(views[[#This Row],[1]],0,AJ$5-1))+COUNTIF(cards[entity_id],OFFSET(views[[#This Row],[1]],0,AJ$5-1))&gt;1,"ok","missing"))</f>
        <v/>
      </c>
      <c r="AK11" s="6" t="str">
        <f ca="1">IF(OFFSET(views[[#This Row],[1]],0,AK$5-1)="","",  IF(COUNTIF(entities[entity_id],OFFSET(views[[#This Row],[1]],0,AK$5-1))+COUNTIF(cards[entity_id],OFFSET(views[[#This Row],[1]],0,AK$5-1))&gt;1,"ok","missing"))</f>
        <v/>
      </c>
      <c r="AL11" s="6" t="str">
        <f ca="1">IF(OFFSET(views[[#This Row],[1]],0,AL$5-1)="","",  IF(COUNTIF(entities[entity_id],OFFSET(views[[#This Row],[1]],0,AL$5-1))+COUNTIF(cards[entity_id],OFFSET(views[[#This Row],[1]],0,AL$5-1))&gt;1,"ok","missing"))</f>
        <v/>
      </c>
      <c r="AM11" s="6" t="str">
        <f ca="1">IF(OFFSET(views[[#This Row],[1]],0,AM$5-1)="","",  IF(COUNTIF(entities[entity_id],OFFSET(views[[#This Row],[1]],0,AM$5-1))+COUNTIF(cards[entity_id],OFFSET(views[[#This Row],[1]],0,AM$5-1))&gt;1,"ok","missing"))</f>
        <v/>
      </c>
      <c r="AN11" s="6" t="str">
        <f ca="1">IF(OFFSET(views[[#This Row],[1]],0,AN$5-1)="","",  IF(COUNTIF(entities[entity_id],OFFSET(views[[#This Row],[1]],0,AN$5-1))+COUNTIF(cards[entity_id],OFFSET(views[[#This Row],[1]],0,AN$5-1))&gt;1,"ok","missing"))</f>
        <v/>
      </c>
      <c r="AO11" s="6" t="str">
        <f ca="1">IF(OFFSET(views[[#This Row],[1]],0,AO$5-1)="","",  IF(COUNTIF(entities[entity_id],OFFSET(views[[#This Row],[1]],0,AO$5-1))+COUNTIF(cards[entity_id],OFFSET(views[[#This Row],[1]],0,AO$5-1))&gt;1,"ok","missing"))</f>
        <v/>
      </c>
      <c r="AP11" s="6" t="str">
        <f ca="1">IF(OFFSET(views[[#This Row],[1]],0,AP$5-1)="","",  IF(COUNTIF(entities[entity_id],OFFSET(views[[#This Row],[1]],0,AP$5-1))+COUNTIF(cards[entity_id],OFFSET(views[[#This Row],[1]],0,AP$5-1))&gt;1,"ok","missing"))</f>
        <v/>
      </c>
      <c r="AQ11" s="6" t="str">
        <f ca="1">IF(OFFSET(views[[#This Row],[1]],0,AQ$5-1)="","",  IF(COUNTIF(entities[entity_id],OFFSET(views[[#This Row],[1]],0,AQ$5-1))+COUNTIF(cards[entity_id],OFFSET(views[[#This Row],[1]],0,AQ$5-1))&gt;1,"ok","missing"))</f>
        <v/>
      </c>
      <c r="AR11" s="6" t="str">
        <f ca="1">IF(OFFSET(views[[#This Row],[1]],0,AR$5-1)="","",  IF(COUNTIF(entities[entity_id],OFFSET(views[[#This Row],[1]],0,AR$5-1))+COUNTIF(cards[entity_id],OFFSET(views[[#This Row],[1]],0,AR$5-1))&gt;1,"ok","missing"))</f>
        <v/>
      </c>
      <c r="AS11" s="6" t="str">
        <f ca="1">IF(OFFSET(views[[#This Row],[1]],0,AS$5-1)="","",  IF(COUNTIF(entities[entity_id],OFFSET(views[[#This Row],[1]],0,AS$5-1))+COUNTIF(cards[entity_id],OFFSET(views[[#This Row],[1]],0,AS$5-1))&gt;1,"ok","missing"))</f>
        <v/>
      </c>
      <c r="AT11" s="6" t="str">
        <f ca="1">IF(OFFSET(views[[#This Row],[1]],0,AT$5-1)="","",  IF(COUNTIF(entities[entity_id],OFFSET(views[[#This Row],[1]],0,AT$5-1))+COUNTIF(cards[entity_id],OFFSET(views[[#This Row],[1]],0,AT$5-1))&gt;1,"ok","missing"))</f>
        <v/>
      </c>
      <c r="AU11" s="6" t="str">
        <f ca="1">IF(OFFSET(views[[#This Row],[1]],0,AU$5-1)="","",  IF(COUNTIF(entities[entity_id],OFFSET(views[[#This Row],[1]],0,AU$5-1))+COUNTIF(cards[entity_id],OFFSET(views[[#This Row],[1]],0,AU$5-1))&gt;1,"ok","missing"))</f>
        <v/>
      </c>
      <c r="AV11" s="6" t="str">
        <f ca="1">IF(OFFSET(views[[#This Row],[1]],0,AV$5-1)="","",  IF(COUNTIF(entities[entity_id],OFFSET(views[[#This Row],[1]],0,AV$5-1))+COUNTIF(cards[entity_id],OFFSET(views[[#This Row],[1]],0,AV$5-1))&gt;1,"ok","missing"))</f>
        <v/>
      </c>
      <c r="AW11" s="6" t="str">
        <f ca="1">IF(OFFSET(views[[#This Row],[1]],0,AW$5-1)="","",  IF(COUNTIF(entities[entity_id],OFFSET(views[[#This Row],[1]],0,AW$5-1))+COUNTIF(cards[entity_id],OFFSET(views[[#This Row],[1]],0,AW$5-1))&gt;1,"ok","missing"))</f>
        <v/>
      </c>
      <c r="AX11" s="6" t="str">
        <f ca="1">IF(OFFSET(views[[#This Row],[1]],0,AX$5-1)="","",  IF(COUNTIF(entities[entity_id],OFFSET(views[[#This Row],[1]],0,AX$5-1))+COUNTIF(cards[entity_id],OFFSET(views[[#This Row],[1]],0,AX$5-1))&gt;1,"ok","missing"))</f>
        <v/>
      </c>
      <c r="AY11" s="6" t="str">
        <f ca="1">IF(OFFSET(views[[#This Row],[1]],0,AY$5-1)="","",  IF(COUNTIF(entities[entity_id],OFFSET(views[[#This Row],[1]],0,AY$5-1))+COUNTIF(cards[entity_id],OFFSET(views[[#This Row],[1]],0,AY$5-1))&gt;1,"ok","missing"))</f>
        <v/>
      </c>
      <c r="AZ11" s="6" t="str">
        <f ca="1">IF(OFFSET(views[[#This Row],[1]],0,AZ$5-1)="","",  IF(COUNTIF(entities[entity_id],OFFSET(views[[#This Row],[1]],0,AZ$5-1))+COUNTIF(cards[entity_id],OFFSET(views[[#This Row],[1]],0,AZ$5-1))&gt;1,"ok","missing"))</f>
        <v/>
      </c>
      <c r="BA11" s="6" t="str">
        <f ca="1">IF(OFFSET(views[[#This Row],[1]],0,BA$5-1)="","",  IF(COUNTIF(entities[entity_id],OFFSET(views[[#This Row],[1]],0,BA$5-1))+COUNTIF(cards[entity_id],OFFSET(views[[#This Row],[1]],0,BA$5-1))&gt;1,"ok","missing"))</f>
        <v/>
      </c>
      <c r="BB11" s="6" t="str">
        <f ca="1">IF(OFFSET(views[[#This Row],[1]],0,BB$5-1)="","",  IF(COUNTIF(entities[entity_id],OFFSET(views[[#This Row],[1]],0,BB$5-1))+COUNTIF(cards[entity_id],OFFSET(views[[#This Row],[1]],0,BB$5-1))&gt;1,"ok","missing"))</f>
        <v/>
      </c>
      <c r="BC11" s="6" t="str">
        <f ca="1">IF(OFFSET(views[[#This Row],[1]],0,BC$5-1)="","",  IF(COUNTIF(entities[entity_id],OFFSET(views[[#This Row],[1]],0,BC$5-1))+COUNTIF(cards[entity_id],OFFSET(views[[#This Row],[1]],0,BC$5-1))&gt;1,"ok","missing"))</f>
        <v/>
      </c>
      <c r="BD11" s="6" t="str">
        <f ca="1">IF(OFFSET(views[[#This Row],[1]],0,BD$5-1)="","",  IF(COUNTIF(entities[entity_id],OFFSET(views[[#This Row],[1]],0,BD$5-1))+COUNTIF(cards[entity_id],OFFSET(views[[#This Row],[1]],0,BD$5-1))&gt;1,"ok","missing"))</f>
        <v/>
      </c>
      <c r="BE11" s="6" t="str">
        <f ca="1">IF(OFFSET(views[[#This Row],[1]],0,BE$5-1)="","",  IF(COUNTIF(entities[entity_id],OFFSET(views[[#This Row],[1]],0,BE$5-1))+COUNTIF(cards[entity_id],OFFSET(views[[#This Row],[1]],0,BE$5-1))&gt;1,"ok","missing"))</f>
        <v/>
      </c>
      <c r="BF11" s="6" t="str">
        <f ca="1">IF(OFFSET(views[[#This Row],[1]],0,BF$5-1)="","",  IF(COUNTIF(entities[entity_id],OFFSET(views[[#This Row],[1]],0,BF$5-1))+COUNTIF(cards[entity_id],OFFSET(views[[#This Row],[1]],0,BF$5-1))&gt;1,"ok","missing"))</f>
        <v/>
      </c>
      <c r="BG11" t="str">
        <f>IF(views[[#This Row],[First space]]-views[[#This Row],[Entities count]]=1,"ok","Check entitiy names")</f>
        <v>ok</v>
      </c>
      <c r="BH11" t="str">
        <f ca="1">IF(COUNTIF(views[[#This Row],[C1]:[C25]],"missing")=0,"ok","some entities missing from other tabs")</f>
        <v>ok</v>
      </c>
    </row>
    <row r="12" spans="1:60" x14ac:dyDescent="0.45">
      <c r="B12">
        <v>5</v>
      </c>
      <c r="C12" t="s">
        <v>410</v>
      </c>
      <c r="D12" t="s">
        <v>411</v>
      </c>
      <c r="E12" t="s">
        <v>412</v>
      </c>
      <c r="F12" t="s">
        <v>147</v>
      </c>
      <c r="G12" t="s">
        <v>146</v>
      </c>
      <c r="H12" t="s">
        <v>145</v>
      </c>
      <c r="I12" t="s">
        <v>142</v>
      </c>
      <c r="J12" t="s">
        <v>143</v>
      </c>
      <c r="K12" t="s">
        <v>141</v>
      </c>
      <c r="AE12" s="6">
        <f>ROW(views[[#This Row],[object_id order]])-ROW(views[])+1</f>
        <v>5</v>
      </c>
      <c r="AF12">
        <f>COUNTA(views[[#This Row],[1]:[25]])</f>
        <v>6</v>
      </c>
      <c r="AG12">
        <f t="array" ref="AG12">MATCH(TRUE,INDEX(ISBLANK(views[[#This Row],[1]:[25]]),0,0),0)</f>
        <v>7</v>
      </c>
      <c r="AH12" s="6" t="str">
        <f ca="1">IF(OFFSET(views[[#This Row],[1]],0,AH$5-1)="","",  IF(COUNTIF(entities[entity_id],OFFSET(views[[#This Row],[1]],0,AH$5-1))+COUNTIF(cards[entity_id],OFFSET(views[[#This Row],[1]],0,AH$5-1))&gt;1,"ok","missing"))</f>
        <v>ok</v>
      </c>
      <c r="AI12" s="6" t="str">
        <f ca="1">IF(OFFSET(views[[#This Row],[1]],0,AI$5-1)="","",  IF(COUNTIF(entities[entity_id],OFFSET(views[[#This Row],[1]],0,AI$5-1))+COUNTIF(cards[entity_id],OFFSET(views[[#This Row],[1]],0,AI$5-1))&gt;1,"ok","missing"))</f>
        <v>ok</v>
      </c>
      <c r="AJ12" s="6" t="str">
        <f ca="1">IF(OFFSET(views[[#This Row],[1]],0,AJ$5-1)="","",  IF(COUNTIF(entities[entity_id],OFFSET(views[[#This Row],[1]],0,AJ$5-1))+COUNTIF(cards[entity_id],OFFSET(views[[#This Row],[1]],0,AJ$5-1))&gt;1,"ok","missing"))</f>
        <v>ok</v>
      </c>
      <c r="AK12" s="6" t="str">
        <f ca="1">IF(OFFSET(views[[#This Row],[1]],0,AK$5-1)="","",  IF(COUNTIF(entities[entity_id],OFFSET(views[[#This Row],[1]],0,AK$5-1))+COUNTIF(cards[entity_id],OFFSET(views[[#This Row],[1]],0,AK$5-1))&gt;1,"ok","missing"))</f>
        <v>ok</v>
      </c>
      <c r="AL12" s="6" t="str">
        <f ca="1">IF(OFFSET(views[[#This Row],[1]],0,AL$5-1)="","",  IF(COUNTIF(entities[entity_id],OFFSET(views[[#This Row],[1]],0,AL$5-1))+COUNTIF(cards[entity_id],OFFSET(views[[#This Row],[1]],0,AL$5-1))&gt;1,"ok","missing"))</f>
        <v>ok</v>
      </c>
      <c r="AM12" s="6" t="str">
        <f ca="1">IF(OFFSET(views[[#This Row],[1]],0,AM$5-1)="","",  IF(COUNTIF(entities[entity_id],OFFSET(views[[#This Row],[1]],0,AM$5-1))+COUNTIF(cards[entity_id],OFFSET(views[[#This Row],[1]],0,AM$5-1))&gt;1,"ok","missing"))</f>
        <v>ok</v>
      </c>
      <c r="AN12" s="6" t="str">
        <f ca="1">IF(OFFSET(views[[#This Row],[1]],0,AN$5-1)="","",  IF(COUNTIF(entities[entity_id],OFFSET(views[[#This Row],[1]],0,AN$5-1))+COUNTIF(cards[entity_id],OFFSET(views[[#This Row],[1]],0,AN$5-1))&gt;1,"ok","missing"))</f>
        <v/>
      </c>
      <c r="AO12" s="6" t="str">
        <f ca="1">IF(OFFSET(views[[#This Row],[1]],0,AO$5-1)="","",  IF(COUNTIF(entities[entity_id],OFFSET(views[[#This Row],[1]],0,AO$5-1))+COUNTIF(cards[entity_id],OFFSET(views[[#This Row],[1]],0,AO$5-1))&gt;1,"ok","missing"))</f>
        <v/>
      </c>
      <c r="AP12" s="6" t="str">
        <f ca="1">IF(OFFSET(views[[#This Row],[1]],0,AP$5-1)="","",  IF(COUNTIF(entities[entity_id],OFFSET(views[[#This Row],[1]],0,AP$5-1))+COUNTIF(cards[entity_id],OFFSET(views[[#This Row],[1]],0,AP$5-1))&gt;1,"ok","missing"))</f>
        <v/>
      </c>
      <c r="AQ12" s="6" t="str">
        <f ca="1">IF(OFFSET(views[[#This Row],[1]],0,AQ$5-1)="","",  IF(COUNTIF(entities[entity_id],OFFSET(views[[#This Row],[1]],0,AQ$5-1))+COUNTIF(cards[entity_id],OFFSET(views[[#This Row],[1]],0,AQ$5-1))&gt;1,"ok","missing"))</f>
        <v/>
      </c>
      <c r="AR12" s="6" t="str">
        <f ca="1">IF(OFFSET(views[[#This Row],[1]],0,AR$5-1)="","",  IF(COUNTIF(entities[entity_id],OFFSET(views[[#This Row],[1]],0,AR$5-1))+COUNTIF(cards[entity_id],OFFSET(views[[#This Row],[1]],0,AR$5-1))&gt;1,"ok","missing"))</f>
        <v/>
      </c>
      <c r="AS12" s="6" t="str">
        <f ca="1">IF(OFFSET(views[[#This Row],[1]],0,AS$5-1)="","",  IF(COUNTIF(entities[entity_id],OFFSET(views[[#This Row],[1]],0,AS$5-1))+COUNTIF(cards[entity_id],OFFSET(views[[#This Row],[1]],0,AS$5-1))&gt;1,"ok","missing"))</f>
        <v/>
      </c>
      <c r="AT12" s="6" t="str">
        <f ca="1">IF(OFFSET(views[[#This Row],[1]],0,AT$5-1)="","",  IF(COUNTIF(entities[entity_id],OFFSET(views[[#This Row],[1]],0,AT$5-1))+COUNTIF(cards[entity_id],OFFSET(views[[#This Row],[1]],0,AT$5-1))&gt;1,"ok","missing"))</f>
        <v/>
      </c>
      <c r="AU12" s="6" t="str">
        <f ca="1">IF(OFFSET(views[[#This Row],[1]],0,AU$5-1)="","",  IF(COUNTIF(entities[entity_id],OFFSET(views[[#This Row],[1]],0,AU$5-1))+COUNTIF(cards[entity_id],OFFSET(views[[#This Row],[1]],0,AU$5-1))&gt;1,"ok","missing"))</f>
        <v/>
      </c>
      <c r="AV12" s="6" t="str">
        <f ca="1">IF(OFFSET(views[[#This Row],[1]],0,AV$5-1)="","",  IF(COUNTIF(entities[entity_id],OFFSET(views[[#This Row],[1]],0,AV$5-1))+COUNTIF(cards[entity_id],OFFSET(views[[#This Row],[1]],0,AV$5-1))&gt;1,"ok","missing"))</f>
        <v/>
      </c>
      <c r="AW12" s="6" t="str">
        <f ca="1">IF(OFFSET(views[[#This Row],[1]],0,AW$5-1)="","",  IF(COUNTIF(entities[entity_id],OFFSET(views[[#This Row],[1]],0,AW$5-1))+COUNTIF(cards[entity_id],OFFSET(views[[#This Row],[1]],0,AW$5-1))&gt;1,"ok","missing"))</f>
        <v/>
      </c>
      <c r="AX12" s="6" t="str">
        <f ca="1">IF(OFFSET(views[[#This Row],[1]],0,AX$5-1)="","",  IF(COUNTIF(entities[entity_id],OFFSET(views[[#This Row],[1]],0,AX$5-1))+COUNTIF(cards[entity_id],OFFSET(views[[#This Row],[1]],0,AX$5-1))&gt;1,"ok","missing"))</f>
        <v/>
      </c>
      <c r="AY12" s="6" t="str">
        <f ca="1">IF(OFFSET(views[[#This Row],[1]],0,AY$5-1)="","",  IF(COUNTIF(entities[entity_id],OFFSET(views[[#This Row],[1]],0,AY$5-1))+COUNTIF(cards[entity_id],OFFSET(views[[#This Row],[1]],0,AY$5-1))&gt;1,"ok","missing"))</f>
        <v/>
      </c>
      <c r="AZ12" s="6" t="str">
        <f ca="1">IF(OFFSET(views[[#This Row],[1]],0,AZ$5-1)="","",  IF(COUNTIF(entities[entity_id],OFFSET(views[[#This Row],[1]],0,AZ$5-1))+COUNTIF(cards[entity_id],OFFSET(views[[#This Row],[1]],0,AZ$5-1))&gt;1,"ok","missing"))</f>
        <v/>
      </c>
      <c r="BA12" s="6" t="str">
        <f ca="1">IF(OFFSET(views[[#This Row],[1]],0,BA$5-1)="","",  IF(COUNTIF(entities[entity_id],OFFSET(views[[#This Row],[1]],0,BA$5-1))+COUNTIF(cards[entity_id],OFFSET(views[[#This Row],[1]],0,BA$5-1))&gt;1,"ok","missing"))</f>
        <v/>
      </c>
      <c r="BB12" s="6" t="str">
        <f ca="1">IF(OFFSET(views[[#This Row],[1]],0,BB$5-1)="","",  IF(COUNTIF(entities[entity_id],OFFSET(views[[#This Row],[1]],0,BB$5-1))+COUNTIF(cards[entity_id],OFFSET(views[[#This Row],[1]],0,BB$5-1))&gt;1,"ok","missing"))</f>
        <v/>
      </c>
      <c r="BC12" s="6" t="str">
        <f ca="1">IF(OFFSET(views[[#This Row],[1]],0,BC$5-1)="","",  IF(COUNTIF(entities[entity_id],OFFSET(views[[#This Row],[1]],0,BC$5-1))+COUNTIF(cards[entity_id],OFFSET(views[[#This Row],[1]],0,BC$5-1))&gt;1,"ok","missing"))</f>
        <v/>
      </c>
      <c r="BD12" s="6" t="str">
        <f ca="1">IF(OFFSET(views[[#This Row],[1]],0,BD$5-1)="","",  IF(COUNTIF(entities[entity_id],OFFSET(views[[#This Row],[1]],0,BD$5-1))+COUNTIF(cards[entity_id],OFFSET(views[[#This Row],[1]],0,BD$5-1))&gt;1,"ok","missing"))</f>
        <v/>
      </c>
      <c r="BE12" s="6" t="str">
        <f ca="1">IF(OFFSET(views[[#This Row],[1]],0,BE$5-1)="","",  IF(COUNTIF(entities[entity_id],OFFSET(views[[#This Row],[1]],0,BE$5-1))+COUNTIF(cards[entity_id],OFFSET(views[[#This Row],[1]],0,BE$5-1))&gt;1,"ok","missing"))</f>
        <v/>
      </c>
      <c r="BF12" s="6" t="str">
        <f ca="1">IF(OFFSET(views[[#This Row],[1]],0,BF$5-1)="","",  IF(COUNTIF(entities[entity_id],OFFSET(views[[#This Row],[1]],0,BF$5-1))+COUNTIF(cards[entity_id],OFFSET(views[[#This Row],[1]],0,BF$5-1))&gt;1,"ok","missing"))</f>
        <v/>
      </c>
      <c r="BG12" t="str">
        <f>IF(views[[#This Row],[First space]]-views[[#This Row],[Entities count]]=1,"ok","Check entitiy names")</f>
        <v>ok</v>
      </c>
      <c r="BH12" t="str">
        <f ca="1">IF(COUNTIF(views[[#This Row],[C1]:[C25]],"missing")=0,"ok","some entities missing from other tabs")</f>
        <v>ok</v>
      </c>
    </row>
  </sheetData>
  <conditionalFormatting sqref="F8:AD12">
    <cfRule type="expression" dxfId="19" priority="1">
      <formula>OFFSET(F8,0,28)="missing"</formula>
    </cfRule>
  </conditionalFormatting>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05"/>
  <sheetViews>
    <sheetView showGridLines="0" zoomScaleNormal="100" workbookViewId="0">
      <selection activeCell="B5" sqref="B5"/>
    </sheetView>
  </sheetViews>
  <sheetFormatPr defaultRowHeight="14.25" outlineLevelCol="1" x14ac:dyDescent="0.45"/>
  <cols>
    <col min="1" max="1" width="2.3984375" customWidth="1"/>
    <col min="2" max="2" width="6.1328125" bestFit="1" customWidth="1"/>
    <col min="3" max="5" width="9.1328125" hidden="1" customWidth="1" outlineLevel="1"/>
    <col min="6" max="7" width="10" hidden="1" customWidth="1" outlineLevel="1"/>
    <col min="8" max="8" width="69.265625" bestFit="1" customWidth="1" collapsed="1"/>
    <col min="9" max="9" width="12.265625" bestFit="1" customWidth="1"/>
  </cols>
  <sheetData>
    <row r="1" spans="1:9" ht="21" x14ac:dyDescent="0.65">
      <c r="A1" s="1" t="s">
        <v>735</v>
      </c>
    </row>
    <row r="3" spans="1:9" x14ac:dyDescent="0.45">
      <c r="A3" s="19" t="s">
        <v>693</v>
      </c>
    </row>
    <row r="5" spans="1:9" x14ac:dyDescent="0.45">
      <c r="B5" s="23" t="s">
        <v>62</v>
      </c>
      <c r="C5" s="23" t="s">
        <v>350</v>
      </c>
      <c r="D5" s="23" t="s">
        <v>365</v>
      </c>
      <c r="E5" s="23" t="s">
        <v>366</v>
      </c>
      <c r="F5" s="23" t="s">
        <v>368</v>
      </c>
      <c r="G5" s="23" t="s">
        <v>367</v>
      </c>
      <c r="H5" s="23" t="s">
        <v>791</v>
      </c>
      <c r="I5" s="23" t="s">
        <v>680</v>
      </c>
    </row>
    <row r="6" spans="1:9" x14ac:dyDescent="0.45">
      <c r="B6" s="21">
        <v>1</v>
      </c>
      <c r="C6" s="9"/>
      <c r="D6" s="9"/>
      <c r="E6" s="9"/>
      <c r="F6" s="9"/>
      <c r="G6" s="9"/>
      <c r="H6" s="21" t="s">
        <v>734</v>
      </c>
      <c r="I6" s="9"/>
    </row>
    <row r="7" spans="1:9" x14ac:dyDescent="0.45">
      <c r="B7" s="9">
        <f>B6+1</f>
        <v>2</v>
      </c>
      <c r="C7" s="21"/>
      <c r="D7" s="22"/>
      <c r="E7" s="21"/>
      <c r="F7" s="9"/>
      <c r="G7" s="9"/>
      <c r="H7" s="10" t="s">
        <v>55</v>
      </c>
      <c r="I7" s="9" t="str">
        <f>IF(AND(NOT(ISNA(D6)),ISNA(D7)),"END","")</f>
        <v/>
      </c>
    </row>
    <row r="8" spans="1:9" x14ac:dyDescent="0.45">
      <c r="B8" s="9">
        <f t="shared" ref="B8:B71" si="0">B7+1</f>
        <v>3</v>
      </c>
      <c r="C8" s="21">
        <v>1</v>
      </c>
      <c r="D8" s="22">
        <f>INDEX(entities[Custom Attributes],MATCH('cust-code'!C8,entities[custom entity '#],0))</f>
        <v>1</v>
      </c>
      <c r="E8" s="21">
        <v>0</v>
      </c>
      <c r="F8" s="9" t="str">
        <f>IF(E8&gt;0,"",
INDEX(entities[entity_id],MATCH('cust-code'!C8,entities[custom entity '#],0))&amp;":")</f>
        <v>automation.locaway_devices_in_bedroom_off_when_at_the_computer:</v>
      </c>
      <c r="G8" s="9" t="str">
        <f>IF(E8=0,"",
INDEX(entities[[line 1]:[line 4]],MATCH('cust-code'!C8,entities[custom entity '#],0),'cust-code'!E8))</f>
        <v/>
      </c>
      <c r="H8" s="9" t="str">
        <f t="shared" ref="H8:H71" si="1">_xlfn.IFNA(  F8&amp;G8,  "")</f>
        <v>automation.locaway_devices_in_bedroom_off_when_at_the_computer:</v>
      </c>
      <c r="I8" s="9" t="str">
        <f t="shared" ref="I8:I71" si="2">IF(AND(NOT(ISNA(D7)),ISNA(D8)),"END","")</f>
        <v/>
      </c>
    </row>
    <row r="9" spans="1:9" x14ac:dyDescent="0.45">
      <c r="B9" s="9">
        <f t="shared" si="0"/>
        <v>4</v>
      </c>
      <c r="C9" s="9">
        <f>IF(E9=0,C8+1,C8)</f>
        <v>1</v>
      </c>
      <c r="D9" s="22">
        <f>INDEX(entities[Custom Attributes],MATCH('cust-code'!C9,entities[custom entity '#],0))</f>
        <v>1</v>
      </c>
      <c r="E9" s="22">
        <f>IF(E8=D8,0,E8+1)</f>
        <v>1</v>
      </c>
      <c r="F9" s="9" t="str">
        <f>IF(E9&gt;0,"",
INDEX(entities[entity_id],MATCH('cust-code'!C9,entities[custom entity '#],0))&amp;":")</f>
        <v/>
      </c>
      <c r="G9" s="9" t="str">
        <f ca="1">IF(E9=0,"",
INDEX(entities[[line 1]:[line 4]],MATCH('cust-code'!C9,entities[custom entity '#],0),'cust-code'!E9))</f>
        <v xml:space="preserve">  hidden: true</v>
      </c>
      <c r="H9" s="9" t="str">
        <f t="shared" ca="1" si="1"/>
        <v xml:space="preserve">  hidden: true</v>
      </c>
      <c r="I9" s="9" t="str">
        <f t="shared" si="2"/>
        <v/>
      </c>
    </row>
    <row r="10" spans="1:9" x14ac:dyDescent="0.45">
      <c r="B10" s="9">
        <f t="shared" si="0"/>
        <v>5</v>
      </c>
      <c r="C10" s="9">
        <f t="shared" ref="C10:C72" si="3">IF(E10=0,C9+1,C9)</f>
        <v>2</v>
      </c>
      <c r="D10" s="22">
        <f>INDEX(entities[Custom Attributes],MATCH('cust-code'!C10,entities[custom entity '#],0))</f>
        <v>1</v>
      </c>
      <c r="E10" s="22">
        <f t="shared" ref="E10:E72" si="4">IF(E9=D9,0,E9+1)</f>
        <v>0</v>
      </c>
      <c r="F10" s="9" t="str">
        <f>IF(E10&gt;0,"",
INDEX(entities[entity_id],MATCH('cust-code'!C10,entities[custom entity '#],0))&amp;":")</f>
        <v>automation.locaway_devices_off_when_away:</v>
      </c>
      <c r="G10" s="9" t="str">
        <f>IF(E10=0,"",
INDEX(entities[[line 1]:[line 4]],MATCH('cust-code'!C10,entities[custom entity '#],0),'cust-code'!E10))</f>
        <v/>
      </c>
      <c r="H10" s="9" t="str">
        <f t="shared" si="1"/>
        <v>automation.locaway_devices_off_when_away:</v>
      </c>
      <c r="I10" s="9" t="str">
        <f t="shared" si="2"/>
        <v/>
      </c>
    </row>
    <row r="11" spans="1:9" x14ac:dyDescent="0.45">
      <c r="B11" s="9">
        <f t="shared" si="0"/>
        <v>6</v>
      </c>
      <c r="C11" s="9">
        <f t="shared" si="3"/>
        <v>2</v>
      </c>
      <c r="D11" s="22">
        <f>INDEX(entities[Custom Attributes],MATCH('cust-code'!C11,entities[custom entity '#],0))</f>
        <v>1</v>
      </c>
      <c r="E11" s="22">
        <f t="shared" si="4"/>
        <v>1</v>
      </c>
      <c r="F11" s="9" t="str">
        <f>IF(E11&gt;0,"",
INDEX(entities[entity_id],MATCH('cust-code'!C11,entities[custom entity '#],0))&amp;":")</f>
        <v/>
      </c>
      <c r="G11" s="9" t="str">
        <f ca="1">IF(E11=0,"",
INDEX(entities[[line 1]:[line 4]],MATCH('cust-code'!C11,entities[custom entity '#],0),'cust-code'!E11))</f>
        <v xml:space="preserve">  hidden: true</v>
      </c>
      <c r="H11" s="9" t="str">
        <f t="shared" ca="1" si="1"/>
        <v xml:space="preserve">  hidden: true</v>
      </c>
      <c r="I11" s="9" t="str">
        <f t="shared" si="2"/>
        <v/>
      </c>
    </row>
    <row r="12" spans="1:9" x14ac:dyDescent="0.45">
      <c r="B12" s="9">
        <f t="shared" si="0"/>
        <v>7</v>
      </c>
      <c r="C12" s="9">
        <f t="shared" si="3"/>
        <v>3</v>
      </c>
      <c r="D12" s="22">
        <f>INDEX(entities[Custom Attributes],MATCH('cust-code'!C12,entities[custom entity '#],0))</f>
        <v>1</v>
      </c>
      <c r="E12" s="22">
        <f t="shared" si="4"/>
        <v>0</v>
      </c>
      <c r="F12" s="9" t="str">
        <f>IF(E12&gt;0,"",
INDEX(entities[entity_id],MATCH('cust-code'!C12,entities[custom entity '#],0))&amp;":")</f>
        <v>automation.locaway_devices_on_desk_off_when_leave_the_computer:</v>
      </c>
      <c r="G12" s="9" t="str">
        <f>IF(E12=0,"",
INDEX(entities[[line 1]:[line 4]],MATCH('cust-code'!C12,entities[custom entity '#],0),'cust-code'!E12))</f>
        <v/>
      </c>
      <c r="H12" s="9" t="str">
        <f t="shared" si="1"/>
        <v>automation.locaway_devices_on_desk_off_when_leave_the_computer:</v>
      </c>
      <c r="I12" s="9" t="str">
        <f t="shared" si="2"/>
        <v/>
      </c>
    </row>
    <row r="13" spans="1:9" x14ac:dyDescent="0.45">
      <c r="B13" s="9">
        <f t="shared" si="0"/>
        <v>8</v>
      </c>
      <c r="C13" s="9">
        <f t="shared" si="3"/>
        <v>3</v>
      </c>
      <c r="D13" s="22">
        <f>INDEX(entities[Custom Attributes],MATCH('cust-code'!C13,entities[custom entity '#],0))</f>
        <v>1</v>
      </c>
      <c r="E13" s="22">
        <f t="shared" si="4"/>
        <v>1</v>
      </c>
      <c r="F13" s="9" t="str">
        <f>IF(E13&gt;0,"",
INDEX(entities[entity_id],MATCH('cust-code'!C13,entities[custom entity '#],0))&amp;":")</f>
        <v/>
      </c>
      <c r="G13" s="9" t="str">
        <f ca="1">IF(E13=0,"",
INDEX(entities[[line 1]:[line 4]],MATCH('cust-code'!C13,entities[custom entity '#],0),'cust-code'!E13))</f>
        <v xml:space="preserve">  hidden: true</v>
      </c>
      <c r="H13" s="9" t="str">
        <f t="shared" ca="1" si="1"/>
        <v xml:space="preserve">  hidden: true</v>
      </c>
      <c r="I13" s="9" t="str">
        <f t="shared" si="2"/>
        <v/>
      </c>
    </row>
    <row r="14" spans="1:9" x14ac:dyDescent="0.45">
      <c r="B14" s="9">
        <f t="shared" si="0"/>
        <v>9</v>
      </c>
      <c r="C14" s="9">
        <f t="shared" si="3"/>
        <v>4</v>
      </c>
      <c r="D14" s="22">
        <f>INDEX(entities[Custom Attributes],MATCH('cust-code'!C14,entities[custom entity '#],0))</f>
        <v>1</v>
      </c>
      <c r="E14" s="22">
        <f t="shared" si="4"/>
        <v>0</v>
      </c>
      <c r="F14" s="9" t="str">
        <f>IF(E14&gt;0,"",
INDEX(entities[entity_id],MATCH('cust-code'!C14,entities[custom entity '#],0))&amp;":")</f>
        <v>automation.not_notification_when_multisensor_battery_is_low:</v>
      </c>
      <c r="G14" s="9" t="str">
        <f>IF(E14=0,"",
INDEX(entities[[line 1]:[line 4]],MATCH('cust-code'!C14,entities[custom entity '#],0),'cust-code'!E14))</f>
        <v/>
      </c>
      <c r="H14" s="9" t="str">
        <f t="shared" si="1"/>
        <v>automation.not_notification_when_multisensor_battery_is_low:</v>
      </c>
      <c r="I14" s="9" t="str">
        <f t="shared" si="2"/>
        <v/>
      </c>
    </row>
    <row r="15" spans="1:9" x14ac:dyDescent="0.45">
      <c r="B15" s="9">
        <f t="shared" si="0"/>
        <v>10</v>
      </c>
      <c r="C15" s="9">
        <f t="shared" si="3"/>
        <v>4</v>
      </c>
      <c r="D15" s="22">
        <f>INDEX(entities[Custom Attributes],MATCH('cust-code'!C15,entities[custom entity '#],0))</f>
        <v>1</v>
      </c>
      <c r="E15" s="22">
        <f t="shared" si="4"/>
        <v>1</v>
      </c>
      <c r="F15" s="9" t="str">
        <f>IF(E15&gt;0,"",
INDEX(entities[entity_id],MATCH('cust-code'!C15,entities[custom entity '#],0))&amp;":")</f>
        <v/>
      </c>
      <c r="G15" s="9" t="str">
        <f ca="1">IF(E15=0,"",
INDEX(entities[[line 1]:[line 4]],MATCH('cust-code'!C15,entities[custom entity '#],0),'cust-code'!E15))</f>
        <v xml:space="preserve">  hidden: true</v>
      </c>
      <c r="H15" s="9" t="str">
        <f t="shared" ca="1" si="1"/>
        <v xml:space="preserve">  hidden: true</v>
      </c>
      <c r="I15" s="9" t="str">
        <f t="shared" si="2"/>
        <v/>
      </c>
    </row>
    <row r="16" spans="1:9" x14ac:dyDescent="0.45">
      <c r="B16" s="9">
        <f t="shared" si="0"/>
        <v>11</v>
      </c>
      <c r="C16" s="9">
        <f t="shared" si="3"/>
        <v>5</v>
      </c>
      <c r="D16" s="22">
        <f>INDEX(entities[Custom Attributes],MATCH('cust-code'!C16,entities[custom entity '#],0))</f>
        <v>1</v>
      </c>
      <c r="E16" s="22">
        <f t="shared" si="4"/>
        <v>0</v>
      </c>
      <c r="F16" s="9" t="str">
        <f>IF(E16&gt;0,"",
INDEX(entities[entity_id],MATCH('cust-code'!C16,entities[custom entity '#],0))&amp;":")</f>
        <v>automation.rmbd_fan_off_at_12_pm:</v>
      </c>
      <c r="G16" s="9" t="str">
        <f>IF(E16=0,"",
INDEX(entities[[line 1]:[line 4]],MATCH('cust-code'!C16,entities[custom entity '#],0),'cust-code'!E16))</f>
        <v/>
      </c>
      <c r="H16" s="9" t="str">
        <f t="shared" si="1"/>
        <v>automation.rmbd_fan_off_at_12_pm:</v>
      </c>
      <c r="I16" s="9" t="str">
        <f t="shared" si="2"/>
        <v/>
      </c>
    </row>
    <row r="17" spans="2:9" x14ac:dyDescent="0.45">
      <c r="B17" s="9">
        <f t="shared" si="0"/>
        <v>12</v>
      </c>
      <c r="C17" s="9">
        <f t="shared" si="3"/>
        <v>5</v>
      </c>
      <c r="D17" s="22">
        <f>INDEX(entities[Custom Attributes],MATCH('cust-code'!C17,entities[custom entity '#],0))</f>
        <v>1</v>
      </c>
      <c r="E17" s="22">
        <f t="shared" si="4"/>
        <v>1</v>
      </c>
      <c r="F17" s="9" t="str">
        <f>IF(E17&gt;0,"",
INDEX(entities[entity_id],MATCH('cust-code'!C17,entities[custom entity '#],0))&amp;":")</f>
        <v/>
      </c>
      <c r="G17" s="9" t="str">
        <f ca="1">IF(E17=0,"",
INDEX(entities[[line 1]:[line 4]],MATCH('cust-code'!C17,entities[custom entity '#],0),'cust-code'!E17))</f>
        <v xml:space="preserve">  hidden: true</v>
      </c>
      <c r="H17" s="9" t="str">
        <f t="shared" ca="1" si="1"/>
        <v xml:space="preserve">  hidden: true</v>
      </c>
      <c r="I17" s="9" t="str">
        <f t="shared" si="2"/>
        <v/>
      </c>
    </row>
    <row r="18" spans="2:9" x14ac:dyDescent="0.45">
      <c r="B18" s="9">
        <f t="shared" si="0"/>
        <v>13</v>
      </c>
      <c r="C18" s="9">
        <f t="shared" si="3"/>
        <v>6</v>
      </c>
      <c r="D18" s="22">
        <f>INDEX(entities[Custom Attributes],MATCH('cust-code'!C18,entities[custom entity '#],0))</f>
        <v>1</v>
      </c>
      <c r="E18" s="22">
        <f t="shared" si="4"/>
        <v>0</v>
      </c>
      <c r="F18" s="9" t="str">
        <f>IF(E18&gt;0,"",
INDEX(entities[entity_id],MATCH('cust-code'!C18,entities[custom entity '#],0))&amp;":")</f>
        <v>automation.rmbd_one_bulb_off_at_sunset:</v>
      </c>
      <c r="G18" s="9" t="str">
        <f>IF(E18=0,"",
INDEX(entities[[line 1]:[line 4]],MATCH('cust-code'!C18,entities[custom entity '#],0),'cust-code'!E18))</f>
        <v/>
      </c>
      <c r="H18" s="9" t="str">
        <f t="shared" si="1"/>
        <v>automation.rmbd_one_bulb_off_at_sunset:</v>
      </c>
      <c r="I18" s="9" t="str">
        <f t="shared" si="2"/>
        <v/>
      </c>
    </row>
    <row r="19" spans="2:9" x14ac:dyDescent="0.45">
      <c r="B19" s="9">
        <f t="shared" si="0"/>
        <v>14</v>
      </c>
      <c r="C19" s="9">
        <f t="shared" si="3"/>
        <v>6</v>
      </c>
      <c r="D19" s="22">
        <f>INDEX(entities[Custom Attributes],MATCH('cust-code'!C19,entities[custom entity '#],0))</f>
        <v>1</v>
      </c>
      <c r="E19" s="22">
        <f t="shared" si="4"/>
        <v>1</v>
      </c>
      <c r="F19" s="9" t="str">
        <f>IF(E19&gt;0,"",
INDEX(entities[entity_id],MATCH('cust-code'!C19,entities[custom entity '#],0))&amp;":")</f>
        <v/>
      </c>
      <c r="G19" s="9" t="str">
        <f ca="1">IF(E19=0,"",
INDEX(entities[[line 1]:[line 4]],MATCH('cust-code'!C19,entities[custom entity '#],0),'cust-code'!E19))</f>
        <v xml:space="preserve">  hidden: true</v>
      </c>
      <c r="H19" s="9" t="str">
        <f t="shared" ca="1" si="1"/>
        <v xml:space="preserve">  hidden: true</v>
      </c>
      <c r="I19" s="9" t="str">
        <f t="shared" si="2"/>
        <v/>
      </c>
    </row>
    <row r="20" spans="2:9" x14ac:dyDescent="0.45">
      <c r="B20" s="9">
        <f t="shared" si="0"/>
        <v>15</v>
      </c>
      <c r="C20" s="9">
        <f t="shared" si="3"/>
        <v>7</v>
      </c>
      <c r="D20" s="22">
        <f>INDEX(entities[Custom Attributes],MATCH('cust-code'!C20,entities[custom entity '#],0))</f>
        <v>1</v>
      </c>
      <c r="E20" s="22">
        <f t="shared" si="4"/>
        <v>0</v>
      </c>
      <c r="F20" s="9" t="str">
        <f>IF(E20&gt;0,"",
INDEX(entities[entity_id],MATCH('cust-code'!C20,entities[custom entity '#],0))&amp;":")</f>
        <v>automation.rmbd_one_bulb_on_with_switch_at_night:</v>
      </c>
      <c r="G20" s="9" t="str">
        <f>IF(E20=0,"",
INDEX(entities[[line 1]:[line 4]],MATCH('cust-code'!C20,entities[custom entity '#],0),'cust-code'!E20))</f>
        <v/>
      </c>
      <c r="H20" s="9" t="str">
        <f t="shared" si="1"/>
        <v>automation.rmbd_one_bulb_on_with_switch_at_night:</v>
      </c>
      <c r="I20" s="9" t="str">
        <f t="shared" si="2"/>
        <v/>
      </c>
    </row>
    <row r="21" spans="2:9" x14ac:dyDescent="0.45">
      <c r="B21" s="9">
        <f t="shared" si="0"/>
        <v>16</v>
      </c>
      <c r="C21" s="9">
        <f t="shared" si="3"/>
        <v>7</v>
      </c>
      <c r="D21" s="22">
        <f>INDEX(entities[Custom Attributes],MATCH('cust-code'!C21,entities[custom entity '#],0))</f>
        <v>1</v>
      </c>
      <c r="E21" s="22">
        <f t="shared" si="4"/>
        <v>1</v>
      </c>
      <c r="F21" s="9" t="str">
        <f>IF(E21&gt;0,"",
INDEX(entities[entity_id],MATCH('cust-code'!C21,entities[custom entity '#],0))&amp;":")</f>
        <v/>
      </c>
      <c r="G21" s="9" t="str">
        <f ca="1">IF(E21=0,"",
INDEX(entities[[line 1]:[line 4]],MATCH('cust-code'!C21,entities[custom entity '#],0),'cust-code'!E21))</f>
        <v xml:space="preserve">  hidden: true</v>
      </c>
      <c r="H21" s="9" t="str">
        <f t="shared" ca="1" si="1"/>
        <v xml:space="preserve">  hidden: true</v>
      </c>
      <c r="I21" s="9" t="str">
        <f t="shared" si="2"/>
        <v/>
      </c>
    </row>
    <row r="22" spans="2:9" x14ac:dyDescent="0.45">
      <c r="B22" s="9">
        <f t="shared" si="0"/>
        <v>17</v>
      </c>
      <c r="C22" s="9">
        <f t="shared" si="3"/>
        <v>8</v>
      </c>
      <c r="D22" s="22">
        <f>INDEX(entities[Custom Attributes],MATCH('cust-code'!C22,entities[custom entity '#],0))</f>
        <v>1</v>
      </c>
      <c r="E22" s="22">
        <f t="shared" si="4"/>
        <v>0</v>
      </c>
      <c r="F22" s="9" t="str">
        <f>IF(E22&gt;0,"",
INDEX(entities[entity_id],MATCH('cust-code'!C22,entities[custom entity '#],0))&amp;":")</f>
        <v>automation.rmlv_amp_off_at_3_am:</v>
      </c>
      <c r="G22" s="9" t="str">
        <f>IF(E22=0,"",
INDEX(entities[[line 1]:[line 4]],MATCH('cust-code'!C22,entities[custom entity '#],0),'cust-code'!E22))</f>
        <v/>
      </c>
      <c r="H22" s="9" t="str">
        <f t="shared" si="1"/>
        <v>automation.rmlv_amp_off_at_3_am:</v>
      </c>
      <c r="I22" s="9" t="str">
        <f t="shared" si="2"/>
        <v/>
      </c>
    </row>
    <row r="23" spans="2:9" x14ac:dyDescent="0.45">
      <c r="B23" s="9">
        <f t="shared" si="0"/>
        <v>18</v>
      </c>
      <c r="C23" s="9">
        <f t="shared" si="3"/>
        <v>8</v>
      </c>
      <c r="D23" s="22">
        <f>INDEX(entities[Custom Attributes],MATCH('cust-code'!C23,entities[custom entity '#],0))</f>
        <v>1</v>
      </c>
      <c r="E23" s="22">
        <f t="shared" si="4"/>
        <v>1</v>
      </c>
      <c r="F23" s="9" t="str">
        <f>IF(E23&gt;0,"",
INDEX(entities[entity_id],MATCH('cust-code'!C23,entities[custom entity '#],0))&amp;":")</f>
        <v/>
      </c>
      <c r="G23" s="9" t="str">
        <f ca="1">IF(E23=0,"",
INDEX(entities[[line 1]:[line 4]],MATCH('cust-code'!C23,entities[custom entity '#],0),'cust-code'!E23))</f>
        <v xml:space="preserve">  hidden: true</v>
      </c>
      <c r="H23" s="9" t="str">
        <f t="shared" ca="1" si="1"/>
        <v xml:space="preserve">  hidden: true</v>
      </c>
      <c r="I23" s="9" t="str">
        <f t="shared" si="2"/>
        <v/>
      </c>
    </row>
    <row r="24" spans="2:9" x14ac:dyDescent="0.45">
      <c r="B24" s="9">
        <f t="shared" si="0"/>
        <v>19</v>
      </c>
      <c r="C24" s="9">
        <f t="shared" si="3"/>
        <v>9</v>
      </c>
      <c r="D24" s="22">
        <f>INDEX(entities[Custom Attributes],MATCH('cust-code'!C24,entities[custom entity '#],0))</f>
        <v>1</v>
      </c>
      <c r="E24" s="22">
        <f t="shared" si="4"/>
        <v>0</v>
      </c>
      <c r="F24" s="9" t="str">
        <f>IF(E24&gt;0,"",
INDEX(entities[entity_id],MATCH('cust-code'!C24,entities[custom entity '#],0))&amp;":")</f>
        <v>automation.rmlv_amp_off_with_humvee:</v>
      </c>
      <c r="G24" s="9" t="str">
        <f>IF(E24=0,"",
INDEX(entities[[line 1]:[line 4]],MATCH('cust-code'!C24,entities[custom entity '#],0),'cust-code'!E24))</f>
        <v/>
      </c>
      <c r="H24" s="9" t="str">
        <f t="shared" si="1"/>
        <v>automation.rmlv_amp_off_with_humvee:</v>
      </c>
      <c r="I24" s="9" t="str">
        <f t="shared" si="2"/>
        <v/>
      </c>
    </row>
    <row r="25" spans="2:9" x14ac:dyDescent="0.45">
      <c r="B25" s="9">
        <f t="shared" si="0"/>
        <v>20</v>
      </c>
      <c r="C25" s="9">
        <f t="shared" si="3"/>
        <v>9</v>
      </c>
      <c r="D25" s="22">
        <f>INDEX(entities[Custom Attributes],MATCH('cust-code'!C25,entities[custom entity '#],0))</f>
        <v>1</v>
      </c>
      <c r="E25" s="22">
        <f t="shared" si="4"/>
        <v>1</v>
      </c>
      <c r="F25" s="9" t="str">
        <f>IF(E25&gt;0,"",
INDEX(entities[entity_id],MATCH('cust-code'!C25,entities[custom entity '#],0))&amp;":")</f>
        <v/>
      </c>
      <c r="G25" s="9" t="str">
        <f ca="1">IF(E25=0,"",
INDEX(entities[[line 1]:[line 4]],MATCH('cust-code'!C25,entities[custom entity '#],0),'cust-code'!E25))</f>
        <v xml:space="preserve">  hidden: true</v>
      </c>
      <c r="H25" s="9" t="str">
        <f t="shared" ca="1" si="1"/>
        <v xml:space="preserve">  hidden: true</v>
      </c>
      <c r="I25" s="9" t="str">
        <f t="shared" si="2"/>
        <v/>
      </c>
    </row>
    <row r="26" spans="2:9" x14ac:dyDescent="0.45">
      <c r="B26" s="9">
        <f t="shared" si="0"/>
        <v>21</v>
      </c>
      <c r="C26" s="9">
        <f t="shared" si="3"/>
        <v>10</v>
      </c>
      <c r="D26" s="22">
        <f>INDEX(entities[Custom Attributes],MATCH('cust-code'!C26,entities[custom entity '#],0))</f>
        <v>1</v>
      </c>
      <c r="E26" s="22">
        <f t="shared" si="4"/>
        <v>0</v>
      </c>
      <c r="F26" s="9" t="str">
        <f>IF(E26&gt;0,"",
INDEX(entities[entity_id],MATCH('cust-code'!C26,entities[custom entity '#],0))&amp;":")</f>
        <v>automation.rmlvtv_chromecast_volume_to_4_on_start:</v>
      </c>
      <c r="G26" s="9" t="str">
        <f>IF(E26=0,"",
INDEX(entities[[line 1]:[line 4]],MATCH('cust-code'!C26,entities[custom entity '#],0),'cust-code'!E26))</f>
        <v/>
      </c>
      <c r="H26" s="9" t="str">
        <f t="shared" si="1"/>
        <v>automation.rmlvtv_chromecast_volume_to_4_on_start:</v>
      </c>
      <c r="I26" s="9" t="str">
        <f t="shared" si="2"/>
        <v/>
      </c>
    </row>
    <row r="27" spans="2:9" x14ac:dyDescent="0.45">
      <c r="B27" s="9">
        <f t="shared" si="0"/>
        <v>22</v>
      </c>
      <c r="C27" s="9">
        <f t="shared" si="3"/>
        <v>10</v>
      </c>
      <c r="D27" s="22">
        <f>INDEX(entities[Custom Attributes],MATCH('cust-code'!C27,entities[custom entity '#],0))</f>
        <v>1</v>
      </c>
      <c r="E27" s="22">
        <f t="shared" si="4"/>
        <v>1</v>
      </c>
      <c r="F27" s="9" t="str">
        <f>IF(E27&gt;0,"",
INDEX(entities[entity_id],MATCH('cust-code'!C27,entities[custom entity '#],0))&amp;":")</f>
        <v/>
      </c>
      <c r="G27" s="9" t="str">
        <f ca="1">IF(E27=0,"",
INDEX(entities[[line 1]:[line 4]],MATCH('cust-code'!C27,entities[custom entity '#],0),'cust-code'!E27))</f>
        <v xml:space="preserve">  hidden: true</v>
      </c>
      <c r="H27" s="9" t="str">
        <f t="shared" ca="1" si="1"/>
        <v xml:space="preserve">  hidden: true</v>
      </c>
      <c r="I27" s="9" t="str">
        <f t="shared" si="2"/>
        <v/>
      </c>
    </row>
    <row r="28" spans="2:9" x14ac:dyDescent="0.45">
      <c r="B28" s="9">
        <f t="shared" si="0"/>
        <v>23</v>
      </c>
      <c r="C28" s="9">
        <f t="shared" si="3"/>
        <v>11</v>
      </c>
      <c r="D28" s="22">
        <f>INDEX(entities[Custom Attributes],MATCH('cust-code'!C28,entities[custom entity '#],0))</f>
        <v>1</v>
      </c>
      <c r="E28" s="22">
        <f t="shared" si="4"/>
        <v>0</v>
      </c>
      <c r="F28" s="9" t="str">
        <f>IF(E28&gt;0,"",
INDEX(entities[entity_id],MATCH('cust-code'!C28,entities[custom entity '#],0))&amp;":")</f>
        <v>automation.rmlvtv_tv_off_with_chromecast_from_idle:</v>
      </c>
      <c r="G28" s="9" t="str">
        <f>IF(E28=0,"",
INDEX(entities[[line 1]:[line 4]],MATCH('cust-code'!C28,entities[custom entity '#],0),'cust-code'!E28))</f>
        <v/>
      </c>
      <c r="H28" s="9" t="str">
        <f t="shared" si="1"/>
        <v>automation.rmlvtv_tv_off_with_chromecast_from_idle:</v>
      </c>
      <c r="I28" s="9" t="str">
        <f t="shared" si="2"/>
        <v/>
      </c>
    </row>
    <row r="29" spans="2:9" x14ac:dyDescent="0.45">
      <c r="B29" s="9">
        <f t="shared" si="0"/>
        <v>24</v>
      </c>
      <c r="C29" s="9">
        <f t="shared" si="3"/>
        <v>11</v>
      </c>
      <c r="D29" s="22">
        <f>INDEX(entities[Custom Attributes],MATCH('cust-code'!C29,entities[custom entity '#],0))</f>
        <v>1</v>
      </c>
      <c r="E29" s="22">
        <f t="shared" si="4"/>
        <v>1</v>
      </c>
      <c r="F29" s="9" t="str">
        <f>IF(E29&gt;0,"",
INDEX(entities[entity_id],MATCH('cust-code'!C29,entities[custom entity '#],0))&amp;":")</f>
        <v/>
      </c>
      <c r="G29" s="9" t="str">
        <f ca="1">IF(E29=0,"",
INDEX(entities[[line 1]:[line 4]],MATCH('cust-code'!C29,entities[custom entity '#],0),'cust-code'!E29))</f>
        <v xml:space="preserve">  hidden: true</v>
      </c>
      <c r="H29" s="9" t="str">
        <f t="shared" ca="1" si="1"/>
        <v xml:space="preserve">  hidden: true</v>
      </c>
      <c r="I29" s="9" t="str">
        <f t="shared" si="2"/>
        <v/>
      </c>
    </row>
    <row r="30" spans="2:9" x14ac:dyDescent="0.45">
      <c r="B30" s="9">
        <f t="shared" si="0"/>
        <v>25</v>
      </c>
      <c r="C30" s="9">
        <f t="shared" si="3"/>
        <v>12</v>
      </c>
      <c r="D30" s="22">
        <f>INDEX(entities[Custom Attributes],MATCH('cust-code'!C30,entities[custom entity '#],0))</f>
        <v>1</v>
      </c>
      <c r="E30" s="22">
        <f t="shared" si="4"/>
        <v>0</v>
      </c>
      <c r="F30" s="9" t="str">
        <f>IF(E30&gt;0,"",
INDEX(entities[entity_id],MATCH('cust-code'!C30,entities[custom entity '#],0))&amp;":")</f>
        <v>automation.rmlvtv_tv_off_with_chromecast_from_paused:</v>
      </c>
      <c r="G30" s="9" t="str">
        <f>IF(E30=0,"",
INDEX(entities[[line 1]:[line 4]],MATCH('cust-code'!C30,entities[custom entity '#],0),'cust-code'!E30))</f>
        <v/>
      </c>
      <c r="H30" s="9" t="str">
        <f t="shared" si="1"/>
        <v>automation.rmlvtv_tv_off_with_chromecast_from_paused:</v>
      </c>
      <c r="I30" s="9" t="str">
        <f t="shared" si="2"/>
        <v/>
      </c>
    </row>
    <row r="31" spans="2:9" x14ac:dyDescent="0.45">
      <c r="B31" s="9">
        <f t="shared" si="0"/>
        <v>26</v>
      </c>
      <c r="C31" s="9">
        <f t="shared" si="3"/>
        <v>12</v>
      </c>
      <c r="D31" s="22">
        <f>INDEX(entities[Custom Attributes],MATCH('cust-code'!C31,entities[custom entity '#],0))</f>
        <v>1</v>
      </c>
      <c r="E31" s="22">
        <f t="shared" si="4"/>
        <v>1</v>
      </c>
      <c r="F31" s="9" t="str">
        <f>IF(E31&gt;0,"",
INDEX(entities[entity_id],MATCH('cust-code'!C31,entities[custom entity '#],0))&amp;":")</f>
        <v/>
      </c>
      <c r="G31" s="9" t="str">
        <f ca="1">IF(E31=0,"",
INDEX(entities[[line 1]:[line 4]],MATCH('cust-code'!C31,entities[custom entity '#],0),'cust-code'!E31))</f>
        <v xml:space="preserve">  hidden: true</v>
      </c>
      <c r="H31" s="9" t="str">
        <f t="shared" ca="1" si="1"/>
        <v xml:space="preserve">  hidden: true</v>
      </c>
      <c r="I31" s="9" t="str">
        <f t="shared" si="2"/>
        <v/>
      </c>
    </row>
    <row r="32" spans="2:9" x14ac:dyDescent="0.45">
      <c r="B32" s="9">
        <f t="shared" si="0"/>
        <v>27</v>
      </c>
      <c r="C32" s="9">
        <f t="shared" si="3"/>
        <v>13</v>
      </c>
      <c r="D32" s="22">
        <f>INDEX(entities[Custom Attributes],MATCH('cust-code'!C32,entities[custom entity '#],0))</f>
        <v>1</v>
      </c>
      <c r="E32" s="22">
        <f t="shared" si="4"/>
        <v>0</v>
      </c>
      <c r="F32" s="9" t="str">
        <f>IF(E32&gt;0,"",
INDEX(entities[entity_id],MATCH('cust-code'!C32,entities[custom entity '#],0))&amp;":")</f>
        <v>automation.rmlvtv_tv_off_with_chromecast_from_playing:</v>
      </c>
      <c r="G32" s="9" t="str">
        <f>IF(E32=0,"",
INDEX(entities[[line 1]:[line 4]],MATCH('cust-code'!C32,entities[custom entity '#],0),'cust-code'!E32))</f>
        <v/>
      </c>
      <c r="H32" s="9" t="str">
        <f t="shared" si="1"/>
        <v>automation.rmlvtv_tv_off_with_chromecast_from_playing:</v>
      </c>
      <c r="I32" s="9" t="str">
        <f t="shared" si="2"/>
        <v/>
      </c>
    </row>
    <row r="33" spans="2:9" x14ac:dyDescent="0.45">
      <c r="B33" s="9">
        <f t="shared" si="0"/>
        <v>28</v>
      </c>
      <c r="C33" s="9">
        <f t="shared" si="3"/>
        <v>13</v>
      </c>
      <c r="D33" s="22">
        <f>INDEX(entities[Custom Attributes],MATCH('cust-code'!C33,entities[custom entity '#],0))</f>
        <v>1</v>
      </c>
      <c r="E33" s="22">
        <f t="shared" si="4"/>
        <v>1</v>
      </c>
      <c r="F33" s="9" t="str">
        <f>IF(E33&gt;0,"",
INDEX(entities[entity_id],MATCH('cust-code'!C33,entities[custom entity '#],0))&amp;":")</f>
        <v/>
      </c>
      <c r="G33" s="9" t="str">
        <f ca="1">IF(E33=0,"",
INDEX(entities[[line 1]:[line 4]],MATCH('cust-code'!C33,entities[custom entity '#],0),'cust-code'!E33))</f>
        <v xml:space="preserve">  hidden: true</v>
      </c>
      <c r="H33" s="9" t="str">
        <f t="shared" ca="1" si="1"/>
        <v xml:space="preserve">  hidden: true</v>
      </c>
      <c r="I33" s="9" t="str">
        <f t="shared" si="2"/>
        <v/>
      </c>
    </row>
    <row r="34" spans="2:9" x14ac:dyDescent="0.45">
      <c r="B34" s="9">
        <f t="shared" si="0"/>
        <v>29</v>
      </c>
      <c r="C34" s="9">
        <f t="shared" si="3"/>
        <v>14</v>
      </c>
      <c r="D34" s="22">
        <f>INDEX(entities[Custom Attributes],MATCH('cust-code'!C34,entities[custom entity '#],0))</f>
        <v>1</v>
      </c>
      <c r="E34" s="22">
        <f t="shared" si="4"/>
        <v>0</v>
      </c>
      <c r="F34" s="9" t="str">
        <f>IF(E34&gt;0,"",
INDEX(entities[entity_id],MATCH('cust-code'!C34,entities[custom entity '#],0))&amp;":")</f>
        <v>automation.rmlvtv_tv_on_with_chromecast:</v>
      </c>
      <c r="G34" s="9" t="str">
        <f>IF(E34=0,"",
INDEX(entities[[line 1]:[line 4]],MATCH('cust-code'!C34,entities[custom entity '#],0),'cust-code'!E34))</f>
        <v/>
      </c>
      <c r="H34" s="9" t="str">
        <f t="shared" si="1"/>
        <v>automation.rmlvtv_tv_on_with_chromecast:</v>
      </c>
      <c r="I34" s="9" t="str">
        <f t="shared" si="2"/>
        <v/>
      </c>
    </row>
    <row r="35" spans="2:9" x14ac:dyDescent="0.45">
      <c r="B35" s="9">
        <f t="shared" si="0"/>
        <v>30</v>
      </c>
      <c r="C35" s="9">
        <f t="shared" si="3"/>
        <v>14</v>
      </c>
      <c r="D35" s="22">
        <f>INDEX(entities[Custom Attributes],MATCH('cust-code'!C35,entities[custom entity '#],0))</f>
        <v>1</v>
      </c>
      <c r="E35" s="22">
        <f t="shared" si="4"/>
        <v>1</v>
      </c>
      <c r="F35" s="9" t="str">
        <f>IF(E35&gt;0,"",
INDEX(entities[entity_id],MATCH('cust-code'!C35,entities[custom entity '#],0))&amp;":")</f>
        <v/>
      </c>
      <c r="G35" s="9" t="str">
        <f ca="1">IF(E35=0,"",
INDEX(entities[[line 1]:[line 4]],MATCH('cust-code'!C35,entities[custom entity '#],0),'cust-code'!E35))</f>
        <v xml:space="preserve">  hidden: true</v>
      </c>
      <c r="H35" s="9" t="str">
        <f t="shared" ca="1" si="1"/>
        <v xml:space="preserve">  hidden: true</v>
      </c>
      <c r="I35" s="9" t="str">
        <f t="shared" si="2"/>
        <v/>
      </c>
    </row>
    <row r="36" spans="2:9" x14ac:dyDescent="0.45">
      <c r="B36" s="9">
        <f t="shared" si="0"/>
        <v>31</v>
      </c>
      <c r="C36" s="9">
        <f t="shared" si="3"/>
        <v>15</v>
      </c>
      <c r="D36" s="22">
        <f>INDEX(entities[Custom Attributes],MATCH('cust-code'!C36,entities[custom entity '#],0))</f>
        <v>1</v>
      </c>
      <c r="E36" s="22">
        <f t="shared" si="4"/>
        <v>0</v>
      </c>
      <c r="F36" s="9" t="str">
        <f>IF(E36&gt;0,"",
INDEX(entities[entity_id],MATCH('cust-code'!C36,entities[custom entity '#],0))&amp;":")</f>
        <v>automation.statfriend_friend_visiting_off_from_device_tracker:</v>
      </c>
      <c r="G36" s="9" t="str">
        <f>IF(E36=0,"",
INDEX(entities[[line 1]:[line 4]],MATCH('cust-code'!C36,entities[custom entity '#],0),'cust-code'!E36))</f>
        <v/>
      </c>
      <c r="H36" s="9" t="str">
        <f t="shared" si="1"/>
        <v>automation.statfriend_friend_visiting_off_from_device_tracker:</v>
      </c>
      <c r="I36" s="9" t="str">
        <f t="shared" si="2"/>
        <v/>
      </c>
    </row>
    <row r="37" spans="2:9" x14ac:dyDescent="0.45">
      <c r="B37" s="9">
        <f t="shared" si="0"/>
        <v>32</v>
      </c>
      <c r="C37" s="9">
        <f t="shared" si="3"/>
        <v>15</v>
      </c>
      <c r="D37" s="22">
        <f>INDEX(entities[Custom Attributes],MATCH('cust-code'!C37,entities[custom entity '#],0))</f>
        <v>1</v>
      </c>
      <c r="E37" s="22">
        <f t="shared" si="4"/>
        <v>1</v>
      </c>
      <c r="F37" s="9" t="str">
        <f>IF(E37&gt;0,"",
INDEX(entities[entity_id],MATCH('cust-code'!C37,entities[custom entity '#],0))&amp;":")</f>
        <v/>
      </c>
      <c r="G37" s="9" t="str">
        <f ca="1">IF(E37=0,"",
INDEX(entities[[line 1]:[line 4]],MATCH('cust-code'!C37,entities[custom entity '#],0),'cust-code'!E37))</f>
        <v xml:space="preserve">  hidden: true</v>
      </c>
      <c r="H37" s="9" t="str">
        <f t="shared" ca="1" si="1"/>
        <v xml:space="preserve">  hidden: true</v>
      </c>
      <c r="I37" s="9" t="str">
        <f t="shared" si="2"/>
        <v/>
      </c>
    </row>
    <row r="38" spans="2:9" x14ac:dyDescent="0.45">
      <c r="B38" s="9">
        <f t="shared" si="0"/>
        <v>33</v>
      </c>
      <c r="C38" s="9">
        <f t="shared" si="3"/>
        <v>16</v>
      </c>
      <c r="D38" s="22">
        <f>INDEX(entities[Custom Attributes],MATCH('cust-code'!C38,entities[custom entity '#],0))</f>
        <v>1</v>
      </c>
      <c r="E38" s="22">
        <f t="shared" si="4"/>
        <v>0</v>
      </c>
      <c r="F38" s="9" t="str">
        <f>IF(E38&gt;0,"",
INDEX(entities[entity_id],MATCH('cust-code'!C38,entities[custom entity '#],0))&amp;":")</f>
        <v>automation.statfriend_friend_visiting_on_from_device_tracker:</v>
      </c>
      <c r="G38" s="9" t="str">
        <f>IF(E38=0,"",
INDEX(entities[[line 1]:[line 4]],MATCH('cust-code'!C38,entities[custom entity '#],0),'cust-code'!E38))</f>
        <v/>
      </c>
      <c r="H38" s="9" t="str">
        <f t="shared" si="1"/>
        <v>automation.statfriend_friend_visiting_on_from_device_tracker:</v>
      </c>
      <c r="I38" s="9" t="str">
        <f t="shared" si="2"/>
        <v/>
      </c>
    </row>
    <row r="39" spans="2:9" x14ac:dyDescent="0.45">
      <c r="B39" s="9">
        <f t="shared" si="0"/>
        <v>34</v>
      </c>
      <c r="C39" s="9">
        <f t="shared" si="3"/>
        <v>16</v>
      </c>
      <c r="D39" s="22">
        <f>INDEX(entities[Custom Attributes],MATCH('cust-code'!C39,entities[custom entity '#],0))</f>
        <v>1</v>
      </c>
      <c r="E39" s="22">
        <f t="shared" si="4"/>
        <v>1</v>
      </c>
      <c r="F39" s="9" t="str">
        <f>IF(E39&gt;0,"",
INDEX(entities[entity_id],MATCH('cust-code'!C39,entities[custom entity '#],0))&amp;":")</f>
        <v/>
      </c>
      <c r="G39" s="9" t="str">
        <f ca="1">IF(E39=0,"",
INDEX(entities[[line 1]:[line 4]],MATCH('cust-code'!C39,entities[custom entity '#],0),'cust-code'!E39))</f>
        <v xml:space="preserve">  hidden: true</v>
      </c>
      <c r="H39" s="9" t="str">
        <f t="shared" ca="1" si="1"/>
        <v xml:space="preserve">  hidden: true</v>
      </c>
      <c r="I39" s="9" t="str">
        <f t="shared" si="2"/>
        <v/>
      </c>
    </row>
    <row r="40" spans="2:9" x14ac:dyDescent="0.45">
      <c r="B40" s="9">
        <f t="shared" si="0"/>
        <v>35</v>
      </c>
      <c r="C40" s="9">
        <f t="shared" si="3"/>
        <v>17</v>
      </c>
      <c r="D40" s="22">
        <f>INDEX(entities[Custom Attributes],MATCH('cust-code'!C40,entities[custom entity '#],0))</f>
        <v>1</v>
      </c>
      <c r="E40" s="22">
        <f t="shared" si="4"/>
        <v>0</v>
      </c>
      <c r="F40" s="9" t="str">
        <f>IF(E40&gt;0,"",
INDEX(entities[entity_id],MATCH('cust-code'!C40,entities[custom entity '#],0))&amp;":")</f>
        <v>automation.statron_away_status_from_device_tracker:</v>
      </c>
      <c r="G40" s="9" t="str">
        <f>IF(E40=0,"",
INDEX(entities[[line 1]:[line 4]],MATCH('cust-code'!C40,entities[custom entity '#],0),'cust-code'!E40))</f>
        <v/>
      </c>
      <c r="H40" s="9" t="str">
        <f t="shared" si="1"/>
        <v>automation.statron_away_status_from_device_tracker:</v>
      </c>
      <c r="I40" s="9" t="str">
        <f t="shared" si="2"/>
        <v/>
      </c>
    </row>
    <row r="41" spans="2:9" x14ac:dyDescent="0.45">
      <c r="B41" s="9">
        <f t="shared" si="0"/>
        <v>36</v>
      </c>
      <c r="C41" s="9">
        <f t="shared" si="3"/>
        <v>17</v>
      </c>
      <c r="D41" s="22">
        <f>INDEX(entities[Custom Attributes],MATCH('cust-code'!C41,entities[custom entity '#],0))</f>
        <v>1</v>
      </c>
      <c r="E41" s="22">
        <f t="shared" si="4"/>
        <v>1</v>
      </c>
      <c r="F41" s="9" t="str">
        <f>IF(E41&gt;0,"",
INDEX(entities[entity_id],MATCH('cust-code'!C41,entities[custom entity '#],0))&amp;":")</f>
        <v/>
      </c>
      <c r="G41" s="9" t="str">
        <f ca="1">IF(E41=0,"",
INDEX(entities[[line 1]:[line 4]],MATCH('cust-code'!C41,entities[custom entity '#],0),'cust-code'!E41))</f>
        <v xml:space="preserve">  hidden: true</v>
      </c>
      <c r="H41" s="9" t="str">
        <f t="shared" ca="1" si="1"/>
        <v xml:space="preserve">  hidden: true</v>
      </c>
      <c r="I41" s="9" t="str">
        <f t="shared" si="2"/>
        <v/>
      </c>
    </row>
    <row r="42" spans="2:9" x14ac:dyDescent="0.45">
      <c r="B42" s="9">
        <f t="shared" si="0"/>
        <v>37</v>
      </c>
      <c r="C42" s="9">
        <f t="shared" si="3"/>
        <v>18</v>
      </c>
      <c r="D42" s="22">
        <f>INDEX(entities[Custom Attributes],MATCH('cust-code'!C42,entities[custom entity '#],0))</f>
        <v>1</v>
      </c>
      <c r="E42" s="22">
        <f t="shared" si="4"/>
        <v>0</v>
      </c>
      <c r="F42" s="9" t="str">
        <f>IF(E42&gt;0,"",
INDEX(entities[entity_id],MATCH('cust-code'!C42,entities[custom entity '#],0))&amp;":")</f>
        <v>automation.statron_computer_status_from_monitor_status:</v>
      </c>
      <c r="G42" s="9" t="str">
        <f>IF(E42=0,"",
INDEX(entities[[line 1]:[line 4]],MATCH('cust-code'!C42,entities[custom entity '#],0),'cust-code'!E42))</f>
        <v/>
      </c>
      <c r="H42" s="9" t="str">
        <f t="shared" si="1"/>
        <v>automation.statron_computer_status_from_monitor_status:</v>
      </c>
      <c r="I42" s="9" t="str">
        <f t="shared" si="2"/>
        <v/>
      </c>
    </row>
    <row r="43" spans="2:9" x14ac:dyDescent="0.45">
      <c r="B43" s="9">
        <f t="shared" si="0"/>
        <v>38</v>
      </c>
      <c r="C43" s="9">
        <f t="shared" si="3"/>
        <v>18</v>
      </c>
      <c r="D43" s="22">
        <f>INDEX(entities[Custom Attributes],MATCH('cust-code'!C43,entities[custom entity '#],0))</f>
        <v>1</v>
      </c>
      <c r="E43" s="22">
        <f t="shared" si="4"/>
        <v>1</v>
      </c>
      <c r="F43" s="9" t="str">
        <f>IF(E43&gt;0,"",
INDEX(entities[entity_id],MATCH('cust-code'!C43,entities[custom entity '#],0))&amp;":")</f>
        <v/>
      </c>
      <c r="G43" s="9" t="str">
        <f ca="1">IF(E43=0,"",
INDEX(entities[[line 1]:[line 4]],MATCH('cust-code'!C43,entities[custom entity '#],0),'cust-code'!E43))</f>
        <v xml:space="preserve">  hidden: true</v>
      </c>
      <c r="H43" s="9" t="str">
        <f t="shared" ca="1" si="1"/>
        <v xml:space="preserve">  hidden: true</v>
      </c>
      <c r="I43" s="9" t="str">
        <f t="shared" si="2"/>
        <v/>
      </c>
    </row>
    <row r="44" spans="2:9" x14ac:dyDescent="0.45">
      <c r="B44" s="9">
        <f t="shared" si="0"/>
        <v>39</v>
      </c>
      <c r="C44" s="9">
        <f t="shared" si="3"/>
        <v>19</v>
      </c>
      <c r="D44" s="22">
        <f>INDEX(entities[Custom Attributes],MATCH('cust-code'!C44,entities[custom entity '#],0))</f>
        <v>1</v>
      </c>
      <c r="E44" s="22">
        <f t="shared" si="4"/>
        <v>0</v>
      </c>
      <c r="F44" s="9" t="str">
        <f>IF(E44&gt;0,"",
INDEX(entities[entity_id],MATCH('cust-code'!C44,entities[custom entity '#],0))&amp;":")</f>
        <v>automation.statron_home_status_from_device_tracker:</v>
      </c>
      <c r="G44" s="9" t="str">
        <f>IF(E44=0,"",
INDEX(entities[[line 1]:[line 4]],MATCH('cust-code'!C44,entities[custom entity '#],0),'cust-code'!E44))</f>
        <v/>
      </c>
      <c r="H44" s="9" t="str">
        <f t="shared" si="1"/>
        <v>automation.statron_home_status_from_device_tracker:</v>
      </c>
      <c r="I44" s="9" t="str">
        <f t="shared" si="2"/>
        <v/>
      </c>
    </row>
    <row r="45" spans="2:9" x14ac:dyDescent="0.45">
      <c r="B45" s="9">
        <f t="shared" si="0"/>
        <v>40</v>
      </c>
      <c r="C45" s="9">
        <f t="shared" si="3"/>
        <v>19</v>
      </c>
      <c r="D45" s="22">
        <f>INDEX(entities[Custom Attributes],MATCH('cust-code'!C45,entities[custom entity '#],0))</f>
        <v>1</v>
      </c>
      <c r="E45" s="22">
        <f t="shared" si="4"/>
        <v>1</v>
      </c>
      <c r="F45" s="9" t="str">
        <f>IF(E45&gt;0,"",
INDEX(entities[entity_id],MATCH('cust-code'!C45,entities[custom entity '#],0))&amp;":")</f>
        <v/>
      </c>
      <c r="G45" s="9" t="str">
        <f ca="1">IF(E45=0,"",
INDEX(entities[[line 1]:[line 4]],MATCH('cust-code'!C45,entities[custom entity '#],0),'cust-code'!E45))</f>
        <v xml:space="preserve">  hidden: true</v>
      </c>
      <c r="H45" s="9" t="str">
        <f t="shared" ca="1" si="1"/>
        <v xml:space="preserve">  hidden: true</v>
      </c>
      <c r="I45" s="9" t="str">
        <f t="shared" si="2"/>
        <v/>
      </c>
    </row>
    <row r="46" spans="2:9" x14ac:dyDescent="0.45">
      <c r="B46" s="9">
        <f t="shared" si="0"/>
        <v>41</v>
      </c>
      <c r="C46" s="9">
        <f t="shared" si="3"/>
        <v>20</v>
      </c>
      <c r="D46" s="22">
        <f>INDEX(entities[Custom Attributes],MATCH('cust-code'!C46,entities[custom entity '#],0))</f>
        <v>1</v>
      </c>
      <c r="E46" s="22">
        <f t="shared" si="4"/>
        <v>0</v>
      </c>
      <c r="F46" s="9" t="str">
        <f>IF(E46&gt;0,"",
INDEX(entities[entity_id],MATCH('cust-code'!C46,entities[custom entity '#],0))&amp;":")</f>
        <v>automation.statron_home_status_from_monitor_status:</v>
      </c>
      <c r="G46" s="9" t="str">
        <f>IF(E46=0,"",
INDEX(entities[[line 1]:[line 4]],MATCH('cust-code'!C46,entities[custom entity '#],0),'cust-code'!E46))</f>
        <v/>
      </c>
      <c r="H46" s="9" t="str">
        <f t="shared" si="1"/>
        <v>automation.statron_home_status_from_monitor_status:</v>
      </c>
      <c r="I46" s="9" t="str">
        <f t="shared" si="2"/>
        <v/>
      </c>
    </row>
    <row r="47" spans="2:9" x14ac:dyDescent="0.45">
      <c r="B47" s="9">
        <f t="shared" si="0"/>
        <v>42</v>
      </c>
      <c r="C47" s="9">
        <f t="shared" si="3"/>
        <v>20</v>
      </c>
      <c r="D47" s="22">
        <f>INDEX(entities[Custom Attributes],MATCH('cust-code'!C47,entities[custom entity '#],0))</f>
        <v>1</v>
      </c>
      <c r="E47" s="22">
        <f t="shared" si="4"/>
        <v>1</v>
      </c>
      <c r="F47" s="9" t="str">
        <f>IF(E47&gt;0,"",
INDEX(entities[entity_id],MATCH('cust-code'!C47,entities[custom entity '#],0))&amp;":")</f>
        <v/>
      </c>
      <c r="G47" s="9" t="str">
        <f ca="1">IF(E47=0,"",
INDEX(entities[[line 1]:[line 4]],MATCH('cust-code'!C47,entities[custom entity '#],0),'cust-code'!E47))</f>
        <v xml:space="preserve">  hidden: true</v>
      </c>
      <c r="H47" s="9" t="str">
        <f t="shared" ca="1" si="1"/>
        <v xml:space="preserve">  hidden: true</v>
      </c>
      <c r="I47" s="9" t="str">
        <f t="shared" si="2"/>
        <v/>
      </c>
    </row>
    <row r="48" spans="2:9" x14ac:dyDescent="0.45">
      <c r="B48" s="9">
        <f t="shared" si="0"/>
        <v>43</v>
      </c>
      <c r="C48" s="9">
        <f t="shared" si="3"/>
        <v>21</v>
      </c>
      <c r="D48" s="22">
        <f>INDEX(entities[Custom Attributes],MATCH('cust-code'!C48,entities[custom entity '#],0))</f>
        <v>1</v>
      </c>
      <c r="E48" s="22">
        <f t="shared" si="4"/>
        <v>0</v>
      </c>
      <c r="F48" s="9" t="str">
        <f>IF(E48&gt;0,"",
INDEX(entities[entity_id],MATCH('cust-code'!C48,entities[custom entity '#],0))&amp;":")</f>
        <v>automation.statron_tv_status_from_chromecast:</v>
      </c>
      <c r="G48" s="9" t="str">
        <f>IF(E48=0,"",
INDEX(entities[[line 1]:[line 4]],MATCH('cust-code'!C48,entities[custom entity '#],0),'cust-code'!E48))</f>
        <v/>
      </c>
      <c r="H48" s="9" t="str">
        <f t="shared" si="1"/>
        <v>automation.statron_tv_status_from_chromecast:</v>
      </c>
      <c r="I48" s="9" t="str">
        <f t="shared" si="2"/>
        <v/>
      </c>
    </row>
    <row r="49" spans="2:9" x14ac:dyDescent="0.45">
      <c r="B49" s="9">
        <f t="shared" si="0"/>
        <v>44</v>
      </c>
      <c r="C49" s="9">
        <f t="shared" si="3"/>
        <v>21</v>
      </c>
      <c r="D49" s="22">
        <f>INDEX(entities[Custom Attributes],MATCH('cust-code'!C49,entities[custom entity '#],0))</f>
        <v>1</v>
      </c>
      <c r="E49" s="22">
        <f t="shared" si="4"/>
        <v>1</v>
      </c>
      <c r="F49" s="9" t="str">
        <f>IF(E49&gt;0,"",
INDEX(entities[entity_id],MATCH('cust-code'!C49,entities[custom entity '#],0))&amp;":")</f>
        <v/>
      </c>
      <c r="G49" s="9" t="str">
        <f ca="1">IF(E49=0,"",
INDEX(entities[[line 1]:[line 4]],MATCH('cust-code'!C49,entities[custom entity '#],0),'cust-code'!E49))</f>
        <v xml:space="preserve">  hidden: true</v>
      </c>
      <c r="H49" s="9" t="str">
        <f t="shared" ca="1" si="1"/>
        <v xml:space="preserve">  hidden: true</v>
      </c>
      <c r="I49" s="9" t="str">
        <f t="shared" si="2"/>
        <v/>
      </c>
    </row>
    <row r="50" spans="2:9" x14ac:dyDescent="0.45">
      <c r="B50" s="9">
        <f t="shared" si="0"/>
        <v>45</v>
      </c>
      <c r="C50" s="9">
        <f t="shared" si="3"/>
        <v>22</v>
      </c>
      <c r="D50" s="22">
        <f>INDEX(entities[Custom Attributes],MATCH('cust-code'!C50,entities[custom entity '#],0))</f>
        <v>1</v>
      </c>
      <c r="E50" s="22">
        <f t="shared" si="4"/>
        <v>0</v>
      </c>
      <c r="F50" s="9" t="str">
        <f>IF(E50&gt;0,"",
INDEX(entities[entity_id],MATCH('cust-code'!C50,entities[custom entity '#],0))&amp;":")</f>
        <v>automation.statvac_vacation_lights_at_sunset_when_vacation_mode_on:</v>
      </c>
      <c r="G50" s="9" t="str">
        <f>IF(E50=0,"",
INDEX(entities[[line 1]:[line 4]],MATCH('cust-code'!C50,entities[custom entity '#],0),'cust-code'!E50))</f>
        <v/>
      </c>
      <c r="H50" s="9" t="str">
        <f t="shared" si="1"/>
        <v>automation.statvac_vacation_lights_at_sunset_when_vacation_mode_on:</v>
      </c>
      <c r="I50" s="9" t="str">
        <f t="shared" si="2"/>
        <v/>
      </c>
    </row>
    <row r="51" spans="2:9" x14ac:dyDescent="0.45">
      <c r="B51" s="9">
        <f t="shared" si="0"/>
        <v>46</v>
      </c>
      <c r="C51" s="9">
        <f t="shared" si="3"/>
        <v>22</v>
      </c>
      <c r="D51" s="22">
        <f>INDEX(entities[Custom Attributes],MATCH('cust-code'!C51,entities[custom entity '#],0))</f>
        <v>1</v>
      </c>
      <c r="E51" s="22">
        <f t="shared" si="4"/>
        <v>1</v>
      </c>
      <c r="F51" s="9" t="str">
        <f>IF(E51&gt;0,"",
INDEX(entities[entity_id],MATCH('cust-code'!C51,entities[custom entity '#],0))&amp;":")</f>
        <v/>
      </c>
      <c r="G51" s="9" t="str">
        <f ca="1">IF(E51=0,"",
INDEX(entities[[line 1]:[line 4]],MATCH('cust-code'!C51,entities[custom entity '#],0),'cust-code'!E51))</f>
        <v xml:space="preserve">  hidden: true</v>
      </c>
      <c r="H51" s="9" t="str">
        <f t="shared" ca="1" si="1"/>
        <v xml:space="preserve">  hidden: true</v>
      </c>
      <c r="I51" s="9" t="str">
        <f t="shared" si="2"/>
        <v/>
      </c>
    </row>
    <row r="52" spans="2:9" x14ac:dyDescent="0.45">
      <c r="B52" s="9">
        <f t="shared" si="0"/>
        <v>47</v>
      </c>
      <c r="C52" s="9">
        <f t="shared" si="3"/>
        <v>23</v>
      </c>
      <c r="D52" s="22">
        <f>INDEX(entities[Custom Attributes],MATCH('cust-code'!C52,entities[custom entity '#],0))</f>
        <v>1</v>
      </c>
      <c r="E52" s="22">
        <f t="shared" si="4"/>
        <v>0</v>
      </c>
      <c r="F52" s="9" t="str">
        <f>IF(E52&gt;0,"",
INDEX(entities[entity_id],MATCH('cust-code'!C52,entities[custom entity '#],0))&amp;":")</f>
        <v>automation.statvac_vacation_mode_off_when_home:</v>
      </c>
      <c r="G52" s="9" t="str">
        <f>IF(E52=0,"",
INDEX(entities[[line 1]:[line 4]],MATCH('cust-code'!C52,entities[custom entity '#],0),'cust-code'!E52))</f>
        <v/>
      </c>
      <c r="H52" s="9" t="str">
        <f t="shared" si="1"/>
        <v>automation.statvac_vacation_mode_off_when_home:</v>
      </c>
      <c r="I52" s="9" t="str">
        <f t="shared" si="2"/>
        <v/>
      </c>
    </row>
    <row r="53" spans="2:9" x14ac:dyDescent="0.45">
      <c r="B53" s="9">
        <f t="shared" si="0"/>
        <v>48</v>
      </c>
      <c r="C53" s="9">
        <f t="shared" si="3"/>
        <v>23</v>
      </c>
      <c r="D53" s="22">
        <f>INDEX(entities[Custom Attributes],MATCH('cust-code'!C53,entities[custom entity '#],0))</f>
        <v>1</v>
      </c>
      <c r="E53" s="22">
        <f t="shared" si="4"/>
        <v>1</v>
      </c>
      <c r="F53" s="9" t="str">
        <f>IF(E53&gt;0,"",
INDEX(entities[entity_id],MATCH('cust-code'!C53,entities[custom entity '#],0))&amp;":")</f>
        <v/>
      </c>
      <c r="G53" s="9" t="str">
        <f ca="1">IF(E53=0,"",
INDEX(entities[[line 1]:[line 4]],MATCH('cust-code'!C53,entities[custom entity '#],0),'cust-code'!E53))</f>
        <v xml:space="preserve">  hidden: true</v>
      </c>
      <c r="H53" s="9" t="str">
        <f t="shared" ca="1" si="1"/>
        <v xml:space="preserve">  hidden: true</v>
      </c>
      <c r="I53" s="9" t="str">
        <f t="shared" si="2"/>
        <v/>
      </c>
    </row>
    <row r="54" spans="2:9" x14ac:dyDescent="0.45">
      <c r="B54" s="9">
        <f t="shared" si="0"/>
        <v>49</v>
      </c>
      <c r="C54" s="9">
        <f t="shared" si="3"/>
        <v>24</v>
      </c>
      <c r="D54" s="22">
        <f>INDEX(entities[Custom Attributes],MATCH('cust-code'!C54,entities[custom entity '#],0))</f>
        <v>1</v>
      </c>
      <c r="E54" s="22">
        <f t="shared" si="4"/>
        <v>0</v>
      </c>
      <c r="F54" s="9" t="str">
        <f>IF(E54&gt;0,"",
INDEX(entities[entity_id],MATCH('cust-code'!C54,entities[custom entity '#],0))&amp;":")</f>
        <v>automation.statvac_vacation_mode_on_when_gone_24_hours:</v>
      </c>
      <c r="G54" s="9" t="str">
        <f>IF(E54=0,"",
INDEX(entities[[line 1]:[line 4]],MATCH('cust-code'!C54,entities[custom entity '#],0),'cust-code'!E54))</f>
        <v/>
      </c>
      <c r="H54" s="9" t="str">
        <f t="shared" si="1"/>
        <v>automation.statvac_vacation_mode_on_when_gone_24_hours:</v>
      </c>
      <c r="I54" s="9" t="str">
        <f t="shared" si="2"/>
        <v/>
      </c>
    </row>
    <row r="55" spans="2:9" x14ac:dyDescent="0.45">
      <c r="B55" s="9">
        <f t="shared" si="0"/>
        <v>50</v>
      </c>
      <c r="C55" s="9">
        <f t="shared" si="3"/>
        <v>24</v>
      </c>
      <c r="D55" s="22">
        <f>INDEX(entities[Custom Attributes],MATCH('cust-code'!C55,entities[custom entity '#],0))</f>
        <v>1</v>
      </c>
      <c r="E55" s="22">
        <f t="shared" si="4"/>
        <v>1</v>
      </c>
      <c r="F55" s="9" t="str">
        <f>IF(E55&gt;0,"",
INDEX(entities[entity_id],MATCH('cust-code'!C55,entities[custom entity '#],0))&amp;":")</f>
        <v/>
      </c>
      <c r="G55" s="9" t="str">
        <f ca="1">IF(E55=0,"",
INDEX(entities[[line 1]:[line 4]],MATCH('cust-code'!C55,entities[custom entity '#],0),'cust-code'!E55))</f>
        <v xml:space="preserve">  hidden: true</v>
      </c>
      <c r="H55" s="9" t="str">
        <f t="shared" ca="1" si="1"/>
        <v xml:space="preserve">  hidden: true</v>
      </c>
      <c r="I55" s="9" t="str">
        <f t="shared" si="2"/>
        <v/>
      </c>
    </row>
    <row r="56" spans="2:9" x14ac:dyDescent="0.45">
      <c r="B56" s="9">
        <f t="shared" si="0"/>
        <v>51</v>
      </c>
      <c r="C56" s="9">
        <f t="shared" si="3"/>
        <v>25</v>
      </c>
      <c r="D56" s="22">
        <f>INDEX(entities[Custom Attributes],MATCH('cust-code'!C56,entities[custom entity '#],0))</f>
        <v>1</v>
      </c>
      <c r="E56" s="22">
        <f t="shared" si="4"/>
        <v>0</v>
      </c>
      <c r="F56" s="9" t="str">
        <f>IF(E56&gt;0,"",
INDEX(entities[entity_id],MATCH('cust-code'!C56,entities[custom entity '#],0))&amp;":")</f>
        <v>binary_sensor.humvee_monitor_status:</v>
      </c>
      <c r="G56" s="9" t="str">
        <f>IF(E56=0,"",
INDEX(entities[[line 1]:[line 4]],MATCH('cust-code'!C56,entities[custom entity '#],0),'cust-code'!E56))</f>
        <v/>
      </c>
      <c r="H56" s="9" t="str">
        <f t="shared" si="1"/>
        <v>binary_sensor.humvee_monitor_status:</v>
      </c>
      <c r="I56" s="9" t="str">
        <f t="shared" si="2"/>
        <v/>
      </c>
    </row>
    <row r="57" spans="2:9" x14ac:dyDescent="0.45">
      <c r="B57" s="9">
        <f t="shared" si="0"/>
        <v>52</v>
      </c>
      <c r="C57" s="9">
        <f t="shared" si="3"/>
        <v>25</v>
      </c>
      <c r="D57" s="22">
        <f>INDEX(entities[Custom Attributes],MATCH('cust-code'!C57,entities[custom entity '#],0))</f>
        <v>1</v>
      </c>
      <c r="E57" s="22">
        <f t="shared" si="4"/>
        <v>1</v>
      </c>
      <c r="F57" s="9" t="str">
        <f>IF(E57&gt;0,"",
INDEX(entities[entity_id],MATCH('cust-code'!C57,entities[custom entity '#],0))&amp;":")</f>
        <v/>
      </c>
      <c r="G57" s="9" t="str">
        <f ca="1">IF(E57=0,"",
INDEX(entities[[line 1]:[line 4]],MATCH('cust-code'!C57,entities[custom entity '#],0),'cust-code'!E57))</f>
        <v xml:space="preserve">  hidden: true</v>
      </c>
      <c r="H57" s="9" t="str">
        <f t="shared" ca="1" si="1"/>
        <v xml:space="preserve">  hidden: true</v>
      </c>
      <c r="I57" s="9" t="str">
        <f t="shared" si="2"/>
        <v/>
      </c>
    </row>
    <row r="58" spans="2:9" x14ac:dyDescent="0.45">
      <c r="B58" s="9">
        <f t="shared" si="0"/>
        <v>53</v>
      </c>
      <c r="C58" s="9">
        <f t="shared" si="3"/>
        <v>26</v>
      </c>
      <c r="D58" s="22">
        <f>INDEX(entities[Custom Attributes],MATCH('cust-code'!C58,entities[custom entity '#],0))</f>
        <v>2</v>
      </c>
      <c r="E58" s="22">
        <f t="shared" si="4"/>
        <v>0</v>
      </c>
      <c r="F58" s="9" t="str">
        <f>IF(E58&gt;0,"",
INDEX(entities[entity_id],MATCH('cust-code'!C58,entities[custom entity '#],0))&amp;":")</f>
        <v>binary_sensor.multi_sensor_4:</v>
      </c>
      <c r="G58" s="9" t="str">
        <f>IF(E58=0,"",
INDEX(entities[[line 1]:[line 4]],MATCH('cust-code'!C58,entities[custom entity '#],0),'cust-code'!E58))</f>
        <v/>
      </c>
      <c r="H58" s="9" t="str">
        <f t="shared" si="1"/>
        <v>binary_sensor.multi_sensor_4:</v>
      </c>
      <c r="I58" s="9" t="str">
        <f t="shared" si="2"/>
        <v/>
      </c>
    </row>
    <row r="59" spans="2:9" x14ac:dyDescent="0.45">
      <c r="B59" s="9">
        <f t="shared" si="0"/>
        <v>54</v>
      </c>
      <c r="C59" s="9">
        <f t="shared" si="3"/>
        <v>26</v>
      </c>
      <c r="D59" s="22">
        <f>INDEX(entities[Custom Attributes],MATCH('cust-code'!C59,entities[custom entity '#],0))</f>
        <v>2</v>
      </c>
      <c r="E59" s="22">
        <f t="shared" si="4"/>
        <v>1</v>
      </c>
      <c r="F59" s="9" t="str">
        <f>IF(E59&gt;0,"",
INDEX(entities[entity_id],MATCH('cust-code'!C59,entities[custom entity '#],0))&amp;":")</f>
        <v/>
      </c>
      <c r="G59" s="9" t="str">
        <f ca="1">IF(E59=0,"",
INDEX(entities[[line 1]:[line 4]],MATCH('cust-code'!C59,entities[custom entity '#],0),'cust-code'!E59))</f>
        <v xml:space="preserve">  friendly_name: Motion</v>
      </c>
      <c r="H59" s="9" t="str">
        <f t="shared" ca="1" si="1"/>
        <v xml:space="preserve">  friendly_name: Motion</v>
      </c>
      <c r="I59" s="9" t="str">
        <f t="shared" si="2"/>
        <v/>
      </c>
    </row>
    <row r="60" spans="2:9" x14ac:dyDescent="0.45">
      <c r="B60" s="9">
        <f t="shared" si="0"/>
        <v>55</v>
      </c>
      <c r="C60" s="9">
        <f t="shared" si="3"/>
        <v>26</v>
      </c>
      <c r="D60" s="22">
        <f>INDEX(entities[Custom Attributes],MATCH('cust-code'!C60,entities[custom entity '#],0))</f>
        <v>2</v>
      </c>
      <c r="E60" s="22">
        <f t="shared" si="4"/>
        <v>2</v>
      </c>
      <c r="F60" s="9" t="str">
        <f>IF(E60&gt;0,"",
INDEX(entities[entity_id],MATCH('cust-code'!C60,entities[custom entity '#],0))&amp;":")</f>
        <v/>
      </c>
      <c r="G60" s="9" t="str">
        <f ca="1">IF(E60=0,"",
INDEX(entities[[line 1]:[line 4]],MATCH('cust-code'!C60,entities[custom entity '#],0),'cust-code'!E60))</f>
        <v xml:space="preserve">  icon: mdi:account-switch</v>
      </c>
      <c r="H60" s="9" t="str">
        <f t="shared" ca="1" si="1"/>
        <v xml:space="preserve">  icon: mdi:account-switch</v>
      </c>
      <c r="I60" s="9" t="str">
        <f t="shared" si="2"/>
        <v/>
      </c>
    </row>
    <row r="61" spans="2:9" x14ac:dyDescent="0.45">
      <c r="B61" s="9">
        <f t="shared" si="0"/>
        <v>56</v>
      </c>
      <c r="C61" s="9">
        <f t="shared" si="3"/>
        <v>27</v>
      </c>
      <c r="D61" s="22">
        <f>INDEX(entities[Custom Attributes],MATCH('cust-code'!C61,entities[custom entity '#],0))</f>
        <v>1</v>
      </c>
      <c r="E61" s="22">
        <f t="shared" si="4"/>
        <v>0</v>
      </c>
      <c r="F61" s="9" t="str">
        <f>IF(E61&gt;0,"",
INDEX(entities[entity_id],MATCH('cust-code'!C61,entities[custom entity '#],0))&amp;":")</f>
        <v>binary_sensor.tv_status:</v>
      </c>
      <c r="G61" s="9" t="str">
        <f>IF(E61=0,"",
INDEX(entities[[line 1]:[line 4]],MATCH('cust-code'!C61,entities[custom entity '#],0),'cust-code'!E61))</f>
        <v/>
      </c>
      <c r="H61" s="9" t="str">
        <f t="shared" si="1"/>
        <v>binary_sensor.tv_status:</v>
      </c>
      <c r="I61" s="9" t="str">
        <f t="shared" si="2"/>
        <v/>
      </c>
    </row>
    <row r="62" spans="2:9" x14ac:dyDescent="0.45">
      <c r="B62" s="9">
        <f t="shared" si="0"/>
        <v>57</v>
      </c>
      <c r="C62" s="9">
        <f t="shared" si="3"/>
        <v>27</v>
      </c>
      <c r="D62" s="22">
        <f>INDEX(entities[Custom Attributes],MATCH('cust-code'!C62,entities[custom entity '#],0))</f>
        <v>1</v>
      </c>
      <c r="E62" s="22">
        <f t="shared" si="4"/>
        <v>1</v>
      </c>
      <c r="F62" s="9" t="str">
        <f>IF(E62&gt;0,"",
INDEX(entities[entity_id],MATCH('cust-code'!C62,entities[custom entity '#],0))&amp;":")</f>
        <v/>
      </c>
      <c r="G62" s="9" t="str">
        <f ca="1">IF(E62=0,"",
INDEX(entities[[line 1]:[line 4]],MATCH('cust-code'!C62,entities[custom entity '#],0),'cust-code'!E62))</f>
        <v xml:space="preserve">  hidden: true</v>
      </c>
      <c r="H62" s="9" t="str">
        <f t="shared" ca="1" si="1"/>
        <v xml:space="preserve">  hidden: true</v>
      </c>
      <c r="I62" s="9" t="str">
        <f t="shared" si="2"/>
        <v/>
      </c>
    </row>
    <row r="63" spans="2:9" x14ac:dyDescent="0.45">
      <c r="B63" s="9">
        <f t="shared" si="0"/>
        <v>58</v>
      </c>
      <c r="C63" s="9">
        <f t="shared" si="3"/>
        <v>28</v>
      </c>
      <c r="D63" s="22">
        <f>INDEX(entities[Custom Attributes],MATCH('cust-code'!C63,entities[custom entity '#],0))</f>
        <v>1</v>
      </c>
      <c r="E63" s="22">
        <f t="shared" si="4"/>
        <v>0</v>
      </c>
      <c r="F63" s="9" t="str">
        <f>IF(E63&gt;0,"",
INDEX(entities[entity_id],MATCH('cust-code'!C63,entities[custom entity '#],0))&amp;":")</f>
        <v>device_tracker.bazooka:</v>
      </c>
      <c r="G63" s="9" t="str">
        <f>IF(E63=0,"",
INDEX(entities[[line 1]:[line 4]],MATCH('cust-code'!C63,entities[custom entity '#],0),'cust-code'!E63))</f>
        <v/>
      </c>
      <c r="H63" s="9" t="str">
        <f t="shared" si="1"/>
        <v>device_tracker.bazooka:</v>
      </c>
      <c r="I63" s="9" t="str">
        <f t="shared" si="2"/>
        <v/>
      </c>
    </row>
    <row r="64" spans="2:9" x14ac:dyDescent="0.45">
      <c r="B64" s="9">
        <f t="shared" si="0"/>
        <v>59</v>
      </c>
      <c r="C64" s="9">
        <f t="shared" si="3"/>
        <v>28</v>
      </c>
      <c r="D64" s="22">
        <f>INDEX(entities[Custom Attributes],MATCH('cust-code'!C64,entities[custom entity '#],0))</f>
        <v>1</v>
      </c>
      <c r="E64" s="22">
        <f t="shared" si="4"/>
        <v>1</v>
      </c>
      <c r="F64" s="9" t="str">
        <f>IF(E64&gt;0,"",
INDEX(entities[entity_id],MATCH('cust-code'!C64,entities[custom entity '#],0))&amp;":")</f>
        <v/>
      </c>
      <c r="G64" s="9" t="str">
        <f ca="1">IF(E64=0,"",
INDEX(entities[[line 1]:[line 4]],MATCH('cust-code'!C64,entities[custom entity '#],0),'cust-code'!E64))</f>
        <v xml:space="preserve">  icon: mdi:tablet-android</v>
      </c>
      <c r="H64" s="9" t="str">
        <f t="shared" ca="1" si="1"/>
        <v xml:space="preserve">  icon: mdi:tablet-android</v>
      </c>
      <c r="I64" s="9" t="str">
        <f t="shared" si="2"/>
        <v/>
      </c>
    </row>
    <row r="65" spans="2:9" x14ac:dyDescent="0.45">
      <c r="B65" s="9">
        <f t="shared" si="0"/>
        <v>60</v>
      </c>
      <c r="C65" s="9">
        <f t="shared" si="3"/>
        <v>29</v>
      </c>
      <c r="D65" s="22">
        <f>INDEX(entities[Custom Attributes],MATCH('cust-code'!C65,entities[custom entity '#],0))</f>
        <v>1</v>
      </c>
      <c r="E65" s="22">
        <f t="shared" si="4"/>
        <v>0</v>
      </c>
      <c r="F65" s="9" t="str">
        <f>IF(E65&gt;0,"",
INDEX(entities[entity_id],MATCH('cust-code'!C65,entities[custom entity '#],0))&amp;":")</f>
        <v>device_tracker.carolyn_phone:</v>
      </c>
      <c r="G65" s="9" t="str">
        <f>IF(E65=0,"",
INDEX(entities[[line 1]:[line 4]],MATCH('cust-code'!C65,entities[custom entity '#],0),'cust-code'!E65))</f>
        <v/>
      </c>
      <c r="H65" s="9" t="str">
        <f t="shared" si="1"/>
        <v>device_tracker.carolyn_phone:</v>
      </c>
      <c r="I65" s="9" t="str">
        <f t="shared" si="2"/>
        <v/>
      </c>
    </row>
    <row r="66" spans="2:9" x14ac:dyDescent="0.45">
      <c r="B66" s="9">
        <f t="shared" si="0"/>
        <v>61</v>
      </c>
      <c r="C66" s="9">
        <f t="shared" si="3"/>
        <v>29</v>
      </c>
      <c r="D66" s="22">
        <f>INDEX(entities[Custom Attributes],MATCH('cust-code'!C66,entities[custom entity '#],0))</f>
        <v>1</v>
      </c>
      <c r="E66" s="22">
        <f t="shared" si="4"/>
        <v>1</v>
      </c>
      <c r="F66" s="9" t="str">
        <f>IF(E66&gt;0,"",
INDEX(entities[entity_id],MATCH('cust-code'!C66,entities[custom entity '#],0))&amp;":")</f>
        <v/>
      </c>
      <c r="G66" s="9" t="str">
        <f ca="1">IF(E66=0,"",
INDEX(entities[[line 1]:[line 4]],MATCH('cust-code'!C66,entities[custom entity '#],0),'cust-code'!E66))</f>
        <v xml:space="preserve">  icon: mdi:cellphone-iphone</v>
      </c>
      <c r="H66" s="9" t="str">
        <f t="shared" ca="1" si="1"/>
        <v xml:space="preserve">  icon: mdi:cellphone-iphone</v>
      </c>
      <c r="I66" s="9" t="str">
        <f t="shared" si="2"/>
        <v/>
      </c>
    </row>
    <row r="67" spans="2:9" x14ac:dyDescent="0.45">
      <c r="B67" s="9">
        <f t="shared" si="0"/>
        <v>62</v>
      </c>
      <c r="C67" s="9">
        <f t="shared" si="3"/>
        <v>30</v>
      </c>
      <c r="D67" s="22">
        <f>INDEX(entities[Custom Attributes],MATCH('cust-code'!C67,entities[custom entity '#],0))</f>
        <v>1</v>
      </c>
      <c r="E67" s="22">
        <f t="shared" si="4"/>
        <v>0</v>
      </c>
      <c r="F67" s="9" t="str">
        <f>IF(E67&gt;0,"",
INDEX(entities[entity_id],MATCH('cust-code'!C67,entities[custom entity '#],0))&amp;":")</f>
        <v>device_tracker.carolyn_tablet:</v>
      </c>
      <c r="G67" s="9" t="str">
        <f>IF(E67=0,"",
INDEX(entities[[line 1]:[line 4]],MATCH('cust-code'!C67,entities[custom entity '#],0),'cust-code'!E67))</f>
        <v/>
      </c>
      <c r="H67" s="9" t="str">
        <f t="shared" si="1"/>
        <v>device_tracker.carolyn_tablet:</v>
      </c>
      <c r="I67" s="9" t="str">
        <f t="shared" si="2"/>
        <v/>
      </c>
    </row>
    <row r="68" spans="2:9" x14ac:dyDescent="0.45">
      <c r="B68" s="9">
        <f t="shared" si="0"/>
        <v>63</v>
      </c>
      <c r="C68" s="9">
        <f t="shared" si="3"/>
        <v>30</v>
      </c>
      <c r="D68" s="22">
        <f>INDEX(entities[Custom Attributes],MATCH('cust-code'!C68,entities[custom entity '#],0))</f>
        <v>1</v>
      </c>
      <c r="E68" s="22">
        <f t="shared" si="4"/>
        <v>1</v>
      </c>
      <c r="F68" s="9" t="str">
        <f>IF(E68&gt;0,"",
INDEX(entities[entity_id],MATCH('cust-code'!C68,entities[custom entity '#],0))&amp;":")</f>
        <v/>
      </c>
      <c r="G68" s="9" t="str">
        <f ca="1">IF(E68=0,"",
INDEX(entities[[line 1]:[line 4]],MATCH('cust-code'!C68,entities[custom entity '#],0),'cust-code'!E68))</f>
        <v xml:space="preserve">  icon: mdi:tablet-ipad</v>
      </c>
      <c r="H68" s="9" t="str">
        <f t="shared" ca="1" si="1"/>
        <v xml:space="preserve">  icon: mdi:tablet-ipad</v>
      </c>
      <c r="I68" s="9" t="str">
        <f t="shared" si="2"/>
        <v/>
      </c>
    </row>
    <row r="69" spans="2:9" x14ac:dyDescent="0.45">
      <c r="B69" s="9">
        <f t="shared" si="0"/>
        <v>64</v>
      </c>
      <c r="C69" s="9">
        <f t="shared" si="3"/>
        <v>31</v>
      </c>
      <c r="D69" s="22">
        <f>INDEX(entities[Custom Attributes],MATCH('cust-code'!C69,entities[custom entity '#],0))</f>
        <v>1</v>
      </c>
      <c r="E69" s="22">
        <f t="shared" si="4"/>
        <v>0</v>
      </c>
      <c r="F69" s="9" t="str">
        <f>IF(E69&gt;0,"",
INDEX(entities[entity_id],MATCH('cust-code'!C69,entities[custom entity '#],0))&amp;":")</f>
        <v>device_tracker.carolynsair:</v>
      </c>
      <c r="G69" s="9" t="str">
        <f>IF(E69=0,"",
INDEX(entities[[line 1]:[line 4]],MATCH('cust-code'!C69,entities[custom entity '#],0),'cust-code'!E69))</f>
        <v/>
      </c>
      <c r="H69" s="9" t="str">
        <f t="shared" si="1"/>
        <v>device_tracker.carolynsair:</v>
      </c>
      <c r="I69" s="9" t="str">
        <f t="shared" si="2"/>
        <v/>
      </c>
    </row>
    <row r="70" spans="2:9" x14ac:dyDescent="0.45">
      <c r="B70" s="9">
        <f t="shared" si="0"/>
        <v>65</v>
      </c>
      <c r="C70" s="9">
        <f t="shared" si="3"/>
        <v>31</v>
      </c>
      <c r="D70" s="22">
        <f>INDEX(entities[Custom Attributes],MATCH('cust-code'!C70,entities[custom entity '#],0))</f>
        <v>1</v>
      </c>
      <c r="E70" s="22">
        <f t="shared" si="4"/>
        <v>1</v>
      </c>
      <c r="F70" s="9" t="str">
        <f>IF(E70&gt;0,"",
INDEX(entities[entity_id],MATCH('cust-code'!C70,entities[custom entity '#],0))&amp;":")</f>
        <v/>
      </c>
      <c r="G70" s="9" t="str">
        <f ca="1">IF(E70=0,"",
INDEX(entities[[line 1]:[line 4]],MATCH('cust-code'!C70,entities[custom entity '#],0),'cust-code'!E70))</f>
        <v xml:space="preserve">  icon: mdi:laptop-mac</v>
      </c>
      <c r="H70" s="9" t="str">
        <f t="shared" ca="1" si="1"/>
        <v xml:space="preserve">  icon: mdi:laptop-mac</v>
      </c>
      <c r="I70" s="9" t="str">
        <f t="shared" si="2"/>
        <v/>
      </c>
    </row>
    <row r="71" spans="2:9" x14ac:dyDescent="0.45">
      <c r="B71" s="9">
        <f t="shared" si="0"/>
        <v>66</v>
      </c>
      <c r="C71" s="9">
        <f t="shared" si="3"/>
        <v>32</v>
      </c>
      <c r="D71" s="22">
        <f>INDEX(entities[Custom Attributes],MATCH('cust-code'!C71,entities[custom entity '#],0))</f>
        <v>1</v>
      </c>
      <c r="E71" s="22">
        <f t="shared" si="4"/>
        <v>0</v>
      </c>
      <c r="F71" s="9" t="str">
        <f>IF(E71&gt;0,"",
INDEX(entities[entity_id],MATCH('cust-code'!C71,entities[custom entity '#],0))&amp;":")</f>
        <v>device_tracker.chromecast:</v>
      </c>
      <c r="G71" s="9" t="str">
        <f>IF(E71=0,"",
INDEX(entities[[line 1]:[line 4]],MATCH('cust-code'!C71,entities[custom entity '#],0),'cust-code'!E71))</f>
        <v/>
      </c>
      <c r="H71" s="9" t="str">
        <f t="shared" si="1"/>
        <v>device_tracker.chromecast:</v>
      </c>
      <c r="I71" s="9" t="str">
        <f t="shared" si="2"/>
        <v/>
      </c>
    </row>
    <row r="72" spans="2:9" x14ac:dyDescent="0.45">
      <c r="B72" s="9">
        <f t="shared" ref="B72:B105" si="5">B71+1</f>
        <v>67</v>
      </c>
      <c r="C72" s="9">
        <f t="shared" si="3"/>
        <v>32</v>
      </c>
      <c r="D72" s="22">
        <f>INDEX(entities[Custom Attributes],MATCH('cust-code'!C72,entities[custom entity '#],0))</f>
        <v>1</v>
      </c>
      <c r="E72" s="22">
        <f t="shared" si="4"/>
        <v>1</v>
      </c>
      <c r="F72" s="9" t="str">
        <f>IF(E72&gt;0,"",
INDEX(entities[entity_id],MATCH('cust-code'!C72,entities[custom entity '#],0))&amp;":")</f>
        <v/>
      </c>
      <c r="G72" s="9" t="str">
        <f ca="1">IF(E72=0,"",
INDEX(entities[[line 1]:[line 4]],MATCH('cust-code'!C72,entities[custom entity '#],0),'cust-code'!E72))</f>
        <v xml:space="preserve">  icon: mdi:google-chrome</v>
      </c>
      <c r="H72" s="9" t="str">
        <f t="shared" ref="H72:H135" ca="1" si="6">_xlfn.IFNA(  F72&amp;G72,  "")</f>
        <v xml:space="preserve">  icon: mdi:google-chrome</v>
      </c>
      <c r="I72" s="9" t="str">
        <f t="shared" ref="I72:I135" si="7">IF(AND(NOT(ISNA(D71)),ISNA(D72)),"END","")</f>
        <v/>
      </c>
    </row>
    <row r="73" spans="2:9" x14ac:dyDescent="0.45">
      <c r="B73" s="9">
        <f t="shared" si="5"/>
        <v>68</v>
      </c>
      <c r="C73" s="9">
        <f t="shared" ref="C73:C105" si="8">IF(E73=0,C72+1,C72)</f>
        <v>33</v>
      </c>
      <c r="D73" s="22">
        <f>INDEX(entities[Custom Attributes],MATCH('cust-code'!C73,entities[custom entity '#],0))</f>
        <v>1</v>
      </c>
      <c r="E73" s="22">
        <f t="shared" ref="E73:E105" si="9">IF(E72=D72,0,E72+1)</f>
        <v>0</v>
      </c>
      <c r="F73" s="9" t="str">
        <f>IF(E73&gt;0,"",
INDEX(entities[entity_id],MATCH('cust-code'!C73,entities[custom entity '#],0))&amp;":")</f>
        <v>device_tracker.chromecast_2:</v>
      </c>
      <c r="G73" s="9" t="str">
        <f>IF(E73=0,"",
INDEX(entities[[line 1]:[line 4]],MATCH('cust-code'!C73,entities[custom entity '#],0),'cust-code'!E73))</f>
        <v/>
      </c>
      <c r="H73" s="9" t="str">
        <f t="shared" si="6"/>
        <v>device_tracker.chromecast_2:</v>
      </c>
      <c r="I73" s="9" t="str">
        <f t="shared" si="7"/>
        <v/>
      </c>
    </row>
    <row r="74" spans="2:9" x14ac:dyDescent="0.45">
      <c r="B74" s="9">
        <f t="shared" si="5"/>
        <v>69</v>
      </c>
      <c r="C74" s="9">
        <f t="shared" si="8"/>
        <v>33</v>
      </c>
      <c r="D74" s="22">
        <f>INDEX(entities[Custom Attributes],MATCH('cust-code'!C74,entities[custom entity '#],0))</f>
        <v>1</v>
      </c>
      <c r="E74" s="22">
        <f t="shared" si="9"/>
        <v>1</v>
      </c>
      <c r="F74" s="9" t="str">
        <f>IF(E74&gt;0,"",
INDEX(entities[entity_id],MATCH('cust-code'!C74,entities[custom entity '#],0))&amp;":")</f>
        <v/>
      </c>
      <c r="G74" s="9" t="str">
        <f ca="1">IF(E74=0,"",
INDEX(entities[[line 1]:[line 4]],MATCH('cust-code'!C74,entities[custom entity '#],0),'cust-code'!E74))</f>
        <v xml:space="preserve">  icon: mdi:google-chrome</v>
      </c>
      <c r="H74" s="9" t="str">
        <f t="shared" ca="1" si="6"/>
        <v xml:space="preserve">  icon: mdi:google-chrome</v>
      </c>
      <c r="I74" s="9" t="str">
        <f t="shared" si="7"/>
        <v/>
      </c>
    </row>
    <row r="75" spans="2:9" x14ac:dyDescent="0.45">
      <c r="B75" s="9">
        <f t="shared" si="5"/>
        <v>70</v>
      </c>
      <c r="C75" s="9">
        <f t="shared" si="8"/>
        <v>34</v>
      </c>
      <c r="D75" s="22">
        <f>INDEX(entities[Custom Attributes],MATCH('cust-code'!C75,entities[custom entity '#],0))</f>
        <v>1</v>
      </c>
      <c r="E75" s="22">
        <f t="shared" si="9"/>
        <v>0</v>
      </c>
      <c r="F75" s="9" t="str">
        <f>IF(E75&gt;0,"",
INDEX(entities[entity_id],MATCH('cust-code'!C75,entities[custom entity '#],0))&amp;":")</f>
        <v>device_tracker.daniel_br:</v>
      </c>
      <c r="G75" s="9" t="str">
        <f>IF(E75=0,"",
INDEX(entities[[line 1]:[line 4]],MATCH('cust-code'!C75,entities[custom entity '#],0),'cust-code'!E75))</f>
        <v/>
      </c>
      <c r="H75" s="9" t="str">
        <f t="shared" si="6"/>
        <v>device_tracker.daniel_br:</v>
      </c>
      <c r="I75" s="9" t="str">
        <f t="shared" si="7"/>
        <v/>
      </c>
    </row>
    <row r="76" spans="2:9" x14ac:dyDescent="0.45">
      <c r="B76" s="9">
        <f t="shared" si="5"/>
        <v>71</v>
      </c>
      <c r="C76" s="9">
        <f t="shared" si="8"/>
        <v>34</v>
      </c>
      <c r="D76" s="22">
        <f>INDEX(entities[Custom Attributes],MATCH('cust-code'!C76,entities[custom entity '#],0))</f>
        <v>1</v>
      </c>
      <c r="E76" s="22">
        <f t="shared" si="9"/>
        <v>1</v>
      </c>
      <c r="F76" s="9" t="str">
        <f>IF(E76&gt;0,"",
INDEX(entities[entity_id],MATCH('cust-code'!C76,entities[custom entity '#],0))&amp;":")</f>
        <v/>
      </c>
      <c r="G76" s="9" t="str">
        <f ca="1">IF(E76=0,"",
INDEX(entities[[line 1]:[line 4]],MATCH('cust-code'!C76,entities[custom entity '#],0),'cust-code'!E76))</f>
        <v xml:space="preserve">  icon: mdi:disk</v>
      </c>
      <c r="H76" s="9" t="str">
        <f t="shared" ca="1" si="6"/>
        <v xml:space="preserve">  icon: mdi:disk</v>
      </c>
      <c r="I76" s="9" t="str">
        <f t="shared" si="7"/>
        <v/>
      </c>
    </row>
    <row r="77" spans="2:9" x14ac:dyDescent="0.45">
      <c r="B77" s="9">
        <f t="shared" si="5"/>
        <v>72</v>
      </c>
      <c r="C77" s="9">
        <f t="shared" si="8"/>
        <v>35</v>
      </c>
      <c r="D77" s="22">
        <f>INDEX(entities[Custom Attributes],MATCH('cust-code'!C77,entities[custom entity '#],0))</f>
        <v>1</v>
      </c>
      <c r="E77" s="22">
        <f t="shared" si="9"/>
        <v>0</v>
      </c>
      <c r="F77" s="9" t="str">
        <f>IF(E77&gt;0,"",
INDEX(entities[entity_id],MATCH('cust-code'!C77,entities[custom entity '#],0))&amp;":")</f>
        <v>device_tracker.daniel_laptop:</v>
      </c>
      <c r="G77" s="9" t="str">
        <f>IF(E77=0,"",
INDEX(entities[[line 1]:[line 4]],MATCH('cust-code'!C77,entities[custom entity '#],0),'cust-code'!E77))</f>
        <v/>
      </c>
      <c r="H77" s="9" t="str">
        <f t="shared" si="6"/>
        <v>device_tracker.daniel_laptop:</v>
      </c>
      <c r="I77" s="9" t="str">
        <f t="shared" si="7"/>
        <v/>
      </c>
    </row>
    <row r="78" spans="2:9" x14ac:dyDescent="0.45">
      <c r="B78" s="9">
        <f t="shared" si="5"/>
        <v>73</v>
      </c>
      <c r="C78" s="9">
        <f t="shared" si="8"/>
        <v>35</v>
      </c>
      <c r="D78" s="22">
        <f>INDEX(entities[Custom Attributes],MATCH('cust-code'!C78,entities[custom entity '#],0))</f>
        <v>1</v>
      </c>
      <c r="E78" s="22">
        <f t="shared" si="9"/>
        <v>1</v>
      </c>
      <c r="F78" s="9" t="str">
        <f>IF(E78&gt;0,"",
INDEX(entities[entity_id],MATCH('cust-code'!C78,entities[custom entity '#],0))&amp;":")</f>
        <v/>
      </c>
      <c r="G78" s="9" t="str">
        <f ca="1">IF(E78=0,"",
INDEX(entities[[line 1]:[line 4]],MATCH('cust-code'!C78,entities[custom entity '#],0),'cust-code'!E78))</f>
        <v xml:space="preserve">  icon: mdi:laptop</v>
      </c>
      <c r="H78" s="9" t="str">
        <f t="shared" ca="1" si="6"/>
        <v xml:space="preserve">  icon: mdi:laptop</v>
      </c>
      <c r="I78" s="9" t="str">
        <f t="shared" si="7"/>
        <v/>
      </c>
    </row>
    <row r="79" spans="2:9" x14ac:dyDescent="0.45">
      <c r="B79" s="9">
        <f t="shared" si="5"/>
        <v>74</v>
      </c>
      <c r="C79" s="9">
        <f t="shared" si="8"/>
        <v>36</v>
      </c>
      <c r="D79" s="22">
        <f>INDEX(entities[Custom Attributes],MATCH('cust-code'!C79,entities[custom entity '#],0))</f>
        <v>1</v>
      </c>
      <c r="E79" s="22">
        <f t="shared" si="9"/>
        <v>0</v>
      </c>
      <c r="F79" s="9" t="str">
        <f>IF(E79&gt;0,"",
INDEX(entities[entity_id],MATCH('cust-code'!C79,entities[custom entity '#],0))&amp;":")</f>
        <v>device_tracker.daniel_phone:</v>
      </c>
      <c r="G79" s="9" t="str">
        <f>IF(E79=0,"",
INDEX(entities[[line 1]:[line 4]],MATCH('cust-code'!C79,entities[custom entity '#],0),'cust-code'!E79))</f>
        <v/>
      </c>
      <c r="H79" s="9" t="str">
        <f t="shared" si="6"/>
        <v>device_tracker.daniel_phone:</v>
      </c>
      <c r="I79" s="9" t="str">
        <f t="shared" si="7"/>
        <v/>
      </c>
    </row>
    <row r="80" spans="2:9" x14ac:dyDescent="0.45">
      <c r="B80" s="9">
        <f t="shared" si="5"/>
        <v>75</v>
      </c>
      <c r="C80" s="9">
        <f t="shared" si="8"/>
        <v>36</v>
      </c>
      <c r="D80" s="22">
        <f>INDEX(entities[Custom Attributes],MATCH('cust-code'!C80,entities[custom entity '#],0))</f>
        <v>1</v>
      </c>
      <c r="E80" s="22">
        <f t="shared" si="9"/>
        <v>1</v>
      </c>
      <c r="F80" s="9" t="str">
        <f>IF(E80&gt;0,"",
INDEX(entities[entity_id],MATCH('cust-code'!C80,entities[custom entity '#],0))&amp;":")</f>
        <v/>
      </c>
      <c r="G80" s="9" t="str">
        <f ca="1">IF(E80=0,"",
INDEX(entities[[line 1]:[line 4]],MATCH('cust-code'!C80,entities[custom entity '#],0),'cust-code'!E80))</f>
        <v xml:space="preserve">  icon: mdi:cellphone-iphone</v>
      </c>
      <c r="H80" s="9" t="str">
        <f t="shared" ca="1" si="6"/>
        <v xml:space="preserve">  icon: mdi:cellphone-iphone</v>
      </c>
      <c r="I80" s="9" t="str">
        <f t="shared" si="7"/>
        <v/>
      </c>
    </row>
    <row r="81" spans="2:9" x14ac:dyDescent="0.45">
      <c r="B81" s="9">
        <f t="shared" si="5"/>
        <v>76</v>
      </c>
      <c r="C81" s="9">
        <f t="shared" si="8"/>
        <v>37</v>
      </c>
      <c r="D81" s="22">
        <f>INDEX(entities[Custom Attributes],MATCH('cust-code'!C81,entities[custom entity '#],0))</f>
        <v>1</v>
      </c>
      <c r="E81" s="22">
        <f t="shared" si="9"/>
        <v>0</v>
      </c>
      <c r="F81" s="9" t="str">
        <f>IF(E81&gt;0,"",
INDEX(entities[entity_id],MATCH('cust-code'!C81,entities[custom entity '#],0))&amp;":")</f>
        <v>device_tracker.echo_dot:</v>
      </c>
      <c r="G81" s="9" t="str">
        <f>IF(E81=0,"",
INDEX(entities[[line 1]:[line 4]],MATCH('cust-code'!C81,entities[custom entity '#],0),'cust-code'!E81))</f>
        <v/>
      </c>
      <c r="H81" s="9" t="str">
        <f t="shared" si="6"/>
        <v>device_tracker.echo_dot:</v>
      </c>
      <c r="I81" s="9" t="str">
        <f t="shared" si="7"/>
        <v/>
      </c>
    </row>
    <row r="82" spans="2:9" x14ac:dyDescent="0.45">
      <c r="B82" s="9">
        <f t="shared" si="5"/>
        <v>77</v>
      </c>
      <c r="C82" s="9">
        <f t="shared" si="8"/>
        <v>37</v>
      </c>
      <c r="D82" s="22">
        <f>INDEX(entities[Custom Attributes],MATCH('cust-code'!C82,entities[custom entity '#],0))</f>
        <v>1</v>
      </c>
      <c r="E82" s="22">
        <f t="shared" si="9"/>
        <v>1</v>
      </c>
      <c r="F82" s="9" t="str">
        <f>IF(E82&gt;0,"",
INDEX(entities[entity_id],MATCH('cust-code'!C82,entities[custom entity '#],0))&amp;":")</f>
        <v/>
      </c>
      <c r="G82" s="9" t="str">
        <f ca="1">IF(E82=0,"",
INDEX(entities[[line 1]:[line 4]],MATCH('cust-code'!C82,entities[custom entity '#],0),'cust-code'!E82))</f>
        <v xml:space="preserve">  icon: mdi:amazon</v>
      </c>
      <c r="H82" s="9" t="str">
        <f t="shared" ca="1" si="6"/>
        <v xml:space="preserve">  icon: mdi:amazon</v>
      </c>
      <c r="I82" s="9" t="str">
        <f t="shared" si="7"/>
        <v/>
      </c>
    </row>
    <row r="83" spans="2:9" x14ac:dyDescent="0.45">
      <c r="B83" s="9">
        <f t="shared" si="5"/>
        <v>78</v>
      </c>
      <c r="C83" s="9">
        <f t="shared" si="8"/>
        <v>38</v>
      </c>
      <c r="D83" s="22">
        <f>INDEX(entities[Custom Attributes],MATCH('cust-code'!C83,entities[custom entity '#],0))</f>
        <v>1</v>
      </c>
      <c r="E83" s="22">
        <f t="shared" si="9"/>
        <v>0</v>
      </c>
      <c r="F83" s="9" t="str">
        <f>IF(E83&gt;0,"",
INDEX(entities[entity_id],MATCH('cust-code'!C83,entities[custom entity '#],0))&amp;":")</f>
        <v>device_tracker.echo_tap:</v>
      </c>
      <c r="G83" s="9" t="str">
        <f>IF(E83=0,"",
INDEX(entities[[line 1]:[line 4]],MATCH('cust-code'!C83,entities[custom entity '#],0),'cust-code'!E83))</f>
        <v/>
      </c>
      <c r="H83" s="9" t="str">
        <f t="shared" si="6"/>
        <v>device_tracker.echo_tap:</v>
      </c>
      <c r="I83" s="9" t="str">
        <f t="shared" si="7"/>
        <v/>
      </c>
    </row>
    <row r="84" spans="2:9" x14ac:dyDescent="0.45">
      <c r="B84" s="9">
        <f t="shared" si="5"/>
        <v>79</v>
      </c>
      <c r="C84" s="9">
        <f t="shared" si="8"/>
        <v>38</v>
      </c>
      <c r="D84" s="22">
        <f>INDEX(entities[Custom Attributes],MATCH('cust-code'!C84,entities[custom entity '#],0))</f>
        <v>1</v>
      </c>
      <c r="E84" s="22">
        <f t="shared" si="9"/>
        <v>1</v>
      </c>
      <c r="F84" s="9" t="str">
        <f>IF(E84&gt;0,"",
INDEX(entities[entity_id],MATCH('cust-code'!C84,entities[custom entity '#],0))&amp;":")</f>
        <v/>
      </c>
      <c r="G84" s="9" t="str">
        <f ca="1">IF(E84=0,"",
INDEX(entities[[line 1]:[line 4]],MATCH('cust-code'!C84,entities[custom entity '#],0),'cust-code'!E84))</f>
        <v xml:space="preserve">  icon: mdi:amazon</v>
      </c>
      <c r="H84" s="9" t="str">
        <f t="shared" ca="1" si="6"/>
        <v xml:space="preserve">  icon: mdi:amazon</v>
      </c>
      <c r="I84" s="9" t="str">
        <f t="shared" si="7"/>
        <v/>
      </c>
    </row>
    <row r="85" spans="2:9" x14ac:dyDescent="0.45">
      <c r="B85" s="9">
        <f t="shared" si="5"/>
        <v>80</v>
      </c>
      <c r="C85" s="9">
        <f t="shared" si="8"/>
        <v>39</v>
      </c>
      <c r="D85" s="22">
        <f>INDEX(entities[Custom Attributes],MATCH('cust-code'!C85,entities[custom entity '#],0))</f>
        <v>1</v>
      </c>
      <c r="E85" s="22">
        <f t="shared" si="9"/>
        <v>0</v>
      </c>
      <c r="F85" s="9" t="str">
        <f>IF(E85&gt;0,"",
INDEX(entities[entity_id],MATCH('cust-code'!C85,entities[custom entity '#],0))&amp;":")</f>
        <v>device_tracker.growler:</v>
      </c>
      <c r="G85" s="9" t="str">
        <f>IF(E85=0,"",
INDEX(entities[[line 1]:[line 4]],MATCH('cust-code'!C85,entities[custom entity '#],0),'cust-code'!E85))</f>
        <v/>
      </c>
      <c r="H85" s="9" t="str">
        <f t="shared" si="6"/>
        <v>device_tracker.growler:</v>
      </c>
      <c r="I85" s="9" t="str">
        <f t="shared" si="7"/>
        <v/>
      </c>
    </row>
    <row r="86" spans="2:9" x14ac:dyDescent="0.45">
      <c r="B86" s="9">
        <f t="shared" si="5"/>
        <v>81</v>
      </c>
      <c r="C86" s="9">
        <f t="shared" si="8"/>
        <v>39</v>
      </c>
      <c r="D86" s="22">
        <f>INDEX(entities[Custom Attributes],MATCH('cust-code'!C86,entities[custom entity '#],0))</f>
        <v>1</v>
      </c>
      <c r="E86" s="22">
        <f t="shared" si="9"/>
        <v>1</v>
      </c>
      <c r="F86" s="9" t="str">
        <f>IF(E86&gt;0,"",
INDEX(entities[entity_id],MATCH('cust-code'!C86,entities[custom entity '#],0))&amp;":")</f>
        <v/>
      </c>
      <c r="G86" s="9" t="str">
        <f ca="1">IF(E86=0,"",
INDEX(entities[[line 1]:[line 4]],MATCH('cust-code'!C86,entities[custom entity '#],0),'cust-code'!E86))</f>
        <v xml:space="preserve">  icon: mdi:laptop-windows</v>
      </c>
      <c r="H86" s="9" t="str">
        <f t="shared" ca="1" si="6"/>
        <v xml:space="preserve">  icon: mdi:laptop-windows</v>
      </c>
      <c r="I86" s="9" t="str">
        <f t="shared" si="7"/>
        <v/>
      </c>
    </row>
    <row r="87" spans="2:9" x14ac:dyDescent="0.45">
      <c r="B87" s="9">
        <f t="shared" si="5"/>
        <v>82</v>
      </c>
      <c r="C87" s="9">
        <f t="shared" si="8"/>
        <v>40</v>
      </c>
      <c r="D87" s="22">
        <f>INDEX(entities[Custom Attributes],MATCH('cust-code'!C87,entities[custom entity '#],0))</f>
        <v>1</v>
      </c>
      <c r="E87" s="22">
        <f t="shared" si="9"/>
        <v>0</v>
      </c>
      <c r="F87" s="9" t="str">
        <f>IF(E87&gt;0,"",
INDEX(entities[entity_id],MATCH('cust-code'!C87,entities[custom entity '#],0))&amp;":")</f>
        <v>device_tracker.humvee:</v>
      </c>
      <c r="G87" s="9" t="str">
        <f>IF(E87=0,"",
INDEX(entities[[line 1]:[line 4]],MATCH('cust-code'!C87,entities[custom entity '#],0),'cust-code'!E87))</f>
        <v/>
      </c>
      <c r="H87" s="9" t="str">
        <f t="shared" si="6"/>
        <v>device_tracker.humvee:</v>
      </c>
      <c r="I87" s="9" t="str">
        <f t="shared" si="7"/>
        <v/>
      </c>
    </row>
    <row r="88" spans="2:9" x14ac:dyDescent="0.45">
      <c r="B88" s="9">
        <f t="shared" si="5"/>
        <v>83</v>
      </c>
      <c r="C88" s="9">
        <f t="shared" si="8"/>
        <v>40</v>
      </c>
      <c r="D88" s="22">
        <f>INDEX(entities[Custom Attributes],MATCH('cust-code'!C88,entities[custom entity '#],0))</f>
        <v>1</v>
      </c>
      <c r="E88" s="22">
        <f t="shared" si="9"/>
        <v>1</v>
      </c>
      <c r="F88" s="9" t="str">
        <f>IF(E88&gt;0,"",
INDEX(entities[entity_id],MATCH('cust-code'!C88,entities[custom entity '#],0))&amp;":")</f>
        <v/>
      </c>
      <c r="G88" s="9" t="str">
        <f ca="1">IF(E88=0,"",
INDEX(entities[[line 1]:[line 4]],MATCH('cust-code'!C88,entities[custom entity '#],0),'cust-code'!E88))</f>
        <v xml:space="preserve">  icon: mdi:desktop-tower</v>
      </c>
      <c r="H88" s="9" t="str">
        <f t="shared" ca="1" si="6"/>
        <v xml:space="preserve">  icon: mdi:desktop-tower</v>
      </c>
      <c r="I88" s="9" t="str">
        <f t="shared" si="7"/>
        <v/>
      </c>
    </row>
    <row r="89" spans="2:9" x14ac:dyDescent="0.45">
      <c r="B89" s="9">
        <f t="shared" si="5"/>
        <v>84</v>
      </c>
      <c r="C89" s="9">
        <f t="shared" si="8"/>
        <v>41</v>
      </c>
      <c r="D89" s="22">
        <f>INDEX(entities[Custom Attributes],MATCH('cust-code'!C89,entities[custom entity '#],0))</f>
        <v>1</v>
      </c>
      <c r="E89" s="22">
        <f t="shared" si="9"/>
        <v>0</v>
      </c>
      <c r="F89" s="9" t="str">
        <f>IF(E89&gt;0,"",
INDEX(entities[entity_id],MATCH('cust-code'!C89,entities[custom entity '#],0))&amp;":")</f>
        <v>device_tracker.jeep:</v>
      </c>
      <c r="G89" s="9" t="str">
        <f>IF(E89=0,"",
INDEX(entities[[line 1]:[line 4]],MATCH('cust-code'!C89,entities[custom entity '#],0),'cust-code'!E89))</f>
        <v/>
      </c>
      <c r="H89" s="9" t="str">
        <f t="shared" si="6"/>
        <v>device_tracker.jeep:</v>
      </c>
      <c r="I89" s="9" t="str">
        <f t="shared" si="7"/>
        <v/>
      </c>
    </row>
    <row r="90" spans="2:9" x14ac:dyDescent="0.45">
      <c r="B90" s="9">
        <f t="shared" si="5"/>
        <v>85</v>
      </c>
      <c r="C90" s="9">
        <f t="shared" si="8"/>
        <v>41</v>
      </c>
      <c r="D90" s="22">
        <f>INDEX(entities[Custom Attributes],MATCH('cust-code'!C90,entities[custom entity '#],0))</f>
        <v>1</v>
      </c>
      <c r="E90" s="22">
        <f t="shared" si="9"/>
        <v>1</v>
      </c>
      <c r="F90" s="9" t="str">
        <f>IF(E90&gt;0,"",
INDEX(entities[entity_id],MATCH('cust-code'!C90,entities[custom entity '#],0))&amp;":")</f>
        <v/>
      </c>
      <c r="G90" s="9" t="str">
        <f ca="1">IF(E90=0,"",
INDEX(entities[[line 1]:[line 4]],MATCH('cust-code'!C90,entities[custom entity '#],0),'cust-code'!E90))</f>
        <v xml:space="preserve">  icon: mdi:laptop</v>
      </c>
      <c r="H90" s="9" t="str">
        <f t="shared" ca="1" si="6"/>
        <v xml:space="preserve">  icon: mdi:laptop</v>
      </c>
      <c r="I90" s="9" t="str">
        <f t="shared" si="7"/>
        <v/>
      </c>
    </row>
    <row r="91" spans="2:9" x14ac:dyDescent="0.45">
      <c r="B91" s="9">
        <f t="shared" si="5"/>
        <v>86</v>
      </c>
      <c r="C91" s="9">
        <f t="shared" si="8"/>
        <v>42</v>
      </c>
      <c r="D91" s="22">
        <f>INDEX(entities[Custom Attributes],MATCH('cust-code'!C91,entities[custom entity '#],0))</f>
        <v>1</v>
      </c>
      <c r="E91" s="22">
        <f t="shared" si="9"/>
        <v>0</v>
      </c>
      <c r="F91" s="9" t="str">
        <f>IF(E91&gt;0,"",
INDEX(entities[entity_id],MATCH('cust-code'!C91,entities[custom entity '#],0))&amp;":")</f>
        <v>device_tracker.jtac:</v>
      </c>
      <c r="G91" s="9" t="str">
        <f>IF(E91=0,"",
INDEX(entities[[line 1]:[line 4]],MATCH('cust-code'!C91,entities[custom entity '#],0),'cust-code'!E91))</f>
        <v/>
      </c>
      <c r="H91" s="9" t="str">
        <f t="shared" si="6"/>
        <v>device_tracker.jtac:</v>
      </c>
      <c r="I91" s="9" t="str">
        <f t="shared" si="7"/>
        <v/>
      </c>
    </row>
    <row r="92" spans="2:9" x14ac:dyDescent="0.45">
      <c r="B92" s="9">
        <f t="shared" si="5"/>
        <v>87</v>
      </c>
      <c r="C92" s="9">
        <f t="shared" si="8"/>
        <v>42</v>
      </c>
      <c r="D92" s="22">
        <f>INDEX(entities[Custom Attributes],MATCH('cust-code'!C92,entities[custom entity '#],0))</f>
        <v>1</v>
      </c>
      <c r="E92" s="22">
        <f t="shared" si="9"/>
        <v>1</v>
      </c>
      <c r="F92" s="9" t="str">
        <f>IF(E92&gt;0,"",
INDEX(entities[entity_id],MATCH('cust-code'!C92,entities[custom entity '#],0))&amp;":")</f>
        <v/>
      </c>
      <c r="G92" s="9" t="str">
        <f ca="1">IF(E92=0,"",
INDEX(entities[[line 1]:[line 4]],MATCH('cust-code'!C92,entities[custom entity '#],0),'cust-code'!E92))</f>
        <v xml:space="preserve">  icon: mdi:pi</v>
      </c>
      <c r="H92" s="9" t="str">
        <f t="shared" ca="1" si="6"/>
        <v xml:space="preserve">  icon: mdi:pi</v>
      </c>
      <c r="I92" s="9" t="str">
        <f t="shared" si="7"/>
        <v/>
      </c>
    </row>
    <row r="93" spans="2:9" x14ac:dyDescent="0.45">
      <c r="B93" s="9">
        <f t="shared" si="5"/>
        <v>88</v>
      </c>
      <c r="C93" s="9">
        <f t="shared" si="8"/>
        <v>43</v>
      </c>
      <c r="D93" s="22">
        <f>INDEX(entities[Custom Attributes],MATCH('cust-code'!C93,entities[custom entity '#],0))</f>
        <v>1</v>
      </c>
      <c r="E93" s="22">
        <f t="shared" si="9"/>
        <v>0</v>
      </c>
      <c r="F93" s="9" t="str">
        <f>IF(E93&gt;0,"",
INDEX(entities[entity_id],MATCH('cust-code'!C93,entities[custom entity '#],0))&amp;":")</f>
        <v>device_tracker.raspi_vpn:</v>
      </c>
      <c r="G93" s="9" t="str">
        <f>IF(E93=0,"",
INDEX(entities[[line 1]:[line 4]],MATCH('cust-code'!C93,entities[custom entity '#],0),'cust-code'!E93))</f>
        <v/>
      </c>
      <c r="H93" s="9" t="str">
        <f t="shared" si="6"/>
        <v>device_tracker.raspi_vpn:</v>
      </c>
      <c r="I93" s="9" t="str">
        <f t="shared" si="7"/>
        <v/>
      </c>
    </row>
    <row r="94" spans="2:9" x14ac:dyDescent="0.45">
      <c r="B94" s="9">
        <f t="shared" si="5"/>
        <v>89</v>
      </c>
      <c r="C94" s="9">
        <f t="shared" si="8"/>
        <v>43</v>
      </c>
      <c r="D94" s="22">
        <f>INDEX(entities[Custom Attributes],MATCH('cust-code'!C94,entities[custom entity '#],0))</f>
        <v>1</v>
      </c>
      <c r="E94" s="22">
        <f t="shared" si="9"/>
        <v>1</v>
      </c>
      <c r="F94" s="9" t="str">
        <f>IF(E94&gt;0,"",
INDEX(entities[entity_id],MATCH('cust-code'!C94,entities[custom entity '#],0))&amp;":")</f>
        <v/>
      </c>
      <c r="G94" s="9" t="str">
        <f ca="1">IF(E94=0,"",
INDEX(entities[[line 1]:[line 4]],MATCH('cust-code'!C94,entities[custom entity '#],0),'cust-code'!E94))</f>
        <v xml:space="preserve">  icon: mdi:vpn</v>
      </c>
      <c r="H94" s="9" t="str">
        <f t="shared" ca="1" si="6"/>
        <v xml:space="preserve">  icon: mdi:vpn</v>
      </c>
      <c r="I94" s="9" t="str">
        <f t="shared" si="7"/>
        <v/>
      </c>
    </row>
    <row r="95" spans="2:9" x14ac:dyDescent="0.45">
      <c r="B95" s="9">
        <f t="shared" si="5"/>
        <v>90</v>
      </c>
      <c r="C95" s="9">
        <f t="shared" si="8"/>
        <v>44</v>
      </c>
      <c r="D95" s="22">
        <f>INDEX(entities[Custom Attributes],MATCH('cust-code'!C95,entities[custom entity '#],0))</f>
        <v>1</v>
      </c>
      <c r="E95" s="22">
        <f t="shared" si="9"/>
        <v>0</v>
      </c>
      <c r="F95" s="9" t="str">
        <f>IF(E95&gt;0,"",
INDEX(entities[entity_id],MATCH('cust-code'!C95,entities[custom entity '#],0))&amp;":")</f>
        <v>device_tracker.ron_phone:</v>
      </c>
      <c r="G95" s="9" t="str">
        <f>IF(E95=0,"",
INDEX(entities[[line 1]:[line 4]],MATCH('cust-code'!C95,entities[custom entity '#],0),'cust-code'!E95))</f>
        <v/>
      </c>
      <c r="H95" s="9" t="str">
        <f t="shared" si="6"/>
        <v>device_tracker.ron_phone:</v>
      </c>
      <c r="I95" s="9" t="str">
        <f t="shared" si="7"/>
        <v/>
      </c>
    </row>
    <row r="96" spans="2:9" x14ac:dyDescent="0.45">
      <c r="B96" s="9">
        <f t="shared" si="5"/>
        <v>91</v>
      </c>
      <c r="C96" s="9">
        <f t="shared" si="8"/>
        <v>44</v>
      </c>
      <c r="D96" s="22">
        <f>INDEX(entities[Custom Attributes],MATCH('cust-code'!C96,entities[custom entity '#],0))</f>
        <v>1</v>
      </c>
      <c r="E96" s="22">
        <f t="shared" si="9"/>
        <v>1</v>
      </c>
      <c r="F96" s="9" t="str">
        <f>IF(E96&gt;0,"",
INDEX(entities[entity_id],MATCH('cust-code'!C96,entities[custom entity '#],0))&amp;":")</f>
        <v/>
      </c>
      <c r="G96" s="9" t="str">
        <f ca="1">IF(E96=0,"",
INDEX(entities[[line 1]:[line 4]],MATCH('cust-code'!C96,entities[custom entity '#],0),'cust-code'!E96))</f>
        <v xml:space="preserve">  icon: mdi:cellphone-android</v>
      </c>
      <c r="H96" s="9" t="str">
        <f t="shared" ca="1" si="6"/>
        <v xml:space="preserve">  icon: mdi:cellphone-android</v>
      </c>
      <c r="I96" s="9" t="str">
        <f t="shared" si="7"/>
        <v/>
      </c>
    </row>
    <row r="97" spans="2:9" x14ac:dyDescent="0.45">
      <c r="B97" s="9">
        <f t="shared" si="5"/>
        <v>92</v>
      </c>
      <c r="C97" s="9">
        <f t="shared" si="8"/>
        <v>45</v>
      </c>
      <c r="D97" s="22">
        <f>INDEX(entities[Custom Attributes],MATCH('cust-code'!C97,entities[custom entity '#],0))</f>
        <v>1</v>
      </c>
      <c r="E97" s="22">
        <f t="shared" si="9"/>
        <v>0</v>
      </c>
      <c r="F97" s="9" t="str">
        <f>IF(E97&gt;0,"",
INDEX(entities[entity_id],MATCH('cust-code'!C97,entities[custom entity '#],0))&amp;":")</f>
        <v>device_tracker.tank:</v>
      </c>
      <c r="G97" s="9" t="str">
        <f>IF(E97=0,"",
INDEX(entities[[line 1]:[line 4]],MATCH('cust-code'!C97,entities[custom entity '#],0),'cust-code'!E97))</f>
        <v/>
      </c>
      <c r="H97" s="9" t="str">
        <f t="shared" si="6"/>
        <v>device_tracker.tank:</v>
      </c>
      <c r="I97" s="9" t="str">
        <f t="shared" si="7"/>
        <v/>
      </c>
    </row>
    <row r="98" spans="2:9" x14ac:dyDescent="0.45">
      <c r="B98" s="9">
        <f t="shared" si="5"/>
        <v>93</v>
      </c>
      <c r="C98" s="9">
        <f t="shared" si="8"/>
        <v>45</v>
      </c>
      <c r="D98" s="22">
        <f>INDEX(entities[Custom Attributes],MATCH('cust-code'!C98,entities[custom entity '#],0))</f>
        <v>1</v>
      </c>
      <c r="E98" s="22">
        <f t="shared" si="9"/>
        <v>1</v>
      </c>
      <c r="F98" s="9" t="str">
        <f>IF(E98&gt;0,"",
INDEX(entities[entity_id],MATCH('cust-code'!C98,entities[custom entity '#],0))&amp;":")</f>
        <v/>
      </c>
      <c r="G98" s="9" t="str">
        <f ca="1">IF(E98=0,"",
INDEX(entities[[line 1]:[line 4]],MATCH('cust-code'!C98,entities[custom entity '#],0),'cust-code'!E98))</f>
        <v xml:space="preserve">  icon: mdi:server</v>
      </c>
      <c r="H98" s="9" t="str">
        <f t="shared" ca="1" si="6"/>
        <v xml:space="preserve">  icon: mdi:server</v>
      </c>
      <c r="I98" s="9" t="str">
        <f t="shared" si="7"/>
        <v/>
      </c>
    </row>
    <row r="99" spans="2:9" x14ac:dyDescent="0.45">
      <c r="B99" s="9">
        <f t="shared" si="5"/>
        <v>94</v>
      </c>
      <c r="C99" s="9">
        <f t="shared" si="8"/>
        <v>46</v>
      </c>
      <c r="D99" s="22">
        <f>INDEX(entities[Custom Attributes],MATCH('cust-code'!C99,entities[custom entity '#],0))</f>
        <v>1</v>
      </c>
      <c r="E99" s="22">
        <f t="shared" si="9"/>
        <v>0</v>
      </c>
      <c r="F99" s="9" t="str">
        <f>IF(E99&gt;0,"",
INDEX(entities[entity_id],MATCH('cust-code'!C99,entities[custom entity '#],0))&amp;":")</f>
        <v>device_tracker.wf2ir:</v>
      </c>
      <c r="G99" s="9" t="str">
        <f>IF(E99=0,"",
INDEX(entities[[line 1]:[line 4]],MATCH('cust-code'!C99,entities[custom entity '#],0),'cust-code'!E99))</f>
        <v/>
      </c>
      <c r="H99" s="9" t="str">
        <f t="shared" si="6"/>
        <v>device_tracker.wf2ir:</v>
      </c>
      <c r="I99" s="9" t="str">
        <f t="shared" si="7"/>
        <v/>
      </c>
    </row>
    <row r="100" spans="2:9" x14ac:dyDescent="0.45">
      <c r="B100" s="9">
        <f t="shared" si="5"/>
        <v>95</v>
      </c>
      <c r="C100" s="9">
        <f t="shared" si="8"/>
        <v>46</v>
      </c>
      <c r="D100" s="22">
        <f>INDEX(entities[Custom Attributes],MATCH('cust-code'!C100,entities[custom entity '#],0))</f>
        <v>1</v>
      </c>
      <c r="E100" s="22">
        <f t="shared" si="9"/>
        <v>1</v>
      </c>
      <c r="F100" s="9" t="str">
        <f>IF(E100&gt;0,"",
INDEX(entities[entity_id],MATCH('cust-code'!C100,entities[custom entity '#],0))&amp;":")</f>
        <v/>
      </c>
      <c r="G100" s="9" t="str">
        <f ca="1">IF(E100=0,"",
INDEX(entities[[line 1]:[line 4]],MATCH('cust-code'!C100,entities[custom entity '#],0),'cust-code'!E100))</f>
        <v xml:space="preserve">  icon: mdi:remote</v>
      </c>
      <c r="H100" s="9" t="str">
        <f t="shared" ca="1" si="6"/>
        <v xml:space="preserve">  icon: mdi:remote</v>
      </c>
      <c r="I100" s="9" t="str">
        <f t="shared" si="7"/>
        <v/>
      </c>
    </row>
    <row r="101" spans="2:9" x14ac:dyDescent="0.45">
      <c r="B101" s="9">
        <f t="shared" si="5"/>
        <v>96</v>
      </c>
      <c r="C101" s="9">
        <f t="shared" si="8"/>
        <v>47</v>
      </c>
      <c r="D101" s="22">
        <f>INDEX(entities[Custom Attributes],MATCH('cust-code'!C101,entities[custom entity '#],0))</f>
        <v>1</v>
      </c>
      <c r="E101" s="22">
        <f t="shared" si="9"/>
        <v>0</v>
      </c>
      <c r="F101" s="9" t="str">
        <f>IF(E101&gt;0,"",
INDEX(entities[entity_id],MATCH('cust-code'!C101,entities[custom entity '#],0))&amp;":")</f>
        <v>device_tracker.withings_scale:</v>
      </c>
      <c r="G101" s="9" t="str">
        <f>IF(E101=0,"",
INDEX(entities[[line 1]:[line 4]],MATCH('cust-code'!C101,entities[custom entity '#],0),'cust-code'!E101))</f>
        <v/>
      </c>
      <c r="H101" s="9" t="str">
        <f t="shared" si="6"/>
        <v>device_tracker.withings_scale:</v>
      </c>
      <c r="I101" s="9" t="str">
        <f t="shared" si="7"/>
        <v/>
      </c>
    </row>
    <row r="102" spans="2:9" x14ac:dyDescent="0.45">
      <c r="B102" s="9">
        <f t="shared" si="5"/>
        <v>97</v>
      </c>
      <c r="C102" s="9">
        <f t="shared" si="8"/>
        <v>47</v>
      </c>
      <c r="D102" s="22">
        <f>INDEX(entities[Custom Attributes],MATCH('cust-code'!C102,entities[custom entity '#],0))</f>
        <v>1</v>
      </c>
      <c r="E102" s="22">
        <f t="shared" si="9"/>
        <v>1</v>
      </c>
      <c r="F102" s="9" t="str">
        <f>IF(E102&gt;0,"",
INDEX(entities[entity_id],MATCH('cust-code'!C102,entities[custom entity '#],0))&amp;":")</f>
        <v/>
      </c>
      <c r="G102" s="9" t="str">
        <f ca="1">IF(E102=0,"",
INDEX(entities[[line 1]:[line 4]],MATCH('cust-code'!C102,entities[custom entity '#],0),'cust-code'!E102))</f>
        <v xml:space="preserve">  icon: mdi:scale-bathroom</v>
      </c>
      <c r="H102" s="9" t="str">
        <f t="shared" ca="1" si="6"/>
        <v xml:space="preserve">  icon: mdi:scale-bathroom</v>
      </c>
      <c r="I102" s="9" t="str">
        <f t="shared" si="7"/>
        <v/>
      </c>
    </row>
    <row r="103" spans="2:9" x14ac:dyDescent="0.45">
      <c r="B103" s="9">
        <f t="shared" si="5"/>
        <v>98</v>
      </c>
      <c r="C103" s="9">
        <f t="shared" si="8"/>
        <v>48</v>
      </c>
      <c r="D103" s="22">
        <f>INDEX(entities[Custom Attributes],MATCH('cust-code'!C103,entities[custom entity '#],0))</f>
        <v>1</v>
      </c>
      <c r="E103" s="22">
        <f t="shared" si="9"/>
        <v>0</v>
      </c>
      <c r="F103" s="9" t="str">
        <f>IF(E103&gt;0,"",
INDEX(entities[entity_id],MATCH('cust-code'!C103,entities[custom entity '#],0))&amp;":")</f>
        <v>group.automation_almclk:</v>
      </c>
      <c r="G103" s="9" t="str">
        <f>IF(E103=0,"",
INDEX(entities[[line 1]:[line 4]],MATCH('cust-code'!C103,entities[custom entity '#],0),'cust-code'!E103))</f>
        <v/>
      </c>
      <c r="H103" s="9" t="str">
        <f t="shared" si="6"/>
        <v>group.automation_almclk:</v>
      </c>
      <c r="I103" s="9" t="str">
        <f t="shared" si="7"/>
        <v/>
      </c>
    </row>
    <row r="104" spans="2:9" x14ac:dyDescent="0.45">
      <c r="B104" s="9">
        <f t="shared" si="5"/>
        <v>99</v>
      </c>
      <c r="C104" s="9">
        <f t="shared" si="8"/>
        <v>48</v>
      </c>
      <c r="D104" s="22">
        <f>INDEX(entities[Custom Attributes],MATCH('cust-code'!C104,entities[custom entity '#],0))</f>
        <v>1</v>
      </c>
      <c r="E104" s="22">
        <f t="shared" si="9"/>
        <v>1</v>
      </c>
      <c r="F104" s="9" t="str">
        <f>IF(E104&gt;0,"",
INDEX(entities[entity_id],MATCH('cust-code'!C104,entities[custom entity '#],0))&amp;":")</f>
        <v/>
      </c>
      <c r="G104" s="9" t="str">
        <f ca="1">IF(E104=0,"",
INDEX(entities[[line 1]:[line 4]],MATCH('cust-code'!C104,entities[custom entity '#],0),'cust-code'!E104))</f>
        <v xml:space="preserve">  hidden: true</v>
      </c>
      <c r="H104" s="9" t="str">
        <f t="shared" ca="1" si="6"/>
        <v xml:space="preserve">  hidden: true</v>
      </c>
      <c r="I104" s="9" t="str">
        <f t="shared" si="7"/>
        <v/>
      </c>
    </row>
    <row r="105" spans="2:9" x14ac:dyDescent="0.45">
      <c r="B105" s="9">
        <f t="shared" si="5"/>
        <v>100</v>
      </c>
      <c r="C105" s="9">
        <f t="shared" si="8"/>
        <v>49</v>
      </c>
      <c r="D105" s="22">
        <f>INDEX(entities[Custom Attributes],MATCH('cust-code'!C105,entities[custom entity '#],0))</f>
        <v>1</v>
      </c>
      <c r="E105" s="22">
        <f t="shared" si="9"/>
        <v>0</v>
      </c>
      <c r="F105" s="9" t="str">
        <f>IF(E105&gt;0,"",
INDEX(entities[entity_id],MATCH('cust-code'!C105,entities[custom entity '#],0))&amp;":")</f>
        <v>group.automation_ifttt:</v>
      </c>
      <c r="G105" s="9" t="str">
        <f>IF(E105=0,"",
INDEX(entities[[line 1]:[line 4]],MATCH('cust-code'!C105,entities[custom entity '#],0),'cust-code'!E105))</f>
        <v/>
      </c>
      <c r="H105" s="9" t="str">
        <f t="shared" si="6"/>
        <v>group.automation_ifttt:</v>
      </c>
      <c r="I105" s="9" t="str">
        <f t="shared" si="7"/>
        <v/>
      </c>
    </row>
    <row r="106" spans="2:9" x14ac:dyDescent="0.45">
      <c r="B106" s="9">
        <f t="shared" ref="B106:B163" si="10">B105+1</f>
        <v>101</v>
      </c>
      <c r="C106" s="9">
        <f t="shared" ref="C106:C163" si="11">IF(E106=0,C105+1,C105)</f>
        <v>49</v>
      </c>
      <c r="D106" s="22">
        <f>INDEX(entities[Custom Attributes],MATCH('cust-code'!C106,entities[custom entity '#],0))</f>
        <v>1</v>
      </c>
      <c r="E106" s="22">
        <f t="shared" ref="E106:E163" si="12">IF(E105=D105,0,E105+1)</f>
        <v>1</v>
      </c>
      <c r="F106" s="9" t="str">
        <f>IF(E106&gt;0,"",
INDEX(entities[entity_id],MATCH('cust-code'!C106,entities[custom entity '#],0))&amp;":")</f>
        <v/>
      </c>
      <c r="G106" s="9" t="str">
        <f ca="1">IF(E106=0,"",
INDEX(entities[[line 1]:[line 4]],MATCH('cust-code'!C106,entities[custom entity '#],0),'cust-code'!E106))</f>
        <v xml:space="preserve">  hidden: true</v>
      </c>
      <c r="H106" s="9" t="str">
        <f t="shared" ca="1" si="6"/>
        <v xml:space="preserve">  hidden: true</v>
      </c>
      <c r="I106" s="9" t="str">
        <f t="shared" si="7"/>
        <v/>
      </c>
    </row>
    <row r="107" spans="2:9" x14ac:dyDescent="0.45">
      <c r="B107" s="9">
        <f t="shared" si="10"/>
        <v>102</v>
      </c>
      <c r="C107" s="9">
        <f t="shared" si="11"/>
        <v>50</v>
      </c>
      <c r="D107" s="22">
        <f>INDEX(entities[Custom Attributes],MATCH('cust-code'!C107,entities[custom entity '#],0))</f>
        <v>1</v>
      </c>
      <c r="E107" s="22">
        <f t="shared" si="12"/>
        <v>0</v>
      </c>
      <c r="F107" s="9" t="str">
        <f>IF(E107&gt;0,"",
INDEX(entities[entity_id],MATCH('cust-code'!C107,entities[custom entity '#],0))&amp;":")</f>
        <v>group.automation_locaway:</v>
      </c>
      <c r="G107" s="9" t="str">
        <f>IF(E107=0,"",
INDEX(entities[[line 1]:[line 4]],MATCH('cust-code'!C107,entities[custom entity '#],0),'cust-code'!E107))</f>
        <v/>
      </c>
      <c r="H107" s="9" t="str">
        <f t="shared" si="6"/>
        <v>group.automation_locaway:</v>
      </c>
      <c r="I107" s="9" t="str">
        <f t="shared" si="7"/>
        <v/>
      </c>
    </row>
    <row r="108" spans="2:9" x14ac:dyDescent="0.45">
      <c r="B108" s="9">
        <f t="shared" si="10"/>
        <v>103</v>
      </c>
      <c r="C108" s="9">
        <f t="shared" si="11"/>
        <v>50</v>
      </c>
      <c r="D108" s="22">
        <f>INDEX(entities[Custom Attributes],MATCH('cust-code'!C108,entities[custom entity '#],0))</f>
        <v>1</v>
      </c>
      <c r="E108" s="22">
        <f t="shared" si="12"/>
        <v>1</v>
      </c>
      <c r="F108" s="9" t="str">
        <f>IF(E108&gt;0,"",
INDEX(entities[entity_id],MATCH('cust-code'!C108,entities[custom entity '#],0))&amp;":")</f>
        <v/>
      </c>
      <c r="G108" s="9" t="str">
        <f ca="1">IF(E108=0,"",
INDEX(entities[[line 1]:[line 4]],MATCH('cust-code'!C108,entities[custom entity '#],0),'cust-code'!E108))</f>
        <v xml:space="preserve">  hidden: true</v>
      </c>
      <c r="H108" s="9" t="str">
        <f t="shared" ca="1" si="6"/>
        <v xml:space="preserve">  hidden: true</v>
      </c>
      <c r="I108" s="9" t="str">
        <f t="shared" si="7"/>
        <v/>
      </c>
    </row>
    <row r="109" spans="2:9" x14ac:dyDescent="0.45">
      <c r="B109" s="9">
        <f t="shared" si="10"/>
        <v>104</v>
      </c>
      <c r="C109" s="9">
        <f t="shared" si="11"/>
        <v>51</v>
      </c>
      <c r="D109" s="22">
        <f>INDEX(entities[Custom Attributes],MATCH('cust-code'!C109,entities[custom entity '#],0))</f>
        <v>1</v>
      </c>
      <c r="E109" s="22">
        <f t="shared" si="12"/>
        <v>0</v>
      </c>
      <c r="F109" s="9" t="str">
        <f>IF(E109&gt;0,"",
INDEX(entities[entity_id],MATCH('cust-code'!C109,entities[custom entity '#],0))&amp;":")</f>
        <v>group.automation_not:</v>
      </c>
      <c r="G109" s="9" t="str">
        <f>IF(E109=0,"",
INDEX(entities[[line 1]:[line 4]],MATCH('cust-code'!C109,entities[custom entity '#],0),'cust-code'!E109))</f>
        <v/>
      </c>
      <c r="H109" s="9" t="str">
        <f t="shared" si="6"/>
        <v>group.automation_not:</v>
      </c>
      <c r="I109" s="9" t="str">
        <f t="shared" si="7"/>
        <v/>
      </c>
    </row>
    <row r="110" spans="2:9" x14ac:dyDescent="0.45">
      <c r="B110" s="9">
        <f t="shared" si="10"/>
        <v>105</v>
      </c>
      <c r="C110" s="9">
        <f t="shared" si="11"/>
        <v>51</v>
      </c>
      <c r="D110" s="22">
        <f>INDEX(entities[Custom Attributes],MATCH('cust-code'!C110,entities[custom entity '#],0))</f>
        <v>1</v>
      </c>
      <c r="E110" s="22">
        <f t="shared" si="12"/>
        <v>1</v>
      </c>
      <c r="F110" s="9" t="str">
        <f>IF(E110&gt;0,"",
INDEX(entities[entity_id],MATCH('cust-code'!C110,entities[custom entity '#],0))&amp;":")</f>
        <v/>
      </c>
      <c r="G110" s="9" t="str">
        <f ca="1">IF(E110=0,"",
INDEX(entities[[line 1]:[line 4]],MATCH('cust-code'!C110,entities[custom entity '#],0),'cust-code'!E110))</f>
        <v xml:space="preserve">  hidden: true</v>
      </c>
      <c r="H110" s="9" t="str">
        <f t="shared" ca="1" si="6"/>
        <v xml:space="preserve">  hidden: true</v>
      </c>
      <c r="I110" s="9" t="str">
        <f t="shared" si="7"/>
        <v/>
      </c>
    </row>
    <row r="111" spans="2:9" x14ac:dyDescent="0.45">
      <c r="B111" s="9">
        <f t="shared" si="10"/>
        <v>106</v>
      </c>
      <c r="C111" s="9">
        <f t="shared" si="11"/>
        <v>52</v>
      </c>
      <c r="D111" s="22">
        <f>INDEX(entities[Custom Attributes],MATCH('cust-code'!C111,entities[custom entity '#],0))</f>
        <v>1</v>
      </c>
      <c r="E111" s="22">
        <f t="shared" si="12"/>
        <v>0</v>
      </c>
      <c r="F111" s="9" t="str">
        <f>IF(E111&gt;0,"",
INDEX(entities[entity_id],MATCH('cust-code'!C111,entities[custom entity '#],0))&amp;":")</f>
        <v>group.automation_rmbd:</v>
      </c>
      <c r="G111" s="9" t="str">
        <f>IF(E111=0,"",
INDEX(entities[[line 1]:[line 4]],MATCH('cust-code'!C111,entities[custom entity '#],0),'cust-code'!E111))</f>
        <v/>
      </c>
      <c r="H111" s="9" t="str">
        <f t="shared" si="6"/>
        <v>group.automation_rmbd:</v>
      </c>
      <c r="I111" s="9" t="str">
        <f t="shared" si="7"/>
        <v/>
      </c>
    </row>
    <row r="112" spans="2:9" x14ac:dyDescent="0.45">
      <c r="B112" s="9">
        <f t="shared" si="10"/>
        <v>107</v>
      </c>
      <c r="C112" s="9">
        <f t="shared" si="11"/>
        <v>52</v>
      </c>
      <c r="D112" s="22">
        <f>INDEX(entities[Custom Attributes],MATCH('cust-code'!C112,entities[custom entity '#],0))</f>
        <v>1</v>
      </c>
      <c r="E112" s="22">
        <f t="shared" si="12"/>
        <v>1</v>
      </c>
      <c r="F112" s="9" t="str">
        <f>IF(E112&gt;0,"",
INDEX(entities[entity_id],MATCH('cust-code'!C112,entities[custom entity '#],0))&amp;":")</f>
        <v/>
      </c>
      <c r="G112" s="9" t="str">
        <f ca="1">IF(E112=0,"",
INDEX(entities[[line 1]:[line 4]],MATCH('cust-code'!C112,entities[custom entity '#],0),'cust-code'!E112))</f>
        <v xml:space="preserve">  hidden: true</v>
      </c>
      <c r="H112" s="9" t="str">
        <f t="shared" ca="1" si="6"/>
        <v xml:space="preserve">  hidden: true</v>
      </c>
      <c r="I112" s="9" t="str">
        <f t="shared" si="7"/>
        <v/>
      </c>
    </row>
    <row r="113" spans="2:9" x14ac:dyDescent="0.45">
      <c r="B113" s="9">
        <f t="shared" si="10"/>
        <v>108</v>
      </c>
      <c r="C113" s="9">
        <f t="shared" si="11"/>
        <v>53</v>
      </c>
      <c r="D113" s="22">
        <f>INDEX(entities[Custom Attributes],MATCH('cust-code'!C113,entities[custom entity '#],0))</f>
        <v>1</v>
      </c>
      <c r="E113" s="22">
        <f t="shared" si="12"/>
        <v>0</v>
      </c>
      <c r="F113" s="9" t="str">
        <f>IF(E113&gt;0,"",
INDEX(entities[entity_id],MATCH('cust-code'!C113,entities[custom entity '#],0))&amp;":")</f>
        <v>group.automation_rmlv:</v>
      </c>
      <c r="G113" s="9" t="str">
        <f>IF(E113=0,"",
INDEX(entities[[line 1]:[line 4]],MATCH('cust-code'!C113,entities[custom entity '#],0),'cust-code'!E113))</f>
        <v/>
      </c>
      <c r="H113" s="9" t="str">
        <f t="shared" si="6"/>
        <v>group.automation_rmlv:</v>
      </c>
      <c r="I113" s="9" t="str">
        <f t="shared" si="7"/>
        <v/>
      </c>
    </row>
    <row r="114" spans="2:9" x14ac:dyDescent="0.45">
      <c r="B114" s="9">
        <f t="shared" si="10"/>
        <v>109</v>
      </c>
      <c r="C114" s="9">
        <f t="shared" si="11"/>
        <v>53</v>
      </c>
      <c r="D114" s="22">
        <f>INDEX(entities[Custom Attributes],MATCH('cust-code'!C114,entities[custom entity '#],0))</f>
        <v>1</v>
      </c>
      <c r="E114" s="22">
        <f t="shared" si="12"/>
        <v>1</v>
      </c>
      <c r="F114" s="9" t="str">
        <f>IF(E114&gt;0,"",
INDEX(entities[entity_id],MATCH('cust-code'!C114,entities[custom entity '#],0))&amp;":")</f>
        <v/>
      </c>
      <c r="G114" s="9" t="str">
        <f ca="1">IF(E114=0,"",
INDEX(entities[[line 1]:[line 4]],MATCH('cust-code'!C114,entities[custom entity '#],0),'cust-code'!E114))</f>
        <v xml:space="preserve">  hidden: true</v>
      </c>
      <c r="H114" s="9" t="str">
        <f t="shared" ca="1" si="6"/>
        <v xml:space="preserve">  hidden: true</v>
      </c>
      <c r="I114" s="9" t="str">
        <f t="shared" si="7"/>
        <v/>
      </c>
    </row>
    <row r="115" spans="2:9" x14ac:dyDescent="0.45">
      <c r="B115" s="9">
        <f t="shared" si="10"/>
        <v>110</v>
      </c>
      <c r="C115" s="9">
        <f t="shared" si="11"/>
        <v>54</v>
      </c>
      <c r="D115" s="22">
        <f>INDEX(entities[Custom Attributes],MATCH('cust-code'!C115,entities[custom entity '#],0))</f>
        <v>1</v>
      </c>
      <c r="E115" s="22">
        <f t="shared" si="12"/>
        <v>0</v>
      </c>
      <c r="F115" s="9" t="str">
        <f>IF(E115&gt;0,"",
INDEX(entities[entity_id],MATCH('cust-code'!C115,entities[custom entity '#],0))&amp;":")</f>
        <v>group.automation_rmlvtv:</v>
      </c>
      <c r="G115" s="9" t="str">
        <f>IF(E115=0,"",
INDEX(entities[[line 1]:[line 4]],MATCH('cust-code'!C115,entities[custom entity '#],0),'cust-code'!E115))</f>
        <v/>
      </c>
      <c r="H115" s="9" t="str">
        <f t="shared" si="6"/>
        <v>group.automation_rmlvtv:</v>
      </c>
      <c r="I115" s="9" t="str">
        <f t="shared" si="7"/>
        <v/>
      </c>
    </row>
    <row r="116" spans="2:9" x14ac:dyDescent="0.45">
      <c r="B116" s="9">
        <f t="shared" si="10"/>
        <v>111</v>
      </c>
      <c r="C116" s="9">
        <f t="shared" si="11"/>
        <v>54</v>
      </c>
      <c r="D116" s="22">
        <f>INDEX(entities[Custom Attributes],MATCH('cust-code'!C116,entities[custom entity '#],0))</f>
        <v>1</v>
      </c>
      <c r="E116" s="22">
        <f t="shared" si="12"/>
        <v>1</v>
      </c>
      <c r="F116" s="9" t="str">
        <f>IF(E116&gt;0,"",
INDEX(entities[entity_id],MATCH('cust-code'!C116,entities[custom entity '#],0))&amp;":")</f>
        <v/>
      </c>
      <c r="G116" s="9" t="str">
        <f ca="1">IF(E116=0,"",
INDEX(entities[[line 1]:[line 4]],MATCH('cust-code'!C116,entities[custom entity '#],0),'cust-code'!E116))</f>
        <v xml:space="preserve">  hidden: true</v>
      </c>
      <c r="H116" s="9" t="str">
        <f t="shared" ca="1" si="6"/>
        <v xml:space="preserve">  hidden: true</v>
      </c>
      <c r="I116" s="9" t="str">
        <f t="shared" si="7"/>
        <v/>
      </c>
    </row>
    <row r="117" spans="2:9" x14ac:dyDescent="0.45">
      <c r="B117" s="9">
        <f t="shared" si="10"/>
        <v>112</v>
      </c>
      <c r="C117" s="9">
        <f t="shared" si="11"/>
        <v>55</v>
      </c>
      <c r="D117" s="22">
        <f>INDEX(entities[Custom Attributes],MATCH('cust-code'!C117,entities[custom entity '#],0))</f>
        <v>1</v>
      </c>
      <c r="E117" s="22">
        <f t="shared" si="12"/>
        <v>0</v>
      </c>
      <c r="F117" s="9" t="str">
        <f>IF(E117&gt;0,"",
INDEX(entities[entity_id],MATCH('cust-code'!C117,entities[custom entity '#],0))&amp;":")</f>
        <v>group.automation_statfriend:</v>
      </c>
      <c r="G117" s="9" t="str">
        <f>IF(E117=0,"",
INDEX(entities[[line 1]:[line 4]],MATCH('cust-code'!C117,entities[custom entity '#],0),'cust-code'!E117))</f>
        <v/>
      </c>
      <c r="H117" s="9" t="str">
        <f t="shared" si="6"/>
        <v>group.automation_statfriend:</v>
      </c>
      <c r="I117" s="9" t="str">
        <f t="shared" si="7"/>
        <v/>
      </c>
    </row>
    <row r="118" spans="2:9" x14ac:dyDescent="0.45">
      <c r="B118" s="9">
        <f t="shared" si="10"/>
        <v>113</v>
      </c>
      <c r="C118" s="9">
        <f t="shared" si="11"/>
        <v>55</v>
      </c>
      <c r="D118" s="22">
        <f>INDEX(entities[Custom Attributes],MATCH('cust-code'!C118,entities[custom entity '#],0))</f>
        <v>1</v>
      </c>
      <c r="E118" s="22">
        <f t="shared" si="12"/>
        <v>1</v>
      </c>
      <c r="F118" s="9" t="str">
        <f>IF(E118&gt;0,"",
INDEX(entities[entity_id],MATCH('cust-code'!C118,entities[custom entity '#],0))&amp;":")</f>
        <v/>
      </c>
      <c r="G118" s="9" t="str">
        <f ca="1">IF(E118=0,"",
INDEX(entities[[line 1]:[line 4]],MATCH('cust-code'!C118,entities[custom entity '#],0),'cust-code'!E118))</f>
        <v xml:space="preserve">  hidden: true</v>
      </c>
      <c r="H118" s="9" t="str">
        <f t="shared" ca="1" si="6"/>
        <v xml:space="preserve">  hidden: true</v>
      </c>
      <c r="I118" s="9" t="str">
        <f t="shared" si="7"/>
        <v/>
      </c>
    </row>
    <row r="119" spans="2:9" x14ac:dyDescent="0.45">
      <c r="B119" s="9">
        <f t="shared" si="10"/>
        <v>114</v>
      </c>
      <c r="C119" s="9">
        <f t="shared" si="11"/>
        <v>56</v>
      </c>
      <c r="D119" s="22">
        <f>INDEX(entities[Custom Attributes],MATCH('cust-code'!C119,entities[custom entity '#],0))</f>
        <v>1</v>
      </c>
      <c r="E119" s="22">
        <f t="shared" si="12"/>
        <v>0</v>
      </c>
      <c r="F119" s="9" t="str">
        <f>IF(E119&gt;0,"",
INDEX(entities[entity_id],MATCH('cust-code'!C119,entities[custom entity '#],0))&amp;":")</f>
        <v>group.automation_statron:</v>
      </c>
      <c r="G119" s="9" t="str">
        <f>IF(E119=0,"",
INDEX(entities[[line 1]:[line 4]],MATCH('cust-code'!C119,entities[custom entity '#],0),'cust-code'!E119))</f>
        <v/>
      </c>
      <c r="H119" s="9" t="str">
        <f t="shared" si="6"/>
        <v>group.automation_statron:</v>
      </c>
      <c r="I119" s="9" t="str">
        <f t="shared" si="7"/>
        <v/>
      </c>
    </row>
    <row r="120" spans="2:9" x14ac:dyDescent="0.45">
      <c r="B120" s="9">
        <f t="shared" si="10"/>
        <v>115</v>
      </c>
      <c r="C120" s="9">
        <f t="shared" si="11"/>
        <v>56</v>
      </c>
      <c r="D120" s="22">
        <f>INDEX(entities[Custom Attributes],MATCH('cust-code'!C120,entities[custom entity '#],0))</f>
        <v>1</v>
      </c>
      <c r="E120" s="22">
        <f t="shared" si="12"/>
        <v>1</v>
      </c>
      <c r="F120" s="9" t="str">
        <f>IF(E120&gt;0,"",
INDEX(entities[entity_id],MATCH('cust-code'!C120,entities[custom entity '#],0))&amp;":")</f>
        <v/>
      </c>
      <c r="G120" s="9" t="str">
        <f ca="1">IF(E120=0,"",
INDEX(entities[[line 1]:[line 4]],MATCH('cust-code'!C120,entities[custom entity '#],0),'cust-code'!E120))</f>
        <v xml:space="preserve">  hidden: true</v>
      </c>
      <c r="H120" s="9" t="str">
        <f t="shared" ca="1" si="6"/>
        <v xml:space="preserve">  hidden: true</v>
      </c>
      <c r="I120" s="9" t="str">
        <f t="shared" si="7"/>
        <v/>
      </c>
    </row>
    <row r="121" spans="2:9" x14ac:dyDescent="0.45">
      <c r="B121" s="9">
        <f t="shared" si="10"/>
        <v>116</v>
      </c>
      <c r="C121" s="9">
        <f t="shared" si="11"/>
        <v>57</v>
      </c>
      <c r="D121" s="22">
        <f>INDEX(entities[Custom Attributes],MATCH('cust-code'!C121,entities[custom entity '#],0))</f>
        <v>1</v>
      </c>
      <c r="E121" s="22">
        <f t="shared" si="12"/>
        <v>0</v>
      </c>
      <c r="F121" s="9" t="str">
        <f>IF(E121&gt;0,"",
INDEX(entities[entity_id],MATCH('cust-code'!C121,entities[custom entity '#],0))&amp;":")</f>
        <v>group.automation_statvac:</v>
      </c>
      <c r="G121" s="9" t="str">
        <f>IF(E121=0,"",
INDEX(entities[[line 1]:[line 4]],MATCH('cust-code'!C121,entities[custom entity '#],0),'cust-code'!E121))</f>
        <v/>
      </c>
      <c r="H121" s="9" t="str">
        <f t="shared" si="6"/>
        <v>group.automation_statvac:</v>
      </c>
      <c r="I121" s="9" t="str">
        <f t="shared" si="7"/>
        <v/>
      </c>
    </row>
    <row r="122" spans="2:9" x14ac:dyDescent="0.45">
      <c r="B122" s="9">
        <f t="shared" si="10"/>
        <v>117</v>
      </c>
      <c r="C122" s="9">
        <f t="shared" si="11"/>
        <v>57</v>
      </c>
      <c r="D122" s="22">
        <f>INDEX(entities[Custom Attributes],MATCH('cust-code'!C122,entities[custom entity '#],0))</f>
        <v>1</v>
      </c>
      <c r="E122" s="22">
        <f t="shared" si="12"/>
        <v>1</v>
      </c>
      <c r="F122" s="9" t="str">
        <f>IF(E122&gt;0,"",
INDEX(entities[entity_id],MATCH('cust-code'!C122,entities[custom entity '#],0))&amp;":")</f>
        <v/>
      </c>
      <c r="G122" s="9" t="str">
        <f ca="1">IF(E122=0,"",
INDEX(entities[[line 1]:[line 4]],MATCH('cust-code'!C122,entities[custom entity '#],0),'cust-code'!E122))</f>
        <v xml:space="preserve">  hidden: true</v>
      </c>
      <c r="H122" s="9" t="str">
        <f t="shared" ca="1" si="6"/>
        <v xml:space="preserve">  hidden: true</v>
      </c>
      <c r="I122" s="9" t="str">
        <f t="shared" si="7"/>
        <v/>
      </c>
    </row>
    <row r="123" spans="2:9" x14ac:dyDescent="0.45">
      <c r="B123" s="9">
        <f t="shared" si="10"/>
        <v>118</v>
      </c>
      <c r="C123" s="9">
        <f t="shared" si="11"/>
        <v>58</v>
      </c>
      <c r="D123" s="22">
        <f>INDEX(entities[Custom Attributes],MATCH('cust-code'!C123,entities[custom entity '#],0))</f>
        <v>2</v>
      </c>
      <c r="E123" s="22">
        <f t="shared" si="12"/>
        <v>0</v>
      </c>
      <c r="F123" s="9" t="str">
        <f>IF(E123&gt;0,"",
INDEX(entities[entity_id],MATCH('cust-code'!C123,entities[custom entity '#],0))&amp;":")</f>
        <v>input_boolean.alarm_clock_status:</v>
      </c>
      <c r="G123" s="9" t="str">
        <f>IF(E123=0,"",
INDEX(entities[[line 1]:[line 4]],MATCH('cust-code'!C123,entities[custom entity '#],0),'cust-code'!E123))</f>
        <v/>
      </c>
      <c r="H123" s="9" t="str">
        <f t="shared" si="6"/>
        <v>input_boolean.alarm_clock_status:</v>
      </c>
      <c r="I123" s="9" t="str">
        <f t="shared" si="7"/>
        <v/>
      </c>
    </row>
    <row r="124" spans="2:9" x14ac:dyDescent="0.45">
      <c r="B124" s="9">
        <f t="shared" si="10"/>
        <v>119</v>
      </c>
      <c r="C124" s="9">
        <f t="shared" si="11"/>
        <v>58</v>
      </c>
      <c r="D124" s="22">
        <f>INDEX(entities[Custom Attributes],MATCH('cust-code'!C124,entities[custom entity '#],0))</f>
        <v>2</v>
      </c>
      <c r="E124" s="22">
        <f t="shared" si="12"/>
        <v>1</v>
      </c>
      <c r="F124" s="9" t="str">
        <f>IF(E124&gt;0,"",
INDEX(entities[entity_id],MATCH('cust-code'!C124,entities[custom entity '#],0))&amp;":")</f>
        <v/>
      </c>
      <c r="G124" s="9" t="str">
        <f ca="1">IF(E124=0,"",
INDEX(entities[[line 1]:[line 4]],MATCH('cust-code'!C124,entities[custom entity '#],0),'cust-code'!E124))</f>
        <v xml:space="preserve">  friendly_name: Alarm Clock Status</v>
      </c>
      <c r="H124" s="9" t="str">
        <f t="shared" ca="1" si="6"/>
        <v xml:space="preserve">  friendly_name: Alarm Clock Status</v>
      </c>
      <c r="I124" s="9" t="str">
        <f t="shared" si="7"/>
        <v/>
      </c>
    </row>
    <row r="125" spans="2:9" x14ac:dyDescent="0.45">
      <c r="B125" s="9">
        <f t="shared" si="10"/>
        <v>120</v>
      </c>
      <c r="C125" s="9">
        <f t="shared" si="11"/>
        <v>58</v>
      </c>
      <c r="D125" s="22">
        <f>INDEX(entities[Custom Attributes],MATCH('cust-code'!C125,entities[custom entity '#],0))</f>
        <v>2</v>
      </c>
      <c r="E125" s="22">
        <f t="shared" si="12"/>
        <v>2</v>
      </c>
      <c r="F125" s="9" t="str">
        <f>IF(E125&gt;0,"",
INDEX(entities[entity_id],MATCH('cust-code'!C125,entities[custom entity '#],0))&amp;":")</f>
        <v/>
      </c>
      <c r="G125" s="9" t="str">
        <f ca="1">IF(E125=0,"",
INDEX(entities[[line 1]:[line 4]],MATCH('cust-code'!C125,entities[custom entity '#],0),'cust-code'!E125))</f>
        <v xml:space="preserve">  icon: mdi:alarm-check</v>
      </c>
      <c r="H125" s="9" t="str">
        <f t="shared" ca="1" si="6"/>
        <v xml:space="preserve">  icon: mdi:alarm-check</v>
      </c>
      <c r="I125" s="9" t="str">
        <f t="shared" si="7"/>
        <v/>
      </c>
    </row>
    <row r="126" spans="2:9" x14ac:dyDescent="0.45">
      <c r="B126" s="9">
        <f t="shared" si="10"/>
        <v>121</v>
      </c>
      <c r="C126" s="9">
        <f t="shared" si="11"/>
        <v>59</v>
      </c>
      <c r="D126" s="22">
        <f>INDEX(entities[Custom Attributes],MATCH('cust-code'!C126,entities[custom entity '#],0))</f>
        <v>2</v>
      </c>
      <c r="E126" s="22">
        <f t="shared" si="12"/>
        <v>0</v>
      </c>
      <c r="F126" s="9" t="str">
        <f>IF(E126&gt;0,"",
INDEX(entities[entity_id],MATCH('cust-code'!C126,entities[custom entity '#],0))&amp;":")</f>
        <v>input_slider.alarm_clock_hour:</v>
      </c>
      <c r="G126" s="9" t="str">
        <f>IF(E126=0,"",
INDEX(entities[[line 1]:[line 4]],MATCH('cust-code'!C126,entities[custom entity '#],0),'cust-code'!E126))</f>
        <v/>
      </c>
      <c r="H126" s="9" t="str">
        <f t="shared" si="6"/>
        <v>input_slider.alarm_clock_hour:</v>
      </c>
      <c r="I126" s="9" t="str">
        <f t="shared" si="7"/>
        <v/>
      </c>
    </row>
    <row r="127" spans="2:9" x14ac:dyDescent="0.45">
      <c r="B127" s="9">
        <f t="shared" si="10"/>
        <v>122</v>
      </c>
      <c r="C127" s="9">
        <f t="shared" si="11"/>
        <v>59</v>
      </c>
      <c r="D127" s="22">
        <f>INDEX(entities[Custom Attributes],MATCH('cust-code'!C127,entities[custom entity '#],0))</f>
        <v>2</v>
      </c>
      <c r="E127" s="22">
        <f t="shared" si="12"/>
        <v>1</v>
      </c>
      <c r="F127" s="9" t="str">
        <f>IF(E127&gt;0,"",
INDEX(entities[entity_id],MATCH('cust-code'!C127,entities[custom entity '#],0))&amp;":")</f>
        <v/>
      </c>
      <c r="G127" s="9" t="str">
        <f ca="1">IF(E127=0,"",
INDEX(entities[[line 1]:[line 4]],MATCH('cust-code'!C127,entities[custom entity '#],0),'cust-code'!E127))</f>
        <v xml:space="preserve">  friendly_name: Hour</v>
      </c>
      <c r="H127" s="9" t="str">
        <f t="shared" ca="1" si="6"/>
        <v xml:space="preserve">  friendly_name: Hour</v>
      </c>
      <c r="I127" s="9" t="str">
        <f t="shared" si="7"/>
        <v/>
      </c>
    </row>
    <row r="128" spans="2:9" x14ac:dyDescent="0.45">
      <c r="B128" s="9">
        <f t="shared" si="10"/>
        <v>123</v>
      </c>
      <c r="C128" s="9">
        <f t="shared" si="11"/>
        <v>59</v>
      </c>
      <c r="D128" s="22">
        <f>INDEX(entities[Custom Attributes],MATCH('cust-code'!C128,entities[custom entity '#],0))</f>
        <v>2</v>
      </c>
      <c r="E128" s="22">
        <f t="shared" si="12"/>
        <v>2</v>
      </c>
      <c r="F128" s="9" t="str">
        <f>IF(E128&gt;0,"",
INDEX(entities[entity_id],MATCH('cust-code'!C128,entities[custom entity '#],0))&amp;":")</f>
        <v/>
      </c>
      <c r="G128" s="9" t="str">
        <f ca="1">IF(E128=0,"",
INDEX(entities[[line 1]:[line 4]],MATCH('cust-code'!C128,entities[custom entity '#],0),'cust-code'!E128))</f>
        <v xml:space="preserve">  icon: mdi:timer</v>
      </c>
      <c r="H128" s="9" t="str">
        <f t="shared" ca="1" si="6"/>
        <v xml:space="preserve">  icon: mdi:timer</v>
      </c>
      <c r="I128" s="9" t="str">
        <f t="shared" si="7"/>
        <v/>
      </c>
    </row>
    <row r="129" spans="2:9" x14ac:dyDescent="0.45">
      <c r="B129" s="9">
        <f t="shared" si="10"/>
        <v>124</v>
      </c>
      <c r="C129" s="9">
        <f t="shared" si="11"/>
        <v>60</v>
      </c>
      <c r="D129" s="22">
        <f>INDEX(entities[Custom Attributes],MATCH('cust-code'!C129,entities[custom entity '#],0))</f>
        <v>2</v>
      </c>
      <c r="E129" s="22">
        <f t="shared" si="12"/>
        <v>0</v>
      </c>
      <c r="F129" s="9" t="str">
        <f>IF(E129&gt;0,"",
INDEX(entities[entity_id],MATCH('cust-code'!C129,entities[custom entity '#],0))&amp;":")</f>
        <v>input_slider.alarm_clock_minute:</v>
      </c>
      <c r="G129" s="9" t="str">
        <f>IF(E129=0,"",
INDEX(entities[[line 1]:[line 4]],MATCH('cust-code'!C129,entities[custom entity '#],0),'cust-code'!E129))</f>
        <v/>
      </c>
      <c r="H129" s="9" t="str">
        <f t="shared" si="6"/>
        <v>input_slider.alarm_clock_minute:</v>
      </c>
      <c r="I129" s="9" t="str">
        <f t="shared" si="7"/>
        <v/>
      </c>
    </row>
    <row r="130" spans="2:9" x14ac:dyDescent="0.45">
      <c r="B130" s="9">
        <f t="shared" si="10"/>
        <v>125</v>
      </c>
      <c r="C130" s="9">
        <f t="shared" si="11"/>
        <v>60</v>
      </c>
      <c r="D130" s="22">
        <f>INDEX(entities[Custom Attributes],MATCH('cust-code'!C130,entities[custom entity '#],0))</f>
        <v>2</v>
      </c>
      <c r="E130" s="22">
        <f t="shared" si="12"/>
        <v>1</v>
      </c>
      <c r="F130" s="9" t="str">
        <f>IF(E130&gt;0,"",
INDEX(entities[entity_id],MATCH('cust-code'!C130,entities[custom entity '#],0))&amp;":")</f>
        <v/>
      </c>
      <c r="G130" s="9" t="str">
        <f ca="1">IF(E130=0,"",
INDEX(entities[[line 1]:[line 4]],MATCH('cust-code'!C130,entities[custom entity '#],0),'cust-code'!E130))</f>
        <v xml:space="preserve">  friendly_name: Minute</v>
      </c>
      <c r="H130" s="9" t="str">
        <f t="shared" ca="1" si="6"/>
        <v xml:space="preserve">  friendly_name: Minute</v>
      </c>
      <c r="I130" s="9" t="str">
        <f t="shared" si="7"/>
        <v/>
      </c>
    </row>
    <row r="131" spans="2:9" x14ac:dyDescent="0.45">
      <c r="B131" s="9">
        <f t="shared" si="10"/>
        <v>126</v>
      </c>
      <c r="C131" s="9">
        <f t="shared" si="11"/>
        <v>60</v>
      </c>
      <c r="D131" s="22">
        <f>INDEX(entities[Custom Attributes],MATCH('cust-code'!C131,entities[custom entity '#],0))</f>
        <v>2</v>
      </c>
      <c r="E131" s="22">
        <f t="shared" si="12"/>
        <v>2</v>
      </c>
      <c r="F131" s="9" t="str">
        <f>IF(E131&gt;0,"",
INDEX(entities[entity_id],MATCH('cust-code'!C131,entities[custom entity '#],0))&amp;":")</f>
        <v/>
      </c>
      <c r="G131" s="9" t="str">
        <f ca="1">IF(E131=0,"",
INDEX(entities[[line 1]:[line 4]],MATCH('cust-code'!C131,entities[custom entity '#],0),'cust-code'!E131))</f>
        <v xml:space="preserve">  icon: mdi:timer</v>
      </c>
      <c r="H131" s="9" t="str">
        <f t="shared" ca="1" si="6"/>
        <v xml:space="preserve">  icon: mdi:timer</v>
      </c>
      <c r="I131" s="9" t="str">
        <f t="shared" si="7"/>
        <v/>
      </c>
    </row>
    <row r="132" spans="2:9" x14ac:dyDescent="0.45">
      <c r="B132" s="9">
        <f t="shared" si="10"/>
        <v>127</v>
      </c>
      <c r="C132" s="9">
        <f t="shared" si="11"/>
        <v>61</v>
      </c>
      <c r="D132" s="22">
        <f>INDEX(entities[Custom Attributes],MATCH('cust-code'!C132,entities[custom entity '#],0))</f>
        <v>2</v>
      </c>
      <c r="E132" s="22">
        <f t="shared" si="12"/>
        <v>0</v>
      </c>
      <c r="F132" s="9" t="str">
        <f>IF(E132&gt;0,"",
INDEX(entities[entity_id],MATCH('cust-code'!C132,entities[custom entity '#],0))&amp;":")</f>
        <v>light.lux_lamp:</v>
      </c>
      <c r="G132" s="9" t="str">
        <f>IF(E132=0,"",
INDEX(entities[[line 1]:[line 4]],MATCH('cust-code'!C132,entities[custom entity '#],0),'cust-code'!E132))</f>
        <v/>
      </c>
      <c r="H132" s="9" t="str">
        <f t="shared" si="6"/>
        <v>light.lux_lamp:</v>
      </c>
      <c r="I132" s="9" t="str">
        <f t="shared" si="7"/>
        <v/>
      </c>
    </row>
    <row r="133" spans="2:9" x14ac:dyDescent="0.45">
      <c r="B133" s="9">
        <f t="shared" si="10"/>
        <v>128</v>
      </c>
      <c r="C133" s="9">
        <f t="shared" si="11"/>
        <v>61</v>
      </c>
      <c r="D133" s="22">
        <f>INDEX(entities[Custom Attributes],MATCH('cust-code'!C133,entities[custom entity '#],0))</f>
        <v>2</v>
      </c>
      <c r="E133" s="22">
        <f t="shared" si="12"/>
        <v>1</v>
      </c>
      <c r="F133" s="9" t="str">
        <f>IF(E133&gt;0,"",
INDEX(entities[entity_id],MATCH('cust-code'!C133,entities[custom entity '#],0))&amp;":")</f>
        <v/>
      </c>
      <c r="G133" s="9" t="str">
        <f ca="1">IF(E133=0,"",
INDEX(entities[[line 1]:[line 4]],MATCH('cust-code'!C133,entities[custom entity '#],0),'cust-code'!E133))</f>
        <v xml:space="preserve">  hidden: true</v>
      </c>
      <c r="H133" s="9" t="str">
        <f t="shared" ca="1" si="6"/>
        <v xml:space="preserve">  hidden: true</v>
      </c>
      <c r="I133" s="9" t="str">
        <f t="shared" si="7"/>
        <v/>
      </c>
    </row>
    <row r="134" spans="2:9" x14ac:dyDescent="0.45">
      <c r="B134" s="9">
        <f t="shared" si="10"/>
        <v>129</v>
      </c>
      <c r="C134" s="9">
        <f t="shared" si="11"/>
        <v>61</v>
      </c>
      <c r="D134" s="22">
        <f>INDEX(entities[Custom Attributes],MATCH('cust-code'!C134,entities[custom entity '#],0))</f>
        <v>2</v>
      </c>
      <c r="E134" s="22">
        <f t="shared" si="12"/>
        <v>2</v>
      </c>
      <c r="F134" s="9" t="str">
        <f>IF(E134&gt;0,"",
INDEX(entities[entity_id],MATCH('cust-code'!C134,entities[custom entity '#],0))&amp;":")</f>
        <v/>
      </c>
      <c r="G134" s="9" t="str">
        <f ca="1">IF(E134=0,"",
INDEX(entities[[line 1]:[line 4]],MATCH('cust-code'!C134,entities[custom entity '#],0),'cust-code'!E134))</f>
        <v xml:space="preserve">  emulated_hue: false</v>
      </c>
      <c r="H134" s="9" t="str">
        <f t="shared" ca="1" si="6"/>
        <v xml:space="preserve">  emulated_hue: false</v>
      </c>
      <c r="I134" s="9" t="str">
        <f t="shared" si="7"/>
        <v/>
      </c>
    </row>
    <row r="135" spans="2:9" x14ac:dyDescent="0.45">
      <c r="B135" s="9">
        <f t="shared" si="10"/>
        <v>130</v>
      </c>
      <c r="C135" s="9">
        <f t="shared" si="11"/>
        <v>62</v>
      </c>
      <c r="D135" s="22">
        <f>INDEX(entities[Custom Attributes],MATCH('cust-code'!C135,entities[custom entity '#],0))</f>
        <v>2</v>
      </c>
      <c r="E135" s="22">
        <f t="shared" si="12"/>
        <v>0</v>
      </c>
      <c r="F135" s="9" t="str">
        <f>IF(E135&gt;0,"",
INDEX(entities[entity_id],MATCH('cust-code'!C135,entities[custom entity '#],0))&amp;":")</f>
        <v>light.lux_lamp_1:</v>
      </c>
      <c r="G135" s="9" t="str">
        <f>IF(E135=0,"",
INDEX(entities[[line 1]:[line 4]],MATCH('cust-code'!C135,entities[custom entity '#],0),'cust-code'!E135))</f>
        <v/>
      </c>
      <c r="H135" s="9" t="str">
        <f t="shared" si="6"/>
        <v>light.lux_lamp_1:</v>
      </c>
      <c r="I135" s="9" t="str">
        <f t="shared" si="7"/>
        <v/>
      </c>
    </row>
    <row r="136" spans="2:9" x14ac:dyDescent="0.45">
      <c r="B136" s="9">
        <f t="shared" si="10"/>
        <v>131</v>
      </c>
      <c r="C136" s="9">
        <f t="shared" si="11"/>
        <v>62</v>
      </c>
      <c r="D136" s="22">
        <f>INDEX(entities[Custom Attributes],MATCH('cust-code'!C136,entities[custom entity '#],0))</f>
        <v>2</v>
      </c>
      <c r="E136" s="22">
        <f t="shared" si="12"/>
        <v>1</v>
      </c>
      <c r="F136" s="9" t="str">
        <f>IF(E136&gt;0,"",
INDEX(entities[entity_id],MATCH('cust-code'!C136,entities[custom entity '#],0))&amp;":")</f>
        <v/>
      </c>
      <c r="G136" s="9" t="str">
        <f ca="1">IF(E136=0,"",
INDEX(entities[[line 1]:[line 4]],MATCH('cust-code'!C136,entities[custom entity '#],0),'cust-code'!E136))</f>
        <v xml:space="preserve">  hidden: true</v>
      </c>
      <c r="H136" s="9" t="str">
        <f t="shared" ref="H136:H199" ca="1" si="13">_xlfn.IFNA(  F136&amp;G136,  "")</f>
        <v xml:space="preserve">  hidden: true</v>
      </c>
      <c r="I136" s="9" t="str">
        <f t="shared" ref="I136:I199" si="14">IF(AND(NOT(ISNA(D135)),ISNA(D136)),"END","")</f>
        <v/>
      </c>
    </row>
    <row r="137" spans="2:9" x14ac:dyDescent="0.45">
      <c r="B137" s="9">
        <f t="shared" si="10"/>
        <v>132</v>
      </c>
      <c r="C137" s="9">
        <f t="shared" si="11"/>
        <v>62</v>
      </c>
      <c r="D137" s="22">
        <f>INDEX(entities[Custom Attributes],MATCH('cust-code'!C137,entities[custom entity '#],0))</f>
        <v>2</v>
      </c>
      <c r="E137" s="22">
        <f t="shared" si="12"/>
        <v>2</v>
      </c>
      <c r="F137" s="9" t="str">
        <f>IF(E137&gt;0,"",
INDEX(entities[entity_id],MATCH('cust-code'!C137,entities[custom entity '#],0))&amp;":")</f>
        <v/>
      </c>
      <c r="G137" s="9" t="str">
        <f ca="1">IF(E137=0,"",
INDEX(entities[[line 1]:[line 4]],MATCH('cust-code'!C137,entities[custom entity '#],0),'cust-code'!E137))</f>
        <v xml:space="preserve">  emulated_hue: false</v>
      </c>
      <c r="H137" s="9" t="str">
        <f t="shared" ca="1" si="13"/>
        <v xml:space="preserve">  emulated_hue: false</v>
      </c>
      <c r="I137" s="9" t="str">
        <f t="shared" si="14"/>
        <v/>
      </c>
    </row>
    <row r="138" spans="2:9" x14ac:dyDescent="0.45">
      <c r="B138" s="9">
        <f t="shared" si="10"/>
        <v>133</v>
      </c>
      <c r="C138" s="9">
        <f t="shared" si="11"/>
        <v>63</v>
      </c>
      <c r="D138" s="22">
        <f>INDEX(entities[Custom Attributes],MATCH('cust-code'!C138,entities[custom entity '#],0))</f>
        <v>1</v>
      </c>
      <c r="E138" s="22">
        <f t="shared" si="12"/>
        <v>0</v>
      </c>
      <c r="F138" s="9" t="str">
        <f>IF(E138&gt;0,"",
INDEX(entities[entity_id],MATCH('cust-code'!C138,entities[custom entity '#],0))&amp;":")</f>
        <v>media_player.living_room_tv:</v>
      </c>
      <c r="G138" s="9" t="str">
        <f>IF(E138=0,"",
INDEX(entities[[line 1]:[line 4]],MATCH('cust-code'!C138,entities[custom entity '#],0),'cust-code'!E138))</f>
        <v/>
      </c>
      <c r="H138" s="9" t="str">
        <f t="shared" si="13"/>
        <v>media_player.living_room_tv:</v>
      </c>
      <c r="I138" s="9" t="str">
        <f t="shared" si="14"/>
        <v/>
      </c>
    </row>
    <row r="139" spans="2:9" x14ac:dyDescent="0.45">
      <c r="B139" s="9">
        <f t="shared" si="10"/>
        <v>134</v>
      </c>
      <c r="C139" s="9">
        <f t="shared" si="11"/>
        <v>63</v>
      </c>
      <c r="D139" s="22">
        <f>INDEX(entities[Custom Attributes],MATCH('cust-code'!C139,entities[custom entity '#],0))</f>
        <v>1</v>
      </c>
      <c r="E139" s="22">
        <f t="shared" si="12"/>
        <v>1</v>
      </c>
      <c r="F139" s="9" t="str">
        <f>IF(E139&gt;0,"",
INDEX(entities[entity_id],MATCH('cust-code'!C139,entities[custom entity '#],0))&amp;":")</f>
        <v/>
      </c>
      <c r="G139" s="9" t="str">
        <f ca="1">IF(E139=0,"",
INDEX(entities[[line 1]:[line 4]],MATCH('cust-code'!C139,entities[custom entity '#],0),'cust-code'!E139))</f>
        <v xml:space="preserve">  friendly_name: TV</v>
      </c>
      <c r="H139" s="9" t="str">
        <f t="shared" ca="1" si="13"/>
        <v xml:space="preserve">  friendly_name: TV</v>
      </c>
      <c r="I139" s="9" t="str">
        <f t="shared" si="14"/>
        <v/>
      </c>
    </row>
    <row r="140" spans="2:9" x14ac:dyDescent="0.45">
      <c r="B140" s="9">
        <f t="shared" si="10"/>
        <v>135</v>
      </c>
      <c r="C140" s="9">
        <f t="shared" si="11"/>
        <v>64</v>
      </c>
      <c r="D140" s="22">
        <f>INDEX(entities[Custom Attributes],MATCH('cust-code'!C140,entities[custom entity '#],0))</f>
        <v>4</v>
      </c>
      <c r="E140" s="22">
        <f t="shared" si="12"/>
        <v>0</v>
      </c>
      <c r="F140" s="9" t="str">
        <f>IF(E140&gt;0,"",
INDEX(entities[entity_id],MATCH('cust-code'!C140,entities[custom entity '#],0))&amp;":")</f>
        <v>script.all_off:</v>
      </c>
      <c r="G140" s="9" t="str">
        <f>IF(E140=0,"",
INDEX(entities[[line 1]:[line 4]],MATCH('cust-code'!C140,entities[custom entity '#],0),'cust-code'!E140))</f>
        <v/>
      </c>
      <c r="H140" s="9" t="str">
        <f t="shared" si="13"/>
        <v>script.all_off:</v>
      </c>
      <c r="I140" s="9" t="str">
        <f t="shared" si="14"/>
        <v/>
      </c>
    </row>
    <row r="141" spans="2:9" x14ac:dyDescent="0.45">
      <c r="B141" s="9">
        <f t="shared" si="10"/>
        <v>136</v>
      </c>
      <c r="C141" s="9">
        <f t="shared" si="11"/>
        <v>64</v>
      </c>
      <c r="D141" s="22">
        <f>INDEX(entities[Custom Attributes],MATCH('cust-code'!C141,entities[custom entity '#],0))</f>
        <v>4</v>
      </c>
      <c r="E141" s="22">
        <f t="shared" si="12"/>
        <v>1</v>
      </c>
      <c r="F141" s="9" t="str">
        <f>IF(E141&gt;0,"",
INDEX(entities[entity_id],MATCH('cust-code'!C141,entities[custom entity '#],0))&amp;":")</f>
        <v/>
      </c>
      <c r="G141" s="9" t="str">
        <f ca="1">IF(E141=0,"",
INDEX(entities[[line 1]:[line 4]],MATCH('cust-code'!C141,entities[custom entity '#],0),'cust-code'!E141))</f>
        <v xml:space="preserve">  hidden: false</v>
      </c>
      <c r="H141" s="9" t="str">
        <f t="shared" ca="1" si="13"/>
        <v xml:space="preserve">  hidden: false</v>
      </c>
      <c r="I141" s="9" t="str">
        <f t="shared" si="14"/>
        <v/>
      </c>
    </row>
    <row r="142" spans="2:9" x14ac:dyDescent="0.45">
      <c r="B142" s="9">
        <f t="shared" si="10"/>
        <v>137</v>
      </c>
      <c r="C142" s="9">
        <f t="shared" si="11"/>
        <v>64</v>
      </c>
      <c r="D142" s="22">
        <f>INDEX(entities[Custom Attributes],MATCH('cust-code'!C142,entities[custom entity '#],0))</f>
        <v>4</v>
      </c>
      <c r="E142" s="22">
        <f t="shared" si="12"/>
        <v>2</v>
      </c>
      <c r="F142" s="9" t="str">
        <f>IF(E142&gt;0,"",
INDEX(entities[entity_id],MATCH('cust-code'!C142,entities[custom entity '#],0))&amp;":")</f>
        <v/>
      </c>
      <c r="G142" s="9" t="str">
        <f ca="1">IF(E142=0,"",
INDEX(entities[[line 1]:[line 4]],MATCH('cust-code'!C142,entities[custom entity '#],0),'cust-code'!E142))</f>
        <v xml:space="preserve">  friendly_name: All Off</v>
      </c>
      <c r="H142" s="9" t="str">
        <f t="shared" ca="1" si="13"/>
        <v xml:space="preserve">  friendly_name: All Off</v>
      </c>
      <c r="I142" s="9" t="str">
        <f t="shared" si="14"/>
        <v/>
      </c>
    </row>
    <row r="143" spans="2:9" x14ac:dyDescent="0.45">
      <c r="B143" s="9">
        <f t="shared" si="10"/>
        <v>138</v>
      </c>
      <c r="C143" s="9">
        <f t="shared" si="11"/>
        <v>64</v>
      </c>
      <c r="D143" s="22">
        <f>INDEX(entities[Custom Attributes],MATCH('cust-code'!C143,entities[custom entity '#],0))</f>
        <v>4</v>
      </c>
      <c r="E143" s="22">
        <f t="shared" si="12"/>
        <v>3</v>
      </c>
      <c r="F143" s="9" t="str">
        <f>IF(E143&gt;0,"",
INDEX(entities[entity_id],MATCH('cust-code'!C143,entities[custom entity '#],0))&amp;":")</f>
        <v/>
      </c>
      <c r="G143" s="9" t="str">
        <f ca="1">IF(E143=0,"",
INDEX(entities[[line 1]:[line 4]],MATCH('cust-code'!C143,entities[custom entity '#],0),'cust-code'!E143))</f>
        <v xml:space="preserve">  emulated_hue: true</v>
      </c>
      <c r="H143" s="9" t="str">
        <f t="shared" ca="1" si="13"/>
        <v xml:space="preserve">  emulated_hue: true</v>
      </c>
      <c r="I143" s="9" t="str">
        <f t="shared" si="14"/>
        <v/>
      </c>
    </row>
    <row r="144" spans="2:9" x14ac:dyDescent="0.45">
      <c r="B144" s="9">
        <f t="shared" si="10"/>
        <v>139</v>
      </c>
      <c r="C144" s="9">
        <f t="shared" si="11"/>
        <v>64</v>
      </c>
      <c r="D144" s="22">
        <f>INDEX(entities[Custom Attributes],MATCH('cust-code'!C144,entities[custom entity '#],0))</f>
        <v>4</v>
      </c>
      <c r="E144" s="22">
        <f t="shared" si="12"/>
        <v>4</v>
      </c>
      <c r="F144" s="9" t="str">
        <f>IF(E144&gt;0,"",
INDEX(entities[entity_id],MATCH('cust-code'!C144,entities[custom entity '#],0))&amp;":")</f>
        <v/>
      </c>
      <c r="G144" s="9" t="str">
        <f ca="1">IF(E144=0,"",
INDEX(entities[[line 1]:[line 4]],MATCH('cust-code'!C144,entities[custom entity '#],0),'cust-code'!E144))</f>
        <v xml:space="preserve">  icon: mdi:weather-night</v>
      </c>
      <c r="H144" s="9" t="str">
        <f t="shared" ca="1" si="13"/>
        <v xml:space="preserve">  icon: mdi:weather-night</v>
      </c>
      <c r="I144" s="9" t="str">
        <f t="shared" si="14"/>
        <v/>
      </c>
    </row>
    <row r="145" spans="2:9" x14ac:dyDescent="0.45">
      <c r="B145" s="9">
        <f t="shared" si="10"/>
        <v>140</v>
      </c>
      <c r="C145" s="9">
        <f t="shared" si="11"/>
        <v>65</v>
      </c>
      <c r="D145" s="22">
        <f>INDEX(entities[Custom Attributes],MATCH('cust-code'!C145,entities[custom entity '#],0))</f>
        <v>4</v>
      </c>
      <c r="E145" s="22">
        <f t="shared" si="12"/>
        <v>0</v>
      </c>
      <c r="F145" s="9" t="str">
        <f>IF(E145&gt;0,"",
INDEX(entities[entity_id],MATCH('cust-code'!C145,entities[custom entity '#],0))&amp;":")</f>
        <v>script.bright:</v>
      </c>
      <c r="G145" s="9" t="str">
        <f>IF(E145=0,"",
INDEX(entities[[line 1]:[line 4]],MATCH('cust-code'!C145,entities[custom entity '#],0),'cust-code'!E145))</f>
        <v/>
      </c>
      <c r="H145" s="9" t="str">
        <f t="shared" si="13"/>
        <v>script.bright:</v>
      </c>
      <c r="I145" s="9" t="str">
        <f t="shared" si="14"/>
        <v/>
      </c>
    </row>
    <row r="146" spans="2:9" x14ac:dyDescent="0.45">
      <c r="B146" s="9">
        <f t="shared" si="10"/>
        <v>141</v>
      </c>
      <c r="C146" s="9">
        <f t="shared" si="11"/>
        <v>65</v>
      </c>
      <c r="D146" s="22">
        <f>INDEX(entities[Custom Attributes],MATCH('cust-code'!C146,entities[custom entity '#],0))</f>
        <v>4</v>
      </c>
      <c r="E146" s="22">
        <f t="shared" si="12"/>
        <v>1</v>
      </c>
      <c r="F146" s="9" t="str">
        <f>IF(E146&gt;0,"",
INDEX(entities[entity_id],MATCH('cust-code'!C146,entities[custom entity '#],0))&amp;":")</f>
        <v/>
      </c>
      <c r="G146" s="9" t="str">
        <f ca="1">IF(E146=0,"",
INDEX(entities[[line 1]:[line 4]],MATCH('cust-code'!C146,entities[custom entity '#],0),'cust-code'!E146))</f>
        <v xml:space="preserve">  hidden: false</v>
      </c>
      <c r="H146" s="9" t="str">
        <f t="shared" ca="1" si="13"/>
        <v xml:space="preserve">  hidden: false</v>
      </c>
      <c r="I146" s="9" t="str">
        <f t="shared" si="14"/>
        <v/>
      </c>
    </row>
    <row r="147" spans="2:9" x14ac:dyDescent="0.45">
      <c r="B147" s="9">
        <f t="shared" si="10"/>
        <v>142</v>
      </c>
      <c r="C147" s="9">
        <f t="shared" si="11"/>
        <v>65</v>
      </c>
      <c r="D147" s="22">
        <f>INDEX(entities[Custom Attributes],MATCH('cust-code'!C147,entities[custom entity '#],0))</f>
        <v>4</v>
      </c>
      <c r="E147" s="22">
        <f t="shared" si="12"/>
        <v>2</v>
      </c>
      <c r="F147" s="9" t="str">
        <f>IF(E147&gt;0,"",
INDEX(entities[entity_id],MATCH('cust-code'!C147,entities[custom entity '#],0))&amp;":")</f>
        <v/>
      </c>
      <c r="G147" s="9" t="str">
        <f ca="1">IF(E147=0,"",
INDEX(entities[[line 1]:[line 4]],MATCH('cust-code'!C147,entities[custom entity '#],0),'cust-code'!E147))</f>
        <v xml:space="preserve">  friendly_name: Bright</v>
      </c>
      <c r="H147" s="9" t="str">
        <f t="shared" ca="1" si="13"/>
        <v xml:space="preserve">  friendly_name: Bright</v>
      </c>
      <c r="I147" s="9" t="str">
        <f t="shared" si="14"/>
        <v/>
      </c>
    </row>
    <row r="148" spans="2:9" x14ac:dyDescent="0.45">
      <c r="B148" s="9">
        <f t="shared" si="10"/>
        <v>143</v>
      </c>
      <c r="C148" s="9">
        <f t="shared" si="11"/>
        <v>65</v>
      </c>
      <c r="D148" s="22">
        <f>INDEX(entities[Custom Attributes],MATCH('cust-code'!C148,entities[custom entity '#],0))</f>
        <v>4</v>
      </c>
      <c r="E148" s="22">
        <f t="shared" si="12"/>
        <v>3</v>
      </c>
      <c r="F148" s="9" t="str">
        <f>IF(E148&gt;0,"",
INDEX(entities[entity_id],MATCH('cust-code'!C148,entities[custom entity '#],0))&amp;":")</f>
        <v/>
      </c>
      <c r="G148" s="9" t="str">
        <f ca="1">IF(E148=0,"",
INDEX(entities[[line 1]:[line 4]],MATCH('cust-code'!C148,entities[custom entity '#],0),'cust-code'!E148))</f>
        <v xml:space="preserve">  emulated_hue: true</v>
      </c>
      <c r="H148" s="9" t="str">
        <f t="shared" ca="1" si="13"/>
        <v xml:space="preserve">  emulated_hue: true</v>
      </c>
      <c r="I148" s="9" t="str">
        <f t="shared" si="14"/>
        <v/>
      </c>
    </row>
    <row r="149" spans="2:9" x14ac:dyDescent="0.45">
      <c r="B149" s="9">
        <f t="shared" si="10"/>
        <v>144</v>
      </c>
      <c r="C149" s="9">
        <f t="shared" si="11"/>
        <v>65</v>
      </c>
      <c r="D149" s="22">
        <f>INDEX(entities[Custom Attributes],MATCH('cust-code'!C149,entities[custom entity '#],0))</f>
        <v>4</v>
      </c>
      <c r="E149" s="22">
        <f t="shared" si="12"/>
        <v>4</v>
      </c>
      <c r="F149" s="9" t="str">
        <f>IF(E149&gt;0,"",
INDEX(entities[entity_id],MATCH('cust-code'!C149,entities[custom entity '#],0))&amp;":")</f>
        <v/>
      </c>
      <c r="G149" s="9" t="str">
        <f ca="1">IF(E149=0,"",
INDEX(entities[[line 1]:[line 4]],MATCH('cust-code'!C149,entities[custom entity '#],0),'cust-code'!E149))</f>
        <v xml:space="preserve">  icon: mdi:weather-sunny</v>
      </c>
      <c r="H149" s="9" t="str">
        <f t="shared" ca="1" si="13"/>
        <v xml:space="preserve">  icon: mdi:weather-sunny</v>
      </c>
      <c r="I149" s="9" t="str">
        <f t="shared" si="14"/>
        <v/>
      </c>
    </row>
    <row r="150" spans="2:9" x14ac:dyDescent="0.45">
      <c r="B150" s="9">
        <f t="shared" si="10"/>
        <v>145</v>
      </c>
      <c r="C150" s="9">
        <f t="shared" si="11"/>
        <v>66</v>
      </c>
      <c r="D150" s="22">
        <f>INDEX(entities[Custom Attributes],MATCH('cust-code'!C150,entities[custom entity '#],0))</f>
        <v>4</v>
      </c>
      <c r="E150" s="22">
        <f t="shared" si="12"/>
        <v>0</v>
      </c>
      <c r="F150" s="9" t="str">
        <f>IF(E150&gt;0,"",
INDEX(entities[entity_id],MATCH('cust-code'!C150,entities[custom entity '#],0))&amp;":")</f>
        <v>script.dusk:</v>
      </c>
      <c r="G150" s="9" t="str">
        <f>IF(E150=0,"",
INDEX(entities[[line 1]:[line 4]],MATCH('cust-code'!C150,entities[custom entity '#],0),'cust-code'!E150))</f>
        <v/>
      </c>
      <c r="H150" s="9" t="str">
        <f t="shared" si="13"/>
        <v>script.dusk:</v>
      </c>
      <c r="I150" s="9" t="str">
        <f t="shared" si="14"/>
        <v/>
      </c>
    </row>
    <row r="151" spans="2:9" x14ac:dyDescent="0.45">
      <c r="B151" s="9">
        <f t="shared" si="10"/>
        <v>146</v>
      </c>
      <c r="C151" s="9">
        <f t="shared" si="11"/>
        <v>66</v>
      </c>
      <c r="D151" s="22">
        <f>INDEX(entities[Custom Attributes],MATCH('cust-code'!C151,entities[custom entity '#],0))</f>
        <v>4</v>
      </c>
      <c r="E151" s="22">
        <f t="shared" si="12"/>
        <v>1</v>
      </c>
      <c r="F151" s="9" t="str">
        <f>IF(E151&gt;0,"",
INDEX(entities[entity_id],MATCH('cust-code'!C151,entities[custom entity '#],0))&amp;":")</f>
        <v/>
      </c>
      <c r="G151" s="9" t="str">
        <f ca="1">IF(E151=0,"",
INDEX(entities[[line 1]:[line 4]],MATCH('cust-code'!C151,entities[custom entity '#],0),'cust-code'!E151))</f>
        <v xml:space="preserve">  hidden: false</v>
      </c>
      <c r="H151" s="9" t="str">
        <f t="shared" ca="1" si="13"/>
        <v xml:space="preserve">  hidden: false</v>
      </c>
      <c r="I151" s="9" t="str">
        <f t="shared" si="14"/>
        <v/>
      </c>
    </row>
    <row r="152" spans="2:9" x14ac:dyDescent="0.45">
      <c r="B152" s="9">
        <f t="shared" si="10"/>
        <v>147</v>
      </c>
      <c r="C152" s="9">
        <f t="shared" si="11"/>
        <v>66</v>
      </c>
      <c r="D152" s="22">
        <f>INDEX(entities[Custom Attributes],MATCH('cust-code'!C152,entities[custom entity '#],0))</f>
        <v>4</v>
      </c>
      <c r="E152" s="22">
        <f t="shared" si="12"/>
        <v>2</v>
      </c>
      <c r="F152" s="9" t="str">
        <f>IF(E152&gt;0,"",
INDEX(entities[entity_id],MATCH('cust-code'!C152,entities[custom entity '#],0))&amp;":")</f>
        <v/>
      </c>
      <c r="G152" s="9" t="str">
        <f ca="1">IF(E152=0,"",
INDEX(entities[[line 1]:[line 4]],MATCH('cust-code'!C152,entities[custom entity '#],0),'cust-code'!E152))</f>
        <v xml:space="preserve">  friendly_name: Dusk</v>
      </c>
      <c r="H152" s="9" t="str">
        <f t="shared" ca="1" si="13"/>
        <v xml:space="preserve">  friendly_name: Dusk</v>
      </c>
      <c r="I152" s="9" t="str">
        <f t="shared" si="14"/>
        <v/>
      </c>
    </row>
    <row r="153" spans="2:9" x14ac:dyDescent="0.45">
      <c r="B153" s="9">
        <f t="shared" si="10"/>
        <v>148</v>
      </c>
      <c r="C153" s="9">
        <f t="shared" si="11"/>
        <v>66</v>
      </c>
      <c r="D153" s="22">
        <f>INDEX(entities[Custom Attributes],MATCH('cust-code'!C153,entities[custom entity '#],0))</f>
        <v>4</v>
      </c>
      <c r="E153" s="22">
        <f t="shared" si="12"/>
        <v>3</v>
      </c>
      <c r="F153" s="9" t="str">
        <f>IF(E153&gt;0,"",
INDEX(entities[entity_id],MATCH('cust-code'!C153,entities[custom entity '#],0))&amp;":")</f>
        <v/>
      </c>
      <c r="G153" s="9" t="str">
        <f ca="1">IF(E153=0,"",
INDEX(entities[[line 1]:[line 4]],MATCH('cust-code'!C153,entities[custom entity '#],0),'cust-code'!E153))</f>
        <v xml:space="preserve">  emulated_hue: true</v>
      </c>
      <c r="H153" s="9" t="str">
        <f t="shared" ca="1" si="13"/>
        <v xml:space="preserve">  emulated_hue: true</v>
      </c>
      <c r="I153" s="9" t="str">
        <f t="shared" si="14"/>
        <v/>
      </c>
    </row>
    <row r="154" spans="2:9" x14ac:dyDescent="0.45">
      <c r="B154" s="9">
        <f t="shared" si="10"/>
        <v>149</v>
      </c>
      <c r="C154" s="9">
        <f t="shared" si="11"/>
        <v>66</v>
      </c>
      <c r="D154" s="22">
        <f>INDEX(entities[Custom Attributes],MATCH('cust-code'!C154,entities[custom entity '#],0))</f>
        <v>4</v>
      </c>
      <c r="E154" s="22">
        <f t="shared" si="12"/>
        <v>4</v>
      </c>
      <c r="F154" s="9" t="str">
        <f>IF(E154&gt;0,"",
INDEX(entities[entity_id],MATCH('cust-code'!C154,entities[custom entity '#],0))&amp;":")</f>
        <v/>
      </c>
      <c r="G154" s="9" t="str">
        <f ca="1">IF(E154=0,"",
INDEX(entities[[line 1]:[line 4]],MATCH('cust-code'!C154,entities[custom entity '#],0),'cust-code'!E154))</f>
        <v xml:space="preserve">  icon: mdi:weather-sunset-down</v>
      </c>
      <c r="H154" s="9" t="str">
        <f t="shared" ca="1" si="13"/>
        <v xml:space="preserve">  icon: mdi:weather-sunset-down</v>
      </c>
      <c r="I154" s="9" t="str">
        <f t="shared" si="14"/>
        <v/>
      </c>
    </row>
    <row r="155" spans="2:9" x14ac:dyDescent="0.45">
      <c r="B155" s="9">
        <f t="shared" si="10"/>
        <v>150</v>
      </c>
      <c r="C155" s="9">
        <f t="shared" si="11"/>
        <v>67</v>
      </c>
      <c r="D155" s="22">
        <f>INDEX(entities[Custom Attributes],MATCH('cust-code'!C155,entities[custom entity '#],0))</f>
        <v>1</v>
      </c>
      <c r="E155" s="22">
        <f t="shared" si="12"/>
        <v>0</v>
      </c>
      <c r="F155" s="9" t="str">
        <f>IF(E155&gt;0,"",
INDEX(entities[entity_id],MATCH('cust-code'!C155,entities[custom entity '#],0))&amp;":")</f>
        <v>script.full_bright:</v>
      </c>
      <c r="G155" s="9" t="str">
        <f>IF(E155=0,"",
INDEX(entities[[line 1]:[line 4]],MATCH('cust-code'!C155,entities[custom entity '#],0),'cust-code'!E155))</f>
        <v/>
      </c>
      <c r="H155" s="9" t="str">
        <f t="shared" si="13"/>
        <v>script.full_bright:</v>
      </c>
      <c r="I155" s="9" t="str">
        <f t="shared" si="14"/>
        <v/>
      </c>
    </row>
    <row r="156" spans="2:9" x14ac:dyDescent="0.45">
      <c r="B156" s="9">
        <f t="shared" si="10"/>
        <v>151</v>
      </c>
      <c r="C156" s="9">
        <f t="shared" si="11"/>
        <v>67</v>
      </c>
      <c r="D156" s="22">
        <f>INDEX(entities[Custom Attributes],MATCH('cust-code'!C156,entities[custom entity '#],0))</f>
        <v>1</v>
      </c>
      <c r="E156" s="22">
        <f t="shared" si="12"/>
        <v>1</v>
      </c>
      <c r="F156" s="9" t="str">
        <f>IF(E156&gt;0,"",
INDEX(entities[entity_id],MATCH('cust-code'!C156,entities[custom entity '#],0))&amp;":")</f>
        <v/>
      </c>
      <c r="G156" s="9" t="str">
        <f ca="1">IF(E156=0,"",
INDEX(entities[[line 1]:[line 4]],MATCH('cust-code'!C156,entities[custom entity '#],0),'cust-code'!E156))</f>
        <v xml:space="preserve">  hidden: true</v>
      </c>
      <c r="H156" s="9" t="str">
        <f t="shared" ca="1" si="13"/>
        <v xml:space="preserve">  hidden: true</v>
      </c>
      <c r="I156" s="9" t="str">
        <f t="shared" si="14"/>
        <v/>
      </c>
    </row>
    <row r="157" spans="2:9" x14ac:dyDescent="0.45">
      <c r="B157" s="9">
        <f t="shared" si="10"/>
        <v>152</v>
      </c>
      <c r="C157" s="9">
        <f t="shared" si="11"/>
        <v>68</v>
      </c>
      <c r="D157" s="22">
        <f>INDEX(entities[Custom Attributes],MATCH('cust-code'!C157,entities[custom entity '#],0))</f>
        <v>3</v>
      </c>
      <c r="E157" s="22">
        <f t="shared" si="12"/>
        <v>0</v>
      </c>
      <c r="F157" s="9" t="str">
        <f>IF(E157&gt;0,"",
INDEX(entities[entity_id],MATCH('cust-code'!C157,entities[custom entity '#],0))&amp;":")</f>
        <v>script.good_night:</v>
      </c>
      <c r="G157" s="9" t="str">
        <f>IF(E157=0,"",
INDEX(entities[[line 1]:[line 4]],MATCH('cust-code'!C157,entities[custom entity '#],0),'cust-code'!E157))</f>
        <v/>
      </c>
      <c r="H157" s="9" t="str">
        <f t="shared" si="13"/>
        <v>script.good_night:</v>
      </c>
      <c r="I157" s="9" t="str">
        <f t="shared" si="14"/>
        <v/>
      </c>
    </row>
    <row r="158" spans="2:9" x14ac:dyDescent="0.45">
      <c r="B158" s="9">
        <f t="shared" si="10"/>
        <v>153</v>
      </c>
      <c r="C158" s="9">
        <f t="shared" si="11"/>
        <v>68</v>
      </c>
      <c r="D158" s="22">
        <f>INDEX(entities[Custom Attributes],MATCH('cust-code'!C158,entities[custom entity '#],0))</f>
        <v>3</v>
      </c>
      <c r="E158" s="22">
        <f t="shared" si="12"/>
        <v>1</v>
      </c>
      <c r="F158" s="9" t="str">
        <f>IF(E158&gt;0,"",
INDEX(entities[entity_id],MATCH('cust-code'!C158,entities[custom entity '#],0))&amp;":")</f>
        <v/>
      </c>
      <c r="G158" s="9" t="str">
        <f ca="1">IF(E158=0,"",
INDEX(entities[[line 1]:[line 4]],MATCH('cust-code'!C158,entities[custom entity '#],0),'cust-code'!E158))</f>
        <v xml:space="preserve">  friendly_name: Good Night</v>
      </c>
      <c r="H158" s="9" t="str">
        <f t="shared" ca="1" si="13"/>
        <v xml:space="preserve">  friendly_name: Good Night</v>
      </c>
      <c r="I158" s="9" t="str">
        <f t="shared" si="14"/>
        <v/>
      </c>
    </row>
    <row r="159" spans="2:9" x14ac:dyDescent="0.45">
      <c r="B159" s="9">
        <f t="shared" si="10"/>
        <v>154</v>
      </c>
      <c r="C159" s="9">
        <f t="shared" si="11"/>
        <v>68</v>
      </c>
      <c r="D159" s="22">
        <f>INDEX(entities[Custom Attributes],MATCH('cust-code'!C159,entities[custom entity '#],0))</f>
        <v>3</v>
      </c>
      <c r="E159" s="22">
        <f t="shared" si="12"/>
        <v>2</v>
      </c>
      <c r="F159" s="9" t="str">
        <f>IF(E159&gt;0,"",
INDEX(entities[entity_id],MATCH('cust-code'!C159,entities[custom entity '#],0))&amp;":")</f>
        <v/>
      </c>
      <c r="G159" s="9" t="str">
        <f ca="1">IF(E159=0,"",
INDEX(entities[[line 1]:[line 4]],MATCH('cust-code'!C159,entities[custom entity '#],0),'cust-code'!E159))</f>
        <v xml:space="preserve">  emulated_hue: true</v>
      </c>
      <c r="H159" s="9" t="str">
        <f t="shared" ca="1" si="13"/>
        <v xml:space="preserve">  emulated_hue: true</v>
      </c>
      <c r="I159" s="9" t="str">
        <f t="shared" si="14"/>
        <v/>
      </c>
    </row>
    <row r="160" spans="2:9" x14ac:dyDescent="0.45">
      <c r="B160" s="9">
        <f t="shared" si="10"/>
        <v>155</v>
      </c>
      <c r="C160" s="9">
        <f t="shared" si="11"/>
        <v>68</v>
      </c>
      <c r="D160" s="22">
        <f>INDEX(entities[Custom Attributes],MATCH('cust-code'!C160,entities[custom entity '#],0))</f>
        <v>3</v>
      </c>
      <c r="E160" s="22">
        <f t="shared" si="12"/>
        <v>3</v>
      </c>
      <c r="F160" s="9" t="str">
        <f>IF(E160&gt;0,"",
INDEX(entities[entity_id],MATCH('cust-code'!C160,entities[custom entity '#],0))&amp;":")</f>
        <v/>
      </c>
      <c r="G160" s="9" t="str">
        <f ca="1">IF(E160=0,"",
INDEX(entities[[line 1]:[line 4]],MATCH('cust-code'!C160,entities[custom entity '#],0),'cust-code'!E160))</f>
        <v xml:space="preserve">  icon: mdi:sleep</v>
      </c>
      <c r="H160" s="9" t="str">
        <f t="shared" ca="1" si="13"/>
        <v xml:space="preserve">  icon: mdi:sleep</v>
      </c>
      <c r="I160" s="9" t="str">
        <f t="shared" si="14"/>
        <v/>
      </c>
    </row>
    <row r="161" spans="2:9" x14ac:dyDescent="0.45">
      <c r="B161" s="9">
        <f t="shared" si="10"/>
        <v>156</v>
      </c>
      <c r="C161" s="9">
        <f t="shared" si="11"/>
        <v>69</v>
      </c>
      <c r="D161" s="22">
        <f>INDEX(entities[Custom Attributes],MATCH('cust-code'!C161,entities[custom entity '#],0))</f>
        <v>1</v>
      </c>
      <c r="E161" s="22">
        <f t="shared" si="12"/>
        <v>0</v>
      </c>
      <c r="F161" s="9" t="str">
        <f>IF(E161&gt;0,"",
INDEX(entities[entity_id],MATCH('cust-code'!C161,entities[custom entity '#],0))&amp;":")</f>
        <v>script.half_bright:</v>
      </c>
      <c r="G161" s="9" t="str">
        <f>IF(E161=0,"",
INDEX(entities[[line 1]:[line 4]],MATCH('cust-code'!C161,entities[custom entity '#],0),'cust-code'!E161))</f>
        <v/>
      </c>
      <c r="H161" s="9" t="str">
        <f t="shared" si="13"/>
        <v>script.half_bright:</v>
      </c>
      <c r="I161" s="9" t="str">
        <f t="shared" si="14"/>
        <v/>
      </c>
    </row>
    <row r="162" spans="2:9" x14ac:dyDescent="0.45">
      <c r="B162" s="9">
        <f t="shared" si="10"/>
        <v>157</v>
      </c>
      <c r="C162" s="9">
        <f t="shared" si="11"/>
        <v>69</v>
      </c>
      <c r="D162" s="22">
        <f>INDEX(entities[Custom Attributes],MATCH('cust-code'!C162,entities[custom entity '#],0))</f>
        <v>1</v>
      </c>
      <c r="E162" s="22">
        <f t="shared" si="12"/>
        <v>1</v>
      </c>
      <c r="F162" s="9" t="str">
        <f>IF(E162&gt;0,"",
INDEX(entities[entity_id],MATCH('cust-code'!C162,entities[custom entity '#],0))&amp;":")</f>
        <v/>
      </c>
      <c r="G162" s="9" t="str">
        <f ca="1">IF(E162=0,"",
INDEX(entities[[line 1]:[line 4]],MATCH('cust-code'!C162,entities[custom entity '#],0),'cust-code'!E162))</f>
        <v xml:space="preserve">  hidden: true</v>
      </c>
      <c r="H162" s="9" t="str">
        <f t="shared" ca="1" si="13"/>
        <v xml:space="preserve">  hidden: true</v>
      </c>
      <c r="I162" s="9" t="str">
        <f t="shared" si="14"/>
        <v/>
      </c>
    </row>
    <row r="163" spans="2:9" x14ac:dyDescent="0.45">
      <c r="B163" s="9">
        <f t="shared" si="10"/>
        <v>158</v>
      </c>
      <c r="C163" s="9">
        <f t="shared" si="11"/>
        <v>70</v>
      </c>
      <c r="D163" s="22">
        <f>INDEX(entities[Custom Attributes],MATCH('cust-code'!C163,entities[custom entity '#],0))</f>
        <v>1</v>
      </c>
      <c r="E163" s="22">
        <f t="shared" si="12"/>
        <v>0</v>
      </c>
      <c r="F163" s="9" t="str">
        <f>IF(E163&gt;0,"",
INDEX(entities[entity_id],MATCH('cust-code'!C163,entities[custom entity '#],0))&amp;":")</f>
        <v>script.living_room_vol_to_4:</v>
      </c>
      <c r="G163" s="9" t="str">
        <f>IF(E163=0,"",
INDEX(entities[[line 1]:[line 4]],MATCH('cust-code'!C163,entities[custom entity '#],0),'cust-code'!E163))</f>
        <v/>
      </c>
      <c r="H163" s="9" t="str">
        <f t="shared" si="13"/>
        <v>script.living_room_vol_to_4:</v>
      </c>
      <c r="I163" s="9" t="str">
        <f t="shared" si="14"/>
        <v/>
      </c>
    </row>
    <row r="164" spans="2:9" x14ac:dyDescent="0.45">
      <c r="B164" s="9">
        <f t="shared" ref="B164:B198" si="15">B163+1</f>
        <v>159</v>
      </c>
      <c r="C164" s="9">
        <f t="shared" ref="C164:C198" si="16">IF(E164=0,C163+1,C163)</f>
        <v>70</v>
      </c>
      <c r="D164" s="22">
        <f>INDEX(entities[Custom Attributes],MATCH('cust-code'!C164,entities[custom entity '#],0))</f>
        <v>1</v>
      </c>
      <c r="E164" s="22">
        <f t="shared" ref="E164:E198" si="17">IF(E163=D163,0,E163+1)</f>
        <v>1</v>
      </c>
      <c r="F164" s="9" t="str">
        <f>IF(E164&gt;0,"",
INDEX(entities[entity_id],MATCH('cust-code'!C164,entities[custom entity '#],0))&amp;":")</f>
        <v/>
      </c>
      <c r="G164" s="9" t="str">
        <f ca="1">IF(E164=0,"",
INDEX(entities[[line 1]:[line 4]],MATCH('cust-code'!C164,entities[custom entity '#],0),'cust-code'!E164))</f>
        <v xml:space="preserve">  hidden: true</v>
      </c>
      <c r="H164" s="9" t="str">
        <f t="shared" ca="1" si="13"/>
        <v xml:space="preserve">  hidden: true</v>
      </c>
      <c r="I164" s="9" t="str">
        <f t="shared" si="14"/>
        <v/>
      </c>
    </row>
    <row r="165" spans="2:9" x14ac:dyDescent="0.45">
      <c r="B165" s="9">
        <f t="shared" si="15"/>
        <v>160</v>
      </c>
      <c r="C165" s="9">
        <f t="shared" si="16"/>
        <v>71</v>
      </c>
      <c r="D165" s="22">
        <f>INDEX(entities[Custom Attributes],MATCH('cust-code'!C165,entities[custom entity '#],0))</f>
        <v>4</v>
      </c>
      <c r="E165" s="22">
        <f t="shared" si="17"/>
        <v>0</v>
      </c>
      <c r="F165" s="9" t="str">
        <f>IF(E165&gt;0,"",
INDEX(entities[entity_id],MATCH('cust-code'!C165,entities[custom entity '#],0))&amp;":")</f>
        <v>script.reading:</v>
      </c>
      <c r="G165" s="9" t="str">
        <f>IF(E165=0,"",
INDEX(entities[[line 1]:[line 4]],MATCH('cust-code'!C165,entities[custom entity '#],0),'cust-code'!E165))</f>
        <v/>
      </c>
      <c r="H165" s="9" t="str">
        <f t="shared" si="13"/>
        <v>script.reading:</v>
      </c>
      <c r="I165" s="9" t="str">
        <f t="shared" si="14"/>
        <v/>
      </c>
    </row>
    <row r="166" spans="2:9" x14ac:dyDescent="0.45">
      <c r="B166" s="9">
        <f t="shared" si="15"/>
        <v>161</v>
      </c>
      <c r="C166" s="9">
        <f t="shared" si="16"/>
        <v>71</v>
      </c>
      <c r="D166" s="22">
        <f>INDEX(entities[Custom Attributes],MATCH('cust-code'!C166,entities[custom entity '#],0))</f>
        <v>4</v>
      </c>
      <c r="E166" s="22">
        <f t="shared" si="17"/>
        <v>1</v>
      </c>
      <c r="F166" s="9" t="str">
        <f>IF(E166&gt;0,"",
INDEX(entities[entity_id],MATCH('cust-code'!C166,entities[custom entity '#],0))&amp;":")</f>
        <v/>
      </c>
      <c r="G166" s="9" t="str">
        <f ca="1">IF(E166=0,"",
INDEX(entities[[line 1]:[line 4]],MATCH('cust-code'!C166,entities[custom entity '#],0),'cust-code'!E166))</f>
        <v xml:space="preserve">  hidden: false</v>
      </c>
      <c r="H166" s="9" t="str">
        <f t="shared" ca="1" si="13"/>
        <v xml:space="preserve">  hidden: false</v>
      </c>
      <c r="I166" s="9" t="str">
        <f t="shared" si="14"/>
        <v/>
      </c>
    </row>
    <row r="167" spans="2:9" x14ac:dyDescent="0.45">
      <c r="B167" s="9">
        <f t="shared" si="15"/>
        <v>162</v>
      </c>
      <c r="C167" s="9">
        <f t="shared" si="16"/>
        <v>71</v>
      </c>
      <c r="D167" s="22">
        <f>INDEX(entities[Custom Attributes],MATCH('cust-code'!C167,entities[custom entity '#],0))</f>
        <v>4</v>
      </c>
      <c r="E167" s="22">
        <f t="shared" si="17"/>
        <v>2</v>
      </c>
      <c r="F167" s="9" t="str">
        <f>IF(E167&gt;0,"",
INDEX(entities[entity_id],MATCH('cust-code'!C167,entities[custom entity '#],0))&amp;":")</f>
        <v/>
      </c>
      <c r="G167" s="9" t="str">
        <f ca="1">IF(E167=0,"",
INDEX(entities[[line 1]:[line 4]],MATCH('cust-code'!C167,entities[custom entity '#],0),'cust-code'!E167))</f>
        <v xml:space="preserve">  friendly_name: Reading</v>
      </c>
      <c r="H167" s="9" t="str">
        <f t="shared" ca="1" si="13"/>
        <v xml:space="preserve">  friendly_name: Reading</v>
      </c>
      <c r="I167" s="9" t="str">
        <f t="shared" si="14"/>
        <v/>
      </c>
    </row>
    <row r="168" spans="2:9" x14ac:dyDescent="0.45">
      <c r="B168" s="9">
        <f t="shared" si="15"/>
        <v>163</v>
      </c>
      <c r="C168" s="9">
        <f t="shared" si="16"/>
        <v>71</v>
      </c>
      <c r="D168" s="22">
        <f>INDEX(entities[Custom Attributes],MATCH('cust-code'!C168,entities[custom entity '#],0))</f>
        <v>4</v>
      </c>
      <c r="E168" s="22">
        <f t="shared" si="17"/>
        <v>3</v>
      </c>
      <c r="F168" s="9" t="str">
        <f>IF(E168&gt;0,"",
INDEX(entities[entity_id],MATCH('cust-code'!C168,entities[custom entity '#],0))&amp;":")</f>
        <v/>
      </c>
      <c r="G168" s="9" t="str">
        <f ca="1">IF(E168=0,"",
INDEX(entities[[line 1]:[line 4]],MATCH('cust-code'!C168,entities[custom entity '#],0),'cust-code'!E168))</f>
        <v xml:space="preserve">  emulated_hue: true</v>
      </c>
      <c r="H168" s="9" t="str">
        <f t="shared" ca="1" si="13"/>
        <v xml:space="preserve">  emulated_hue: true</v>
      </c>
      <c r="I168" s="9" t="str">
        <f t="shared" si="14"/>
        <v/>
      </c>
    </row>
    <row r="169" spans="2:9" x14ac:dyDescent="0.45">
      <c r="B169" s="9">
        <f t="shared" si="15"/>
        <v>164</v>
      </c>
      <c r="C169" s="9">
        <f t="shared" si="16"/>
        <v>71</v>
      </c>
      <c r="D169" s="22">
        <f>INDEX(entities[Custom Attributes],MATCH('cust-code'!C169,entities[custom entity '#],0))</f>
        <v>4</v>
      </c>
      <c r="E169" s="22">
        <f t="shared" si="17"/>
        <v>4</v>
      </c>
      <c r="F169" s="9" t="str">
        <f>IF(E169&gt;0,"",
INDEX(entities[entity_id],MATCH('cust-code'!C169,entities[custom entity '#],0))&amp;":")</f>
        <v/>
      </c>
      <c r="G169" s="9" t="str">
        <f ca="1">IF(E169=0,"",
INDEX(entities[[line 1]:[line 4]],MATCH('cust-code'!C169,entities[custom entity '#],0),'cust-code'!E169))</f>
        <v xml:space="preserve">  icon: mdi:book-open-variant</v>
      </c>
      <c r="H169" s="9" t="str">
        <f t="shared" ca="1" si="13"/>
        <v xml:space="preserve">  icon: mdi:book-open-variant</v>
      </c>
      <c r="I169" s="9" t="str">
        <f t="shared" si="14"/>
        <v/>
      </c>
    </row>
    <row r="170" spans="2:9" x14ac:dyDescent="0.45">
      <c r="B170" s="9">
        <f t="shared" si="15"/>
        <v>165</v>
      </c>
      <c r="C170" s="9">
        <f t="shared" si="16"/>
        <v>72</v>
      </c>
      <c r="D170" s="22">
        <f>INDEX(entities[Custom Attributes],MATCH('cust-code'!C170,entities[custom entity '#],0))</f>
        <v>4</v>
      </c>
      <c r="E170" s="22">
        <f t="shared" si="17"/>
        <v>0</v>
      </c>
      <c r="F170" s="9" t="str">
        <f>IF(E170&gt;0,"",
INDEX(entities[entity_id],MATCH('cust-code'!C170,entities[custom entity '#],0))&amp;":")</f>
        <v>script.twilight:</v>
      </c>
      <c r="G170" s="9" t="str">
        <f>IF(E170=0,"",
INDEX(entities[[line 1]:[line 4]],MATCH('cust-code'!C170,entities[custom entity '#],0),'cust-code'!E170))</f>
        <v/>
      </c>
      <c r="H170" s="9" t="str">
        <f t="shared" si="13"/>
        <v>script.twilight:</v>
      </c>
      <c r="I170" s="9" t="str">
        <f t="shared" si="14"/>
        <v/>
      </c>
    </row>
    <row r="171" spans="2:9" x14ac:dyDescent="0.45">
      <c r="B171" s="9">
        <f t="shared" si="15"/>
        <v>166</v>
      </c>
      <c r="C171" s="9">
        <f t="shared" si="16"/>
        <v>72</v>
      </c>
      <c r="D171" s="22">
        <f>INDEX(entities[Custom Attributes],MATCH('cust-code'!C171,entities[custom entity '#],0))</f>
        <v>4</v>
      </c>
      <c r="E171" s="22">
        <f t="shared" si="17"/>
        <v>1</v>
      </c>
      <c r="F171" s="9" t="str">
        <f>IF(E171&gt;0,"",
INDEX(entities[entity_id],MATCH('cust-code'!C171,entities[custom entity '#],0))&amp;":")</f>
        <v/>
      </c>
      <c r="G171" s="9" t="str">
        <f ca="1">IF(E171=0,"",
INDEX(entities[[line 1]:[line 4]],MATCH('cust-code'!C171,entities[custom entity '#],0),'cust-code'!E171))</f>
        <v xml:space="preserve">  hidden: false</v>
      </c>
      <c r="H171" s="9" t="str">
        <f t="shared" ca="1" si="13"/>
        <v xml:space="preserve">  hidden: false</v>
      </c>
      <c r="I171" s="9" t="str">
        <f t="shared" si="14"/>
        <v/>
      </c>
    </row>
    <row r="172" spans="2:9" x14ac:dyDescent="0.45">
      <c r="B172" s="9">
        <f t="shared" si="15"/>
        <v>167</v>
      </c>
      <c r="C172" s="9">
        <f t="shared" si="16"/>
        <v>72</v>
      </c>
      <c r="D172" s="22">
        <f>INDEX(entities[Custom Attributes],MATCH('cust-code'!C172,entities[custom entity '#],0))</f>
        <v>4</v>
      </c>
      <c r="E172" s="22">
        <f t="shared" si="17"/>
        <v>2</v>
      </c>
      <c r="F172" s="9" t="str">
        <f>IF(E172&gt;0,"",
INDEX(entities[entity_id],MATCH('cust-code'!C172,entities[custom entity '#],0))&amp;":")</f>
        <v/>
      </c>
      <c r="G172" s="9" t="str">
        <f ca="1">IF(E172=0,"",
INDEX(entities[[line 1]:[line 4]],MATCH('cust-code'!C172,entities[custom entity '#],0),'cust-code'!E172))</f>
        <v xml:space="preserve">  friendly_name: Twilight</v>
      </c>
      <c r="H172" s="9" t="str">
        <f t="shared" ca="1" si="13"/>
        <v xml:space="preserve">  friendly_name: Twilight</v>
      </c>
      <c r="I172" s="9" t="str">
        <f t="shared" si="14"/>
        <v/>
      </c>
    </row>
    <row r="173" spans="2:9" x14ac:dyDescent="0.45">
      <c r="B173" s="9">
        <f t="shared" si="15"/>
        <v>168</v>
      </c>
      <c r="C173" s="9">
        <f t="shared" si="16"/>
        <v>72</v>
      </c>
      <c r="D173" s="22">
        <f>INDEX(entities[Custom Attributes],MATCH('cust-code'!C173,entities[custom entity '#],0))</f>
        <v>4</v>
      </c>
      <c r="E173" s="22">
        <f t="shared" si="17"/>
        <v>3</v>
      </c>
      <c r="F173" s="9" t="str">
        <f>IF(E173&gt;0,"",
INDEX(entities[entity_id],MATCH('cust-code'!C173,entities[custom entity '#],0))&amp;":")</f>
        <v/>
      </c>
      <c r="G173" s="9" t="str">
        <f ca="1">IF(E173=0,"",
INDEX(entities[[line 1]:[line 4]],MATCH('cust-code'!C173,entities[custom entity '#],0),'cust-code'!E173))</f>
        <v xml:space="preserve">  emulated_hue: true</v>
      </c>
      <c r="H173" s="9" t="str">
        <f t="shared" ca="1" si="13"/>
        <v xml:space="preserve">  emulated_hue: true</v>
      </c>
      <c r="I173" s="9" t="str">
        <f t="shared" si="14"/>
        <v/>
      </c>
    </row>
    <row r="174" spans="2:9" x14ac:dyDescent="0.45">
      <c r="B174" s="9">
        <f t="shared" si="15"/>
        <v>169</v>
      </c>
      <c r="C174" s="9">
        <f t="shared" si="16"/>
        <v>72</v>
      </c>
      <c r="D174" s="22">
        <f>INDEX(entities[Custom Attributes],MATCH('cust-code'!C174,entities[custom entity '#],0))</f>
        <v>4</v>
      </c>
      <c r="E174" s="22">
        <f t="shared" si="17"/>
        <v>4</v>
      </c>
      <c r="F174" s="9" t="str">
        <f>IF(E174&gt;0,"",
INDEX(entities[entity_id],MATCH('cust-code'!C174,entities[custom entity '#],0))&amp;":")</f>
        <v/>
      </c>
      <c r="G174" s="9" t="str">
        <f ca="1">IF(E174=0,"",
INDEX(entities[[line 1]:[line 4]],MATCH('cust-code'!C174,entities[custom entity '#],0),'cust-code'!E174))</f>
        <v xml:space="preserve">  icon: mdi:weather-sunset</v>
      </c>
      <c r="H174" s="9" t="str">
        <f t="shared" ca="1" si="13"/>
        <v xml:space="preserve">  icon: mdi:weather-sunset</v>
      </c>
      <c r="I174" s="9" t="str">
        <f t="shared" si="14"/>
        <v/>
      </c>
    </row>
    <row r="175" spans="2:9" x14ac:dyDescent="0.45">
      <c r="B175" s="9">
        <f t="shared" si="15"/>
        <v>170</v>
      </c>
      <c r="C175" s="9">
        <f t="shared" si="16"/>
        <v>73</v>
      </c>
      <c r="D175" s="22">
        <f>INDEX(entities[Custom Attributes],MATCH('cust-code'!C175,entities[custom entity '#],0))</f>
        <v>1</v>
      </c>
      <c r="E175" s="22">
        <f t="shared" si="17"/>
        <v>0</v>
      </c>
      <c r="F175" s="9" t="str">
        <f>IF(E175&gt;0,"",
INDEX(entities[entity_id],MATCH('cust-code'!C175,entities[custom entity '#],0))&amp;":")</f>
        <v>script.vacation_lights:</v>
      </c>
      <c r="G175" s="9" t="str">
        <f>IF(E175=0,"",
INDEX(entities[[line 1]:[line 4]],MATCH('cust-code'!C175,entities[custom entity '#],0),'cust-code'!E175))</f>
        <v/>
      </c>
      <c r="H175" s="9" t="str">
        <f t="shared" si="13"/>
        <v>script.vacation_lights:</v>
      </c>
      <c r="I175" s="9" t="str">
        <f t="shared" si="14"/>
        <v/>
      </c>
    </row>
    <row r="176" spans="2:9" x14ac:dyDescent="0.45">
      <c r="B176" s="9">
        <f t="shared" si="15"/>
        <v>171</v>
      </c>
      <c r="C176" s="9">
        <f t="shared" si="16"/>
        <v>73</v>
      </c>
      <c r="D176" s="22">
        <f>INDEX(entities[Custom Attributes],MATCH('cust-code'!C176,entities[custom entity '#],0))</f>
        <v>1</v>
      </c>
      <c r="E176" s="22">
        <f t="shared" si="17"/>
        <v>1</v>
      </c>
      <c r="F176" s="9" t="str">
        <f>IF(E176&gt;0,"",
INDEX(entities[entity_id],MATCH('cust-code'!C176,entities[custom entity '#],0))&amp;":")</f>
        <v/>
      </c>
      <c r="G176" s="9" t="str">
        <f ca="1">IF(E176=0,"",
INDEX(entities[[line 1]:[line 4]],MATCH('cust-code'!C176,entities[custom entity '#],0),'cust-code'!E176))</f>
        <v xml:space="preserve">  hidden: true</v>
      </c>
      <c r="H176" s="9" t="str">
        <f t="shared" ca="1" si="13"/>
        <v xml:space="preserve">  hidden: true</v>
      </c>
      <c r="I176" s="9" t="str">
        <f t="shared" si="14"/>
        <v/>
      </c>
    </row>
    <row r="177" spans="2:9" x14ac:dyDescent="0.45">
      <c r="B177" s="9">
        <f t="shared" si="15"/>
        <v>172</v>
      </c>
      <c r="C177" s="9">
        <f t="shared" si="16"/>
        <v>74</v>
      </c>
      <c r="D177" s="22">
        <f>INDEX(entities[Custom Attributes],MATCH('cust-code'!C177,entities[custom entity '#],0))</f>
        <v>1</v>
      </c>
      <c r="E177" s="22">
        <f t="shared" si="17"/>
        <v>0</v>
      </c>
      <c r="F177" s="9" t="str">
        <f>IF(E177&gt;0,"",
INDEX(entities[entity_id],MATCH('cust-code'!C177,entities[custom entity '#],0))&amp;":")</f>
        <v>script.wake_up:</v>
      </c>
      <c r="G177" s="9" t="str">
        <f>IF(E177=0,"",
INDEX(entities[[line 1]:[line 4]],MATCH('cust-code'!C177,entities[custom entity '#],0),'cust-code'!E177))</f>
        <v/>
      </c>
      <c r="H177" s="9" t="str">
        <f t="shared" si="13"/>
        <v>script.wake_up:</v>
      </c>
      <c r="I177" s="9" t="str">
        <f t="shared" si="14"/>
        <v/>
      </c>
    </row>
    <row r="178" spans="2:9" x14ac:dyDescent="0.45">
      <c r="B178" s="9">
        <f t="shared" si="15"/>
        <v>173</v>
      </c>
      <c r="C178" s="9">
        <f t="shared" si="16"/>
        <v>74</v>
      </c>
      <c r="D178" s="22">
        <f>INDEX(entities[Custom Attributes],MATCH('cust-code'!C178,entities[custom entity '#],0))</f>
        <v>1</v>
      </c>
      <c r="E178" s="22">
        <f t="shared" si="17"/>
        <v>1</v>
      </c>
      <c r="F178" s="9" t="str">
        <f>IF(E178&gt;0,"",
INDEX(entities[entity_id],MATCH('cust-code'!C178,entities[custom entity '#],0))&amp;":")</f>
        <v/>
      </c>
      <c r="G178" s="9" t="str">
        <f ca="1">IF(E178=0,"",
INDEX(entities[[line 1]:[line 4]],MATCH('cust-code'!C178,entities[custom entity '#],0),'cust-code'!E178))</f>
        <v xml:space="preserve">  hidden: true</v>
      </c>
      <c r="H178" s="9" t="str">
        <f t="shared" ca="1" si="13"/>
        <v xml:space="preserve">  hidden: true</v>
      </c>
      <c r="I178" s="9" t="str">
        <f t="shared" si="14"/>
        <v/>
      </c>
    </row>
    <row r="179" spans="2:9" x14ac:dyDescent="0.45">
      <c r="B179" s="9">
        <f t="shared" si="15"/>
        <v>174</v>
      </c>
      <c r="C179" s="9">
        <f t="shared" si="16"/>
        <v>75</v>
      </c>
      <c r="D179" s="22">
        <f>INDEX(entities[Custom Attributes],MATCH('cust-code'!C179,entities[custom entity '#],0))</f>
        <v>1</v>
      </c>
      <c r="E179" s="22">
        <f t="shared" si="17"/>
        <v>0</v>
      </c>
      <c r="F179" s="9" t="str">
        <f>IF(E179&gt;0,"",
INDEX(entities[entity_id],MATCH('cust-code'!C179,entities[custom entity '#],0))&amp;":")</f>
        <v>sensor.alarm_clock_hour:</v>
      </c>
      <c r="G179" s="9" t="str">
        <f>IF(E179=0,"",
INDEX(entities[[line 1]:[line 4]],MATCH('cust-code'!C179,entities[custom entity '#],0),'cust-code'!E179))</f>
        <v/>
      </c>
      <c r="H179" s="9" t="str">
        <f t="shared" si="13"/>
        <v>sensor.alarm_clock_hour:</v>
      </c>
      <c r="I179" s="9" t="str">
        <f t="shared" si="14"/>
        <v/>
      </c>
    </row>
    <row r="180" spans="2:9" x14ac:dyDescent="0.45">
      <c r="B180" s="9">
        <f t="shared" si="15"/>
        <v>175</v>
      </c>
      <c r="C180" s="9">
        <f t="shared" si="16"/>
        <v>75</v>
      </c>
      <c r="D180" s="22">
        <f>INDEX(entities[Custom Attributes],MATCH('cust-code'!C180,entities[custom entity '#],0))</f>
        <v>1</v>
      </c>
      <c r="E180" s="22">
        <f t="shared" si="17"/>
        <v>1</v>
      </c>
      <c r="F180" s="9" t="str">
        <f>IF(E180&gt;0,"",
INDEX(entities[entity_id],MATCH('cust-code'!C180,entities[custom entity '#],0))&amp;":")</f>
        <v/>
      </c>
      <c r="G180" s="9" t="str">
        <f ca="1">IF(E180=0,"",
INDEX(entities[[line 1]:[line 4]],MATCH('cust-code'!C180,entities[custom entity '#],0),'cust-code'!E180))</f>
        <v xml:space="preserve">  hidden: true</v>
      </c>
      <c r="H180" s="9" t="str">
        <f t="shared" ca="1" si="13"/>
        <v xml:space="preserve">  hidden: true</v>
      </c>
      <c r="I180" s="9" t="str">
        <f t="shared" si="14"/>
        <v/>
      </c>
    </row>
    <row r="181" spans="2:9" x14ac:dyDescent="0.45">
      <c r="B181" s="9">
        <f t="shared" si="15"/>
        <v>176</v>
      </c>
      <c r="C181" s="9">
        <f t="shared" si="16"/>
        <v>76</v>
      </c>
      <c r="D181" s="22">
        <f>INDEX(entities[Custom Attributes],MATCH('cust-code'!C181,entities[custom entity '#],0))</f>
        <v>1</v>
      </c>
      <c r="E181" s="22">
        <f t="shared" si="17"/>
        <v>0</v>
      </c>
      <c r="F181" s="9" t="str">
        <f>IF(E181&gt;0,"",
INDEX(entities[entity_id],MATCH('cust-code'!C181,entities[custom entity '#],0))&amp;":")</f>
        <v>sensor.alarm_clock_minute:</v>
      </c>
      <c r="G181" s="9" t="str">
        <f>IF(E181=0,"",
INDEX(entities[[line 1]:[line 4]],MATCH('cust-code'!C181,entities[custom entity '#],0),'cust-code'!E181))</f>
        <v/>
      </c>
      <c r="H181" s="9" t="str">
        <f t="shared" si="13"/>
        <v>sensor.alarm_clock_minute:</v>
      </c>
      <c r="I181" s="9" t="str">
        <f t="shared" si="14"/>
        <v/>
      </c>
    </row>
    <row r="182" spans="2:9" x14ac:dyDescent="0.45">
      <c r="B182" s="9">
        <f t="shared" si="15"/>
        <v>177</v>
      </c>
      <c r="C182" s="9">
        <f t="shared" si="16"/>
        <v>76</v>
      </c>
      <c r="D182" s="22">
        <f>INDEX(entities[Custom Attributes],MATCH('cust-code'!C182,entities[custom entity '#],0))</f>
        <v>1</v>
      </c>
      <c r="E182" s="22">
        <f t="shared" si="17"/>
        <v>1</v>
      </c>
      <c r="F182" s="9" t="str">
        <f>IF(E182&gt;0,"",
INDEX(entities[entity_id],MATCH('cust-code'!C182,entities[custom entity '#],0))&amp;":")</f>
        <v/>
      </c>
      <c r="G182" s="9" t="str">
        <f ca="1">IF(E182=0,"",
INDEX(entities[[line 1]:[line 4]],MATCH('cust-code'!C182,entities[custom entity '#],0),'cust-code'!E182))</f>
        <v xml:space="preserve">  hidden: true</v>
      </c>
      <c r="H182" s="9" t="str">
        <f t="shared" ca="1" si="13"/>
        <v xml:space="preserve">  hidden: true</v>
      </c>
      <c r="I182" s="9" t="str">
        <f t="shared" si="14"/>
        <v/>
      </c>
    </row>
    <row r="183" spans="2:9" x14ac:dyDescent="0.45">
      <c r="B183" s="9">
        <f t="shared" si="15"/>
        <v>178</v>
      </c>
      <c r="C183" s="9">
        <f t="shared" si="16"/>
        <v>77</v>
      </c>
      <c r="D183" s="22">
        <f>INDEX(entities[Custom Attributes],MATCH('cust-code'!C183,entities[custom entity '#],0))</f>
        <v>1</v>
      </c>
      <c r="E183" s="22">
        <f t="shared" si="17"/>
        <v>0</v>
      </c>
      <c r="F183" s="9" t="str">
        <f>IF(E183&gt;0,"",
INDEX(entities[entity_id],MATCH('cust-code'!C183,entities[custom entity '#],0))&amp;":")</f>
        <v>sensor.alarm_clock_time:</v>
      </c>
      <c r="G183" s="9" t="str">
        <f>IF(E183=0,"",
INDEX(entities[[line 1]:[line 4]],MATCH('cust-code'!C183,entities[custom entity '#],0),'cust-code'!E183))</f>
        <v/>
      </c>
      <c r="H183" s="9" t="str">
        <f t="shared" si="13"/>
        <v>sensor.alarm_clock_time:</v>
      </c>
      <c r="I183" s="9" t="str">
        <f t="shared" si="14"/>
        <v/>
      </c>
    </row>
    <row r="184" spans="2:9" x14ac:dyDescent="0.45">
      <c r="B184" s="9">
        <f t="shared" si="15"/>
        <v>179</v>
      </c>
      <c r="C184" s="9">
        <f t="shared" si="16"/>
        <v>77</v>
      </c>
      <c r="D184" s="22">
        <f>INDEX(entities[Custom Attributes],MATCH('cust-code'!C184,entities[custom entity '#],0))</f>
        <v>1</v>
      </c>
      <c r="E184" s="22">
        <f t="shared" si="17"/>
        <v>1</v>
      </c>
      <c r="F184" s="9" t="str">
        <f>IF(E184&gt;0,"",
INDEX(entities[entity_id],MATCH('cust-code'!C184,entities[custom entity '#],0))&amp;":")</f>
        <v/>
      </c>
      <c r="G184" s="9" t="str">
        <f ca="1">IF(E184=0,"",
INDEX(entities[[line 1]:[line 4]],MATCH('cust-code'!C184,entities[custom entity '#],0),'cust-code'!E184))</f>
        <v xml:space="preserve">  friendly_name: Alarm Clock Setting</v>
      </c>
      <c r="H184" s="9" t="str">
        <f t="shared" ca="1" si="13"/>
        <v xml:space="preserve">  friendly_name: Alarm Clock Setting</v>
      </c>
      <c r="I184" s="9" t="str">
        <f t="shared" si="14"/>
        <v/>
      </c>
    </row>
    <row r="185" spans="2:9" x14ac:dyDescent="0.45">
      <c r="B185" s="9">
        <f t="shared" si="15"/>
        <v>180</v>
      </c>
      <c r="C185" s="9">
        <f t="shared" si="16"/>
        <v>78</v>
      </c>
      <c r="D185" s="22">
        <f>INDEX(entities[Custom Attributes],MATCH('cust-code'!C185,entities[custom entity '#],0))</f>
        <v>1</v>
      </c>
      <c r="E185" s="22">
        <f t="shared" si="17"/>
        <v>0</v>
      </c>
      <c r="F185" s="9" t="str">
        <f>IF(E185&gt;0,"",
INDEX(entities[entity_id],MATCH('cust-code'!C185,entities[custom entity '#],0))&amp;":")</f>
        <v>sensor.alarm_clock_time_long:</v>
      </c>
      <c r="G185" s="9" t="str">
        <f>IF(E185=0,"",
INDEX(entities[[line 1]:[line 4]],MATCH('cust-code'!C185,entities[custom entity '#],0),'cust-code'!E185))</f>
        <v/>
      </c>
      <c r="H185" s="9" t="str">
        <f t="shared" si="13"/>
        <v>sensor.alarm_clock_time_long:</v>
      </c>
      <c r="I185" s="9" t="str">
        <f t="shared" si="14"/>
        <v/>
      </c>
    </row>
    <row r="186" spans="2:9" x14ac:dyDescent="0.45">
      <c r="B186" s="9">
        <f t="shared" si="15"/>
        <v>181</v>
      </c>
      <c r="C186" s="9">
        <f t="shared" si="16"/>
        <v>78</v>
      </c>
      <c r="D186" s="22">
        <f>INDEX(entities[Custom Attributes],MATCH('cust-code'!C186,entities[custom entity '#],0))</f>
        <v>1</v>
      </c>
      <c r="E186" s="22">
        <f t="shared" si="17"/>
        <v>1</v>
      </c>
      <c r="F186" s="9" t="str">
        <f>IF(E186&gt;0,"",
INDEX(entities[entity_id],MATCH('cust-code'!C186,entities[custom entity '#],0))&amp;":")</f>
        <v/>
      </c>
      <c r="G186" s="9" t="str">
        <f ca="1">IF(E186=0,"",
INDEX(entities[[line 1]:[line 4]],MATCH('cust-code'!C186,entities[custom entity '#],0),'cust-code'!E186))</f>
        <v xml:space="preserve">  hidden: true</v>
      </c>
      <c r="H186" s="9" t="str">
        <f t="shared" ca="1" si="13"/>
        <v xml:space="preserve">  hidden: true</v>
      </c>
      <c r="I186" s="9" t="str">
        <f t="shared" si="14"/>
        <v/>
      </c>
    </row>
    <row r="187" spans="2:9" x14ac:dyDescent="0.45">
      <c r="B187" s="9">
        <f t="shared" si="15"/>
        <v>182</v>
      </c>
      <c r="C187" s="9">
        <f t="shared" si="16"/>
        <v>79</v>
      </c>
      <c r="D187" s="22">
        <f>INDEX(entities[Custom Attributes],MATCH('cust-code'!C187,entities[custom entity '#],0))</f>
        <v>1</v>
      </c>
      <c r="E187" s="22">
        <f t="shared" si="17"/>
        <v>0</v>
      </c>
      <c r="F187" s="9" t="str">
        <f>IF(E187&gt;0,"",
INDEX(entities[entity_id],MATCH('cust-code'!C187,entities[custom entity '#],0))&amp;":")</f>
        <v>sensor.dark_sky_apparent_temperature:</v>
      </c>
      <c r="G187" s="9" t="str">
        <f>IF(E187=0,"",
INDEX(entities[[line 1]:[line 4]],MATCH('cust-code'!C187,entities[custom entity '#],0),'cust-code'!E187))</f>
        <v/>
      </c>
      <c r="H187" s="9" t="str">
        <f t="shared" si="13"/>
        <v>sensor.dark_sky_apparent_temperature:</v>
      </c>
      <c r="I187" s="9" t="str">
        <f t="shared" si="14"/>
        <v/>
      </c>
    </row>
    <row r="188" spans="2:9" x14ac:dyDescent="0.45">
      <c r="B188" s="9">
        <f t="shared" si="15"/>
        <v>183</v>
      </c>
      <c r="C188" s="9">
        <f t="shared" si="16"/>
        <v>79</v>
      </c>
      <c r="D188" s="22">
        <f>INDEX(entities[Custom Attributes],MATCH('cust-code'!C188,entities[custom entity '#],0))</f>
        <v>1</v>
      </c>
      <c r="E188" s="22">
        <f t="shared" si="17"/>
        <v>1</v>
      </c>
      <c r="F188" s="9" t="str">
        <f>IF(E188&gt;0,"",
INDEX(entities[entity_id],MATCH('cust-code'!C188,entities[custom entity '#],0))&amp;":")</f>
        <v/>
      </c>
      <c r="G188" s="9" t="str">
        <f ca="1">IF(E188=0,"",
INDEX(entities[[line 1]:[line 4]],MATCH('cust-code'!C188,entities[custom entity '#],0),'cust-code'!E188))</f>
        <v xml:space="preserve">  friendly_name: Feels Like</v>
      </c>
      <c r="H188" s="9" t="str">
        <f t="shared" ca="1" si="13"/>
        <v xml:space="preserve">  friendly_name: Feels Like</v>
      </c>
      <c r="I188" s="9" t="str">
        <f t="shared" si="14"/>
        <v/>
      </c>
    </row>
    <row r="189" spans="2:9" x14ac:dyDescent="0.45">
      <c r="B189" s="9">
        <f t="shared" si="15"/>
        <v>184</v>
      </c>
      <c r="C189" s="9">
        <f t="shared" si="16"/>
        <v>80</v>
      </c>
      <c r="D189" s="22">
        <f>INDEX(entities[Custom Attributes],MATCH('cust-code'!C189,entities[custom entity '#],0))</f>
        <v>1</v>
      </c>
      <c r="E189" s="22">
        <f t="shared" si="17"/>
        <v>0</v>
      </c>
      <c r="F189" s="9" t="str">
        <f>IF(E189&gt;0,"",
INDEX(entities[entity_id],MATCH('cust-code'!C189,entities[custom entity '#],0))&amp;":")</f>
        <v>sensor.dark_sky_daily_summary:</v>
      </c>
      <c r="G189" s="9" t="str">
        <f>IF(E189=0,"",
INDEX(entities[[line 1]:[line 4]],MATCH('cust-code'!C189,entities[custom entity '#],0),'cust-code'!E189))</f>
        <v/>
      </c>
      <c r="H189" s="9" t="str">
        <f t="shared" si="13"/>
        <v>sensor.dark_sky_daily_summary:</v>
      </c>
      <c r="I189" s="9" t="str">
        <f t="shared" si="14"/>
        <v/>
      </c>
    </row>
    <row r="190" spans="2:9" x14ac:dyDescent="0.45">
      <c r="B190" s="9">
        <f t="shared" si="15"/>
        <v>185</v>
      </c>
      <c r="C190" s="9">
        <f t="shared" si="16"/>
        <v>80</v>
      </c>
      <c r="D190" s="22">
        <f>INDEX(entities[Custom Attributes],MATCH('cust-code'!C190,entities[custom entity '#],0))</f>
        <v>1</v>
      </c>
      <c r="E190" s="22">
        <f t="shared" si="17"/>
        <v>1</v>
      </c>
      <c r="F190" s="9" t="str">
        <f>IF(E190&gt;0,"",
INDEX(entities[entity_id],MATCH('cust-code'!C190,entities[custom entity '#],0))&amp;":")</f>
        <v/>
      </c>
      <c r="G190" s="9" t="str">
        <f ca="1">IF(E190=0,"",
INDEX(entities[[line 1]:[line 4]],MATCH('cust-code'!C190,entities[custom entity '#],0),'cust-code'!E190))</f>
        <v xml:space="preserve">  friendly_name: Week</v>
      </c>
      <c r="H190" s="9" t="str">
        <f t="shared" ca="1" si="13"/>
        <v xml:space="preserve">  friendly_name: Week</v>
      </c>
      <c r="I190" s="9" t="str">
        <f t="shared" si="14"/>
        <v/>
      </c>
    </row>
    <row r="191" spans="2:9" x14ac:dyDescent="0.45">
      <c r="B191" s="9">
        <f t="shared" si="15"/>
        <v>186</v>
      </c>
      <c r="C191" s="9">
        <f t="shared" si="16"/>
        <v>81</v>
      </c>
      <c r="D191" s="22">
        <f>INDEX(entities[Custom Attributes],MATCH('cust-code'!C191,entities[custom entity '#],0))</f>
        <v>1</v>
      </c>
      <c r="E191" s="22">
        <f t="shared" si="17"/>
        <v>0</v>
      </c>
      <c r="F191" s="9" t="str">
        <f>IF(E191&gt;0,"",
INDEX(entities[entity_id],MATCH('cust-code'!C191,entities[custom entity '#],0))&amp;":")</f>
        <v>sensor.dark_sky_hourly_summary:</v>
      </c>
      <c r="G191" s="9" t="str">
        <f>IF(E191=0,"",
INDEX(entities[[line 1]:[line 4]],MATCH('cust-code'!C191,entities[custom entity '#],0),'cust-code'!E191))</f>
        <v/>
      </c>
      <c r="H191" s="9" t="str">
        <f t="shared" si="13"/>
        <v>sensor.dark_sky_hourly_summary:</v>
      </c>
      <c r="I191" s="9" t="str">
        <f t="shared" si="14"/>
        <v/>
      </c>
    </row>
    <row r="192" spans="2:9" x14ac:dyDescent="0.45">
      <c r="B192" s="9">
        <f t="shared" si="15"/>
        <v>187</v>
      </c>
      <c r="C192" s="9">
        <f t="shared" si="16"/>
        <v>81</v>
      </c>
      <c r="D192" s="22">
        <f>INDEX(entities[Custom Attributes],MATCH('cust-code'!C192,entities[custom entity '#],0))</f>
        <v>1</v>
      </c>
      <c r="E192" s="22">
        <f t="shared" si="17"/>
        <v>1</v>
      </c>
      <c r="F192" s="9" t="str">
        <f>IF(E192&gt;0,"",
INDEX(entities[entity_id],MATCH('cust-code'!C192,entities[custom entity '#],0))&amp;":")</f>
        <v/>
      </c>
      <c r="G192" s="9" t="str">
        <f ca="1">IF(E192=0,"",
INDEX(entities[[line 1]:[line 4]],MATCH('cust-code'!C192,entities[custom entity '#],0),'cust-code'!E192))</f>
        <v xml:space="preserve">  friendly_name: Today</v>
      </c>
      <c r="H192" s="9" t="str">
        <f t="shared" ca="1" si="13"/>
        <v xml:space="preserve">  friendly_name: Today</v>
      </c>
      <c r="I192" s="9" t="str">
        <f t="shared" si="14"/>
        <v/>
      </c>
    </row>
    <row r="193" spans="2:9" x14ac:dyDescent="0.45">
      <c r="B193" s="9">
        <f t="shared" si="15"/>
        <v>188</v>
      </c>
      <c r="C193" s="9">
        <f t="shared" si="16"/>
        <v>82</v>
      </c>
      <c r="D193" s="22">
        <f>INDEX(entities[Custom Attributes],MATCH('cust-code'!C193,entities[custom entity '#],0))</f>
        <v>1</v>
      </c>
      <c r="E193" s="22">
        <f t="shared" si="17"/>
        <v>0</v>
      </c>
      <c r="F193" s="9" t="str">
        <f>IF(E193&gt;0,"",
INDEX(entities[entity_id],MATCH('cust-code'!C193,entities[custom entity '#],0))&amp;":")</f>
        <v>sensor.dark_sky_minutely_summary:</v>
      </c>
      <c r="G193" s="9" t="str">
        <f>IF(E193=0,"",
INDEX(entities[[line 1]:[line 4]],MATCH('cust-code'!C193,entities[custom entity '#],0),'cust-code'!E193))</f>
        <v/>
      </c>
      <c r="H193" s="9" t="str">
        <f t="shared" si="13"/>
        <v>sensor.dark_sky_minutely_summary:</v>
      </c>
      <c r="I193" s="9" t="str">
        <f t="shared" si="14"/>
        <v/>
      </c>
    </row>
    <row r="194" spans="2:9" x14ac:dyDescent="0.45">
      <c r="B194" s="9">
        <f t="shared" si="15"/>
        <v>189</v>
      </c>
      <c r="C194" s="9">
        <f t="shared" si="16"/>
        <v>82</v>
      </c>
      <c r="D194" s="22">
        <f>INDEX(entities[Custom Attributes],MATCH('cust-code'!C194,entities[custom entity '#],0))</f>
        <v>1</v>
      </c>
      <c r="E194" s="22">
        <f t="shared" si="17"/>
        <v>1</v>
      </c>
      <c r="F194" s="9" t="str">
        <f>IF(E194&gt;0,"",
INDEX(entities[entity_id],MATCH('cust-code'!C194,entities[custom entity '#],0))&amp;":")</f>
        <v/>
      </c>
      <c r="G194" s="9" t="str">
        <f ca="1">IF(E194=0,"",
INDEX(entities[[line 1]:[line 4]],MATCH('cust-code'!C194,entities[custom entity '#],0),'cust-code'!E194))</f>
        <v xml:space="preserve">  friendly_name: Now</v>
      </c>
      <c r="H194" s="9" t="str">
        <f t="shared" ca="1" si="13"/>
        <v xml:space="preserve">  friendly_name: Now</v>
      </c>
      <c r="I194" s="9" t="str">
        <f t="shared" si="14"/>
        <v/>
      </c>
    </row>
    <row r="195" spans="2:9" x14ac:dyDescent="0.45">
      <c r="B195" s="9">
        <f t="shared" si="15"/>
        <v>190</v>
      </c>
      <c r="C195" s="9">
        <f t="shared" si="16"/>
        <v>83</v>
      </c>
      <c r="D195" s="22">
        <f>INDEX(entities[Custom Attributes],MATCH('cust-code'!C195,entities[custom entity '#],0))</f>
        <v>1</v>
      </c>
      <c r="E195" s="22">
        <f t="shared" si="17"/>
        <v>0</v>
      </c>
      <c r="F195" s="9" t="str">
        <f>IF(E195&gt;0,"",
INDEX(entities[entity_id],MATCH('cust-code'!C195,entities[custom entity '#],0))&amp;":")</f>
        <v>sensor.dark_sky_precip_probability:</v>
      </c>
      <c r="G195" s="9" t="str">
        <f>IF(E195=0,"",
INDEX(entities[[line 1]:[line 4]],MATCH('cust-code'!C195,entities[custom entity '#],0),'cust-code'!E195))</f>
        <v/>
      </c>
      <c r="H195" s="9" t="str">
        <f t="shared" si="13"/>
        <v>sensor.dark_sky_precip_probability:</v>
      </c>
      <c r="I195" s="9" t="str">
        <f t="shared" si="14"/>
        <v/>
      </c>
    </row>
    <row r="196" spans="2:9" x14ac:dyDescent="0.45">
      <c r="B196" s="9">
        <f t="shared" si="15"/>
        <v>191</v>
      </c>
      <c r="C196" s="9">
        <f t="shared" si="16"/>
        <v>83</v>
      </c>
      <c r="D196" s="22">
        <f>INDEX(entities[Custom Attributes],MATCH('cust-code'!C196,entities[custom entity '#],0))</f>
        <v>1</v>
      </c>
      <c r="E196" s="22">
        <f t="shared" si="17"/>
        <v>1</v>
      </c>
      <c r="F196" s="9" t="str">
        <f>IF(E196&gt;0,"",
INDEX(entities[entity_id],MATCH('cust-code'!C196,entities[custom entity '#],0))&amp;":")</f>
        <v/>
      </c>
      <c r="G196" s="9" t="str">
        <f ca="1">IF(E196=0,"",
INDEX(entities[[line 1]:[line 4]],MATCH('cust-code'!C196,entities[custom entity '#],0),'cust-code'!E196))</f>
        <v xml:space="preserve">  friendly_name: Precip Chance</v>
      </c>
      <c r="H196" s="9" t="str">
        <f t="shared" ca="1" si="13"/>
        <v xml:space="preserve">  friendly_name: Precip Chance</v>
      </c>
      <c r="I196" s="9" t="str">
        <f t="shared" si="14"/>
        <v/>
      </c>
    </row>
    <row r="197" spans="2:9" x14ac:dyDescent="0.45">
      <c r="B197" s="9">
        <f t="shared" si="15"/>
        <v>192</v>
      </c>
      <c r="C197" s="9">
        <f t="shared" si="16"/>
        <v>84</v>
      </c>
      <c r="D197" s="22">
        <f>INDEX(entities[Custom Attributes],MATCH('cust-code'!C197,entities[custom entity '#],0))</f>
        <v>1</v>
      </c>
      <c r="E197" s="22">
        <f t="shared" si="17"/>
        <v>0</v>
      </c>
      <c r="F197" s="9" t="str">
        <f>IF(E197&gt;0,"",
INDEX(entities[entity_id],MATCH('cust-code'!C197,entities[custom entity '#],0))&amp;":")</f>
        <v>sensor.dark_sky_temperature:</v>
      </c>
      <c r="G197" s="9" t="str">
        <f>IF(E197=0,"",
INDEX(entities[[line 1]:[line 4]],MATCH('cust-code'!C197,entities[custom entity '#],0),'cust-code'!E197))</f>
        <v/>
      </c>
      <c r="H197" s="9" t="str">
        <f t="shared" si="13"/>
        <v>sensor.dark_sky_temperature:</v>
      </c>
      <c r="I197" s="9" t="str">
        <f t="shared" si="14"/>
        <v/>
      </c>
    </row>
    <row r="198" spans="2:9" x14ac:dyDescent="0.45">
      <c r="B198" s="9">
        <f t="shared" si="15"/>
        <v>193</v>
      </c>
      <c r="C198" s="9">
        <f t="shared" si="16"/>
        <v>84</v>
      </c>
      <c r="D198" s="22">
        <f>INDEX(entities[Custom Attributes],MATCH('cust-code'!C198,entities[custom entity '#],0))</f>
        <v>1</v>
      </c>
      <c r="E198" s="22">
        <f t="shared" si="17"/>
        <v>1</v>
      </c>
      <c r="F198" s="9" t="str">
        <f>IF(E198&gt;0,"",
INDEX(entities[entity_id],MATCH('cust-code'!C198,entities[custom entity '#],0))&amp;":")</f>
        <v/>
      </c>
      <c r="G198" s="9" t="str">
        <f ca="1">IF(E198=0,"",
INDEX(entities[[line 1]:[line 4]],MATCH('cust-code'!C198,entities[custom entity '#],0),'cust-code'!E198))</f>
        <v xml:space="preserve">  friendly_name: Temp</v>
      </c>
      <c r="H198" s="9" t="str">
        <f t="shared" ca="1" si="13"/>
        <v xml:space="preserve">  friendly_name: Temp</v>
      </c>
      <c r="I198" s="9" t="str">
        <f t="shared" si="14"/>
        <v/>
      </c>
    </row>
    <row r="199" spans="2:9" x14ac:dyDescent="0.45">
      <c r="B199" s="9">
        <f t="shared" ref="B199:B262" si="18">B198+1</f>
        <v>194</v>
      </c>
      <c r="C199" s="9">
        <f t="shared" ref="C199:C205" si="19">IF(E199=0,C198+1,C198)</f>
        <v>85</v>
      </c>
      <c r="D199" s="22">
        <f>INDEX(entities[Custom Attributes],MATCH('cust-code'!C199,entities[custom entity '#],0))</f>
        <v>1</v>
      </c>
      <c r="E199" s="22">
        <f t="shared" ref="E199:E205" si="20">IF(E198=D198,0,E198+1)</f>
        <v>0</v>
      </c>
      <c r="F199" s="9" t="str">
        <f>IF(E199&gt;0,"",
INDEX(entities[entity_id],MATCH('cust-code'!C199,entities[custom entity '#],0))&amp;":")</f>
        <v>sensor.date:</v>
      </c>
      <c r="G199" s="9" t="str">
        <f>IF(E199=0,"",
INDEX(entities[[line 1]:[line 4]],MATCH('cust-code'!C199,entities[custom entity '#],0),'cust-code'!E199))</f>
        <v/>
      </c>
      <c r="H199" s="9" t="str">
        <f t="shared" si="13"/>
        <v>sensor.date:</v>
      </c>
      <c r="I199" s="9" t="str">
        <f t="shared" si="14"/>
        <v/>
      </c>
    </row>
    <row r="200" spans="2:9" x14ac:dyDescent="0.45">
      <c r="B200" s="9">
        <f t="shared" si="18"/>
        <v>195</v>
      </c>
      <c r="C200" s="9">
        <f t="shared" si="19"/>
        <v>85</v>
      </c>
      <c r="D200" s="22">
        <f>INDEX(entities[Custom Attributes],MATCH('cust-code'!C200,entities[custom entity '#],0))</f>
        <v>1</v>
      </c>
      <c r="E200" s="22">
        <f t="shared" si="20"/>
        <v>1</v>
      </c>
      <c r="F200" s="9" t="str">
        <f>IF(E200&gt;0,"",
INDEX(entities[entity_id],MATCH('cust-code'!C200,entities[custom entity '#],0))&amp;":")</f>
        <v/>
      </c>
      <c r="G200" s="9" t="str">
        <f ca="1">IF(E200=0,"",
INDEX(entities[[line 1]:[line 4]],MATCH('cust-code'!C200,entities[custom entity '#],0),'cust-code'!E200))</f>
        <v xml:space="preserve">  hidden: true</v>
      </c>
      <c r="H200" s="9" t="str">
        <f t="shared" ref="H200:H263" ca="1" si="21">_xlfn.IFNA(  F200&amp;G200,  "")</f>
        <v xml:space="preserve">  hidden: true</v>
      </c>
      <c r="I200" s="9" t="str">
        <f t="shared" ref="I200:I263" si="22">IF(AND(NOT(ISNA(D199)),ISNA(D200)),"END","")</f>
        <v/>
      </c>
    </row>
    <row r="201" spans="2:9" x14ac:dyDescent="0.45">
      <c r="B201" s="9">
        <f t="shared" si="18"/>
        <v>196</v>
      </c>
      <c r="C201" s="9">
        <f t="shared" si="19"/>
        <v>86</v>
      </c>
      <c r="D201" s="22">
        <f>INDEX(entities[Custom Attributes],MATCH('cust-code'!C201,entities[custom entity '#],0))</f>
        <v>1</v>
      </c>
      <c r="E201" s="22">
        <f t="shared" si="20"/>
        <v>0</v>
      </c>
      <c r="F201" s="9" t="str">
        <f>IF(E201&gt;0,"",
INDEX(entities[entity_id],MATCH('cust-code'!C201,entities[custom entity '#],0))&amp;":")</f>
        <v>sensor.date_odd:</v>
      </c>
      <c r="G201" s="9" t="str">
        <f>IF(E201=0,"",
INDEX(entities[[line 1]:[line 4]],MATCH('cust-code'!C201,entities[custom entity '#],0),'cust-code'!E201))</f>
        <v/>
      </c>
      <c r="H201" s="9" t="str">
        <f t="shared" si="21"/>
        <v>sensor.date_odd:</v>
      </c>
      <c r="I201" s="9" t="str">
        <f t="shared" si="22"/>
        <v/>
      </c>
    </row>
    <row r="202" spans="2:9" x14ac:dyDescent="0.45">
      <c r="B202" s="9">
        <f t="shared" si="18"/>
        <v>197</v>
      </c>
      <c r="C202" s="9">
        <f t="shared" si="19"/>
        <v>86</v>
      </c>
      <c r="D202" s="22">
        <f>INDEX(entities[Custom Attributes],MATCH('cust-code'!C202,entities[custom entity '#],0))</f>
        <v>1</v>
      </c>
      <c r="E202" s="22">
        <f t="shared" si="20"/>
        <v>1</v>
      </c>
      <c r="F202" s="9" t="str">
        <f>IF(E202&gt;0,"",
INDEX(entities[entity_id],MATCH('cust-code'!C202,entities[custom entity '#],0))&amp;":")</f>
        <v/>
      </c>
      <c r="G202" s="9" t="str">
        <f ca="1">IF(E202=0,"",
INDEX(entities[[line 1]:[line 4]],MATCH('cust-code'!C202,entities[custom entity '#],0),'cust-code'!E202))</f>
        <v xml:space="preserve">  hidden: true</v>
      </c>
      <c r="H202" s="9" t="str">
        <f t="shared" ca="1" si="21"/>
        <v xml:space="preserve">  hidden: true</v>
      </c>
      <c r="I202" s="9" t="str">
        <f t="shared" si="22"/>
        <v/>
      </c>
    </row>
    <row r="203" spans="2:9" x14ac:dyDescent="0.45">
      <c r="B203" s="9">
        <f t="shared" si="18"/>
        <v>198</v>
      </c>
      <c r="C203" s="9">
        <f t="shared" si="19"/>
        <v>87</v>
      </c>
      <c r="D203" s="22">
        <f>INDEX(entities[Custom Attributes],MATCH('cust-code'!C203,entities[custom entity '#],0))</f>
        <v>2</v>
      </c>
      <c r="E203" s="22">
        <f t="shared" si="20"/>
        <v>0</v>
      </c>
      <c r="F203" s="9" t="str">
        <f>IF(E203&gt;0,"",
INDEX(entities[entity_id],MATCH('cust-code'!C203,entities[custom entity '#],0))&amp;":")</f>
        <v>sensor.humidity_sensor_14:</v>
      </c>
      <c r="G203" s="9" t="str">
        <f>IF(E203=0,"",
INDEX(entities[[line 1]:[line 4]],MATCH('cust-code'!C203,entities[custom entity '#],0),'cust-code'!E203))</f>
        <v/>
      </c>
      <c r="H203" s="9" t="str">
        <f t="shared" si="21"/>
        <v>sensor.humidity_sensor_14:</v>
      </c>
      <c r="I203" s="9" t="str">
        <f t="shared" si="22"/>
        <v/>
      </c>
    </row>
    <row r="204" spans="2:9" x14ac:dyDescent="0.45">
      <c r="B204" s="9">
        <f t="shared" si="18"/>
        <v>199</v>
      </c>
      <c r="C204" s="9">
        <f t="shared" si="19"/>
        <v>87</v>
      </c>
      <c r="D204" s="22">
        <f>INDEX(entities[Custom Attributes],MATCH('cust-code'!C204,entities[custom entity '#],0))</f>
        <v>2</v>
      </c>
      <c r="E204" s="22">
        <f t="shared" si="20"/>
        <v>1</v>
      </c>
      <c r="F204" s="9" t="str">
        <f>IF(E204&gt;0,"",
INDEX(entities[entity_id],MATCH('cust-code'!C204,entities[custom entity '#],0))&amp;":")</f>
        <v/>
      </c>
      <c r="G204" s="9" t="str">
        <f ca="1">IF(E204=0,"",
INDEX(entities[[line 1]:[line 4]],MATCH('cust-code'!C204,entities[custom entity '#],0),'cust-code'!E204))</f>
        <v xml:space="preserve">  friendly_name: Humidity</v>
      </c>
      <c r="H204" s="9" t="str">
        <f t="shared" ca="1" si="21"/>
        <v xml:space="preserve">  friendly_name: Humidity</v>
      </c>
      <c r="I204" s="9" t="str">
        <f t="shared" si="22"/>
        <v/>
      </c>
    </row>
    <row r="205" spans="2:9" x14ac:dyDescent="0.45">
      <c r="B205" s="9">
        <f t="shared" si="18"/>
        <v>200</v>
      </c>
      <c r="C205" s="9">
        <f t="shared" si="19"/>
        <v>87</v>
      </c>
      <c r="D205" s="22">
        <f>INDEX(entities[Custom Attributes],MATCH('cust-code'!C205,entities[custom entity '#],0))</f>
        <v>2</v>
      </c>
      <c r="E205" s="22">
        <f t="shared" si="20"/>
        <v>2</v>
      </c>
      <c r="F205" s="9" t="str">
        <f>IF(E205&gt;0,"",
INDEX(entities[entity_id],MATCH('cust-code'!C205,entities[custom entity '#],0))&amp;":")</f>
        <v/>
      </c>
      <c r="G205" s="9" t="str">
        <f ca="1">IF(E205=0,"",
INDEX(entities[[line 1]:[line 4]],MATCH('cust-code'!C205,entities[custom entity '#],0),'cust-code'!E205))</f>
        <v xml:space="preserve">  icon: mdi:water-percent</v>
      </c>
      <c r="H205" s="9" t="str">
        <f t="shared" ca="1" si="21"/>
        <v xml:space="preserve">  icon: mdi:water-percent</v>
      </c>
      <c r="I205" s="9" t="str">
        <f t="shared" si="22"/>
        <v/>
      </c>
    </row>
    <row r="206" spans="2:9" x14ac:dyDescent="0.45">
      <c r="B206" s="9">
        <f t="shared" si="18"/>
        <v>201</v>
      </c>
      <c r="C206" s="9">
        <f t="shared" ref="C206:C269" si="23">IF(E206=0,C205+1,C205)</f>
        <v>88</v>
      </c>
      <c r="D206" s="22">
        <f>INDEX(entities[Custom Attributes],MATCH('cust-code'!C206,entities[custom entity '#],0))</f>
        <v>2</v>
      </c>
      <c r="E206" s="22">
        <f t="shared" ref="E206:E269" si="24">IF(E205=D205,0,E205+1)</f>
        <v>0</v>
      </c>
      <c r="F206" s="9" t="str">
        <f>IF(E206&gt;0,"",
INDEX(entities[entity_id],MATCH('cust-code'!C206,entities[custom entity '#],0))&amp;":")</f>
        <v>sensor.light_sensor_13:</v>
      </c>
      <c r="G206" s="9" t="str">
        <f>IF(E206=0,"",
INDEX(entities[[line 1]:[line 4]],MATCH('cust-code'!C206,entities[custom entity '#],0),'cust-code'!E206))</f>
        <v/>
      </c>
      <c r="H206" s="9" t="str">
        <f t="shared" si="21"/>
        <v>sensor.light_sensor_13:</v>
      </c>
      <c r="I206" s="9" t="str">
        <f t="shared" si="22"/>
        <v/>
      </c>
    </row>
    <row r="207" spans="2:9" x14ac:dyDescent="0.45">
      <c r="B207" s="9">
        <f t="shared" si="18"/>
        <v>202</v>
      </c>
      <c r="C207" s="9">
        <f t="shared" si="23"/>
        <v>88</v>
      </c>
      <c r="D207" s="22">
        <f>INDEX(entities[Custom Attributes],MATCH('cust-code'!C207,entities[custom entity '#],0))</f>
        <v>2</v>
      </c>
      <c r="E207" s="22">
        <f t="shared" si="24"/>
        <v>1</v>
      </c>
      <c r="F207" s="9" t="str">
        <f>IF(E207&gt;0,"",
INDEX(entities[entity_id],MATCH('cust-code'!C207,entities[custom entity '#],0))&amp;":")</f>
        <v/>
      </c>
      <c r="G207" s="9" t="str">
        <f ca="1">IF(E207=0,"",
INDEX(entities[[line 1]:[line 4]],MATCH('cust-code'!C207,entities[custom entity '#],0),'cust-code'!E207))</f>
        <v xml:space="preserve">  friendly_name: Light</v>
      </c>
      <c r="H207" s="9" t="str">
        <f t="shared" ca="1" si="21"/>
        <v xml:space="preserve">  friendly_name: Light</v>
      </c>
      <c r="I207" s="9" t="str">
        <f t="shared" si="22"/>
        <v/>
      </c>
    </row>
    <row r="208" spans="2:9" x14ac:dyDescent="0.45">
      <c r="B208" s="9">
        <f t="shared" si="18"/>
        <v>203</v>
      </c>
      <c r="C208" s="9">
        <f t="shared" si="23"/>
        <v>88</v>
      </c>
      <c r="D208" s="22">
        <f>INDEX(entities[Custom Attributes],MATCH('cust-code'!C208,entities[custom entity '#],0))</f>
        <v>2</v>
      </c>
      <c r="E208" s="22">
        <f t="shared" si="24"/>
        <v>2</v>
      </c>
      <c r="F208" s="9" t="str">
        <f>IF(E208&gt;0,"",
INDEX(entities[entity_id],MATCH('cust-code'!C208,entities[custom entity '#],0))&amp;":")</f>
        <v/>
      </c>
      <c r="G208" s="9" t="str">
        <f ca="1">IF(E208=0,"",
INDEX(entities[[line 1]:[line 4]],MATCH('cust-code'!C208,entities[custom entity '#],0),'cust-code'!E208))</f>
        <v xml:space="preserve">  icon: mdi:candle</v>
      </c>
      <c r="H208" s="9" t="str">
        <f t="shared" ca="1" si="21"/>
        <v xml:space="preserve">  icon: mdi:candle</v>
      </c>
      <c r="I208" s="9" t="str">
        <f t="shared" si="22"/>
        <v/>
      </c>
    </row>
    <row r="209" spans="2:9" x14ac:dyDescent="0.45">
      <c r="B209" s="9">
        <f t="shared" si="18"/>
        <v>204</v>
      </c>
      <c r="C209" s="9">
        <f t="shared" si="23"/>
        <v>89</v>
      </c>
      <c r="D209" s="22">
        <f>INDEX(entities[Custom Attributes],MATCH('cust-code'!C209,entities[custom entity '#],0))</f>
        <v>1</v>
      </c>
      <c r="E209" s="22">
        <f t="shared" si="24"/>
        <v>0</v>
      </c>
      <c r="F209" s="9" t="str">
        <f>IF(E209&gt;0,"",
INDEX(entities[entity_id],MATCH('cust-code'!C209,entities[custom entity '#],0))&amp;":")</f>
        <v>sensor.ram_free:</v>
      </c>
      <c r="G209" s="9" t="str">
        <f>IF(E209=0,"",
INDEX(entities[[line 1]:[line 4]],MATCH('cust-code'!C209,entities[custom entity '#],0),'cust-code'!E209))</f>
        <v/>
      </c>
      <c r="H209" s="9" t="str">
        <f t="shared" si="21"/>
        <v>sensor.ram_free:</v>
      </c>
      <c r="I209" s="9" t="str">
        <f t="shared" si="22"/>
        <v/>
      </c>
    </row>
    <row r="210" spans="2:9" x14ac:dyDescent="0.45">
      <c r="B210" s="9">
        <f t="shared" si="18"/>
        <v>205</v>
      </c>
      <c r="C210" s="9">
        <f t="shared" si="23"/>
        <v>89</v>
      </c>
      <c r="D210" s="22">
        <f>INDEX(entities[Custom Attributes],MATCH('cust-code'!C210,entities[custom entity '#],0))</f>
        <v>1</v>
      </c>
      <c r="E210" s="22">
        <f t="shared" si="24"/>
        <v>1</v>
      </c>
      <c r="F210" s="9" t="str">
        <f>IF(E210&gt;0,"",
INDEX(entities[entity_id],MATCH('cust-code'!C210,entities[custom entity '#],0))&amp;":")</f>
        <v/>
      </c>
      <c r="G210" s="9" t="str">
        <f ca="1">IF(E210=0,"",
INDEX(entities[[line 1]:[line 4]],MATCH('cust-code'!C210,entities[custom entity '#],0),'cust-code'!E210))</f>
        <v xml:space="preserve">  icon: mdi:raspberrypi</v>
      </c>
      <c r="H210" s="9" t="str">
        <f t="shared" ca="1" si="21"/>
        <v xml:space="preserve">  icon: mdi:raspberrypi</v>
      </c>
      <c r="I210" s="9" t="str">
        <f t="shared" si="22"/>
        <v/>
      </c>
    </row>
    <row r="211" spans="2:9" x14ac:dyDescent="0.45">
      <c r="B211" s="9">
        <f t="shared" si="18"/>
        <v>206</v>
      </c>
      <c r="C211" s="9">
        <f t="shared" si="23"/>
        <v>90</v>
      </c>
      <c r="D211" s="22">
        <f>INDEX(entities[Custom Attributes],MATCH('cust-code'!C211,entities[custom entity '#],0))</f>
        <v>1</v>
      </c>
      <c r="E211" s="22">
        <f t="shared" si="24"/>
        <v>0</v>
      </c>
      <c r="F211" s="9" t="str">
        <f>IF(E211&gt;0,"",
INDEX(entities[entity_id],MATCH('cust-code'!C211,entities[custom entity '#],0))&amp;":")</f>
        <v>sensor.speedtest_download:</v>
      </c>
      <c r="G211" s="9" t="str">
        <f>IF(E211=0,"",
INDEX(entities[[line 1]:[line 4]],MATCH('cust-code'!C211,entities[custom entity '#],0),'cust-code'!E211))</f>
        <v/>
      </c>
      <c r="H211" s="9" t="str">
        <f t="shared" si="21"/>
        <v>sensor.speedtest_download:</v>
      </c>
      <c r="I211" s="9" t="str">
        <f t="shared" si="22"/>
        <v/>
      </c>
    </row>
    <row r="212" spans="2:9" x14ac:dyDescent="0.45">
      <c r="B212" s="9">
        <f t="shared" si="18"/>
        <v>207</v>
      </c>
      <c r="C212" s="9">
        <f t="shared" si="23"/>
        <v>90</v>
      </c>
      <c r="D212" s="22">
        <f>INDEX(entities[Custom Attributes],MATCH('cust-code'!C212,entities[custom entity '#],0))</f>
        <v>1</v>
      </c>
      <c r="E212" s="22">
        <f t="shared" si="24"/>
        <v>1</v>
      </c>
      <c r="F212" s="9" t="str">
        <f>IF(E212&gt;0,"",
INDEX(entities[entity_id],MATCH('cust-code'!C212,entities[custom entity '#],0))&amp;":")</f>
        <v/>
      </c>
      <c r="G212" s="9" t="str">
        <f ca="1">IF(E212=0,"",
INDEX(entities[[line 1]:[line 4]],MATCH('cust-code'!C212,entities[custom entity '#],0),'cust-code'!E212))</f>
        <v xml:space="preserve">  icon: mdi:download</v>
      </c>
      <c r="H212" s="9" t="str">
        <f t="shared" ca="1" si="21"/>
        <v xml:space="preserve">  icon: mdi:download</v>
      </c>
      <c r="I212" s="9" t="str">
        <f t="shared" si="22"/>
        <v/>
      </c>
    </row>
    <row r="213" spans="2:9" x14ac:dyDescent="0.45">
      <c r="B213" s="9">
        <f t="shared" si="18"/>
        <v>208</v>
      </c>
      <c r="C213" s="9">
        <f t="shared" si="23"/>
        <v>91</v>
      </c>
      <c r="D213" s="22">
        <f>INDEX(entities[Custom Attributes],MATCH('cust-code'!C213,entities[custom entity '#],0))</f>
        <v>1</v>
      </c>
      <c r="E213" s="22">
        <f t="shared" si="24"/>
        <v>0</v>
      </c>
      <c r="F213" s="9" t="str">
        <f>IF(E213&gt;0,"",
INDEX(entities[entity_id],MATCH('cust-code'!C213,entities[custom entity '#],0))&amp;":")</f>
        <v>sensor.speedtest_ping:</v>
      </c>
      <c r="G213" s="9" t="str">
        <f>IF(E213=0,"",
INDEX(entities[[line 1]:[line 4]],MATCH('cust-code'!C213,entities[custom entity '#],0),'cust-code'!E213))</f>
        <v/>
      </c>
      <c r="H213" s="9" t="str">
        <f t="shared" si="21"/>
        <v>sensor.speedtest_ping:</v>
      </c>
      <c r="I213" s="9" t="str">
        <f t="shared" si="22"/>
        <v/>
      </c>
    </row>
    <row r="214" spans="2:9" x14ac:dyDescent="0.45">
      <c r="B214" s="9">
        <f t="shared" si="18"/>
        <v>209</v>
      </c>
      <c r="C214" s="9">
        <f t="shared" si="23"/>
        <v>91</v>
      </c>
      <c r="D214" s="22">
        <f>INDEX(entities[Custom Attributes],MATCH('cust-code'!C214,entities[custom entity '#],0))</f>
        <v>1</v>
      </c>
      <c r="E214" s="22">
        <f t="shared" si="24"/>
        <v>1</v>
      </c>
      <c r="F214" s="9" t="str">
        <f>IF(E214&gt;0,"",
INDEX(entities[entity_id],MATCH('cust-code'!C214,entities[custom entity '#],0))&amp;":")</f>
        <v/>
      </c>
      <c r="G214" s="9" t="str">
        <f ca="1">IF(E214=0,"",
INDEX(entities[[line 1]:[line 4]],MATCH('cust-code'!C214,entities[custom entity '#],0),'cust-code'!E214))</f>
        <v xml:space="preserve">  icon: mdi:lan-connect</v>
      </c>
      <c r="H214" s="9" t="str">
        <f t="shared" ca="1" si="21"/>
        <v xml:space="preserve">  icon: mdi:lan-connect</v>
      </c>
      <c r="I214" s="9" t="str">
        <f t="shared" si="22"/>
        <v/>
      </c>
    </row>
    <row r="215" spans="2:9" x14ac:dyDescent="0.45">
      <c r="B215" s="9">
        <f t="shared" si="18"/>
        <v>210</v>
      </c>
      <c r="C215" s="9">
        <f t="shared" si="23"/>
        <v>92</v>
      </c>
      <c r="D215" s="22">
        <f>INDEX(entities[Custom Attributes],MATCH('cust-code'!C215,entities[custom entity '#],0))</f>
        <v>1</v>
      </c>
      <c r="E215" s="22">
        <f t="shared" si="24"/>
        <v>0</v>
      </c>
      <c r="F215" s="9" t="str">
        <f>IF(E215&gt;0,"",
INDEX(entities[entity_id],MATCH('cust-code'!C215,entities[custom entity '#],0))&amp;":")</f>
        <v>sensor.speedtest_upload:</v>
      </c>
      <c r="G215" s="9" t="str">
        <f>IF(E215=0,"",
INDEX(entities[[line 1]:[line 4]],MATCH('cust-code'!C215,entities[custom entity '#],0),'cust-code'!E215))</f>
        <v/>
      </c>
      <c r="H215" s="9" t="str">
        <f t="shared" si="21"/>
        <v>sensor.speedtest_upload:</v>
      </c>
      <c r="I215" s="9" t="str">
        <f t="shared" si="22"/>
        <v/>
      </c>
    </row>
    <row r="216" spans="2:9" x14ac:dyDescent="0.45">
      <c r="B216" s="9">
        <f t="shared" si="18"/>
        <v>211</v>
      </c>
      <c r="C216" s="9">
        <f t="shared" si="23"/>
        <v>92</v>
      </c>
      <c r="D216" s="22">
        <f>INDEX(entities[Custom Attributes],MATCH('cust-code'!C216,entities[custom entity '#],0))</f>
        <v>1</v>
      </c>
      <c r="E216" s="22">
        <f t="shared" si="24"/>
        <v>1</v>
      </c>
      <c r="F216" s="9" t="str">
        <f>IF(E216&gt;0,"",
INDEX(entities[entity_id],MATCH('cust-code'!C216,entities[custom entity '#],0))&amp;":")</f>
        <v/>
      </c>
      <c r="G216" s="9" t="str">
        <f ca="1">IF(E216=0,"",
INDEX(entities[[line 1]:[line 4]],MATCH('cust-code'!C216,entities[custom entity '#],0),'cust-code'!E216))</f>
        <v xml:space="preserve">  icon: mdi:upload</v>
      </c>
      <c r="H216" s="9" t="str">
        <f t="shared" ca="1" si="21"/>
        <v xml:space="preserve">  icon: mdi:upload</v>
      </c>
      <c r="I216" s="9" t="str">
        <f t="shared" si="22"/>
        <v/>
      </c>
    </row>
    <row r="217" spans="2:9" x14ac:dyDescent="0.45">
      <c r="B217" s="9">
        <f t="shared" si="18"/>
        <v>212</v>
      </c>
      <c r="C217" s="9">
        <f t="shared" si="23"/>
        <v>93</v>
      </c>
      <c r="D217" s="22">
        <f>INDEX(entities[Custom Attributes],MATCH('cust-code'!C217,entities[custom entity '#],0))</f>
        <v>1</v>
      </c>
      <c r="E217" s="22">
        <f t="shared" si="24"/>
        <v>0</v>
      </c>
      <c r="F217" s="9" t="str">
        <f>IF(E217&gt;0,"",
INDEX(entities[entity_id],MATCH('cust-code'!C217,entities[custom entity '#],0))&amp;":")</f>
        <v>sensor.temperature_sensor_12:</v>
      </c>
      <c r="G217" s="9" t="str">
        <f>IF(E217=0,"",
INDEX(entities[[line 1]:[line 4]],MATCH('cust-code'!C217,entities[custom entity '#],0),'cust-code'!E217))</f>
        <v/>
      </c>
      <c r="H217" s="9" t="str">
        <f t="shared" si="21"/>
        <v>sensor.temperature_sensor_12:</v>
      </c>
      <c r="I217" s="9" t="str">
        <f t="shared" si="22"/>
        <v/>
      </c>
    </row>
    <row r="218" spans="2:9" x14ac:dyDescent="0.45">
      <c r="B218" s="9">
        <f t="shared" si="18"/>
        <v>213</v>
      </c>
      <c r="C218" s="9">
        <f t="shared" si="23"/>
        <v>93</v>
      </c>
      <c r="D218" s="22">
        <f>INDEX(entities[Custom Attributes],MATCH('cust-code'!C218,entities[custom entity '#],0))</f>
        <v>1</v>
      </c>
      <c r="E218" s="22">
        <f t="shared" si="24"/>
        <v>1</v>
      </c>
      <c r="F218" s="9" t="str">
        <f>IF(E218&gt;0,"",
INDEX(entities[entity_id],MATCH('cust-code'!C218,entities[custom entity '#],0))&amp;":")</f>
        <v/>
      </c>
      <c r="G218" s="9" t="str">
        <f ca="1">IF(E218=0,"",
INDEX(entities[[line 1]:[line 4]],MATCH('cust-code'!C218,entities[custom entity '#],0),'cust-code'!E218))</f>
        <v xml:space="preserve">  friendly_name: Temp</v>
      </c>
      <c r="H218" s="9" t="str">
        <f t="shared" ca="1" si="21"/>
        <v xml:space="preserve">  friendly_name: Temp</v>
      </c>
      <c r="I218" s="9" t="str">
        <f t="shared" si="22"/>
        <v/>
      </c>
    </row>
    <row r="219" spans="2:9" x14ac:dyDescent="0.45">
      <c r="B219" s="9">
        <f t="shared" si="18"/>
        <v>214</v>
      </c>
      <c r="C219" s="9">
        <f t="shared" si="23"/>
        <v>94</v>
      </c>
      <c r="D219" s="22">
        <f>INDEX(entities[Custom Attributes],MATCH('cust-code'!C219,entities[custom entity '#],0))</f>
        <v>1</v>
      </c>
      <c r="E219" s="22">
        <f t="shared" si="24"/>
        <v>0</v>
      </c>
      <c r="F219" s="9" t="str">
        <f>IF(E219&gt;0,"",
INDEX(entities[entity_id],MATCH('cust-code'!C219,entities[custom entity '#],0))&amp;":")</f>
        <v>sensor.time:</v>
      </c>
      <c r="G219" s="9" t="str">
        <f>IF(E219=0,"",
INDEX(entities[[line 1]:[line 4]],MATCH('cust-code'!C219,entities[custom entity '#],0),'cust-code'!E219))</f>
        <v/>
      </c>
      <c r="H219" s="9" t="str">
        <f t="shared" si="21"/>
        <v>sensor.time:</v>
      </c>
      <c r="I219" s="9" t="str">
        <f t="shared" si="22"/>
        <v/>
      </c>
    </row>
    <row r="220" spans="2:9" x14ac:dyDescent="0.45">
      <c r="B220" s="9">
        <f t="shared" si="18"/>
        <v>215</v>
      </c>
      <c r="C220" s="9">
        <f t="shared" si="23"/>
        <v>94</v>
      </c>
      <c r="D220" s="22">
        <f>INDEX(entities[Custom Attributes],MATCH('cust-code'!C220,entities[custom entity '#],0))</f>
        <v>1</v>
      </c>
      <c r="E220" s="22">
        <f t="shared" si="24"/>
        <v>1</v>
      </c>
      <c r="F220" s="9" t="str">
        <f>IF(E220&gt;0,"",
INDEX(entities[entity_id],MATCH('cust-code'!C220,entities[custom entity '#],0))&amp;":")</f>
        <v/>
      </c>
      <c r="G220" s="9" t="str">
        <f ca="1">IF(E220=0,"",
INDEX(entities[[line 1]:[line 4]],MATCH('cust-code'!C220,entities[custom entity '#],0),'cust-code'!E220))</f>
        <v xml:space="preserve">  hidden: true</v>
      </c>
      <c r="H220" s="9" t="str">
        <f t="shared" ca="1" si="21"/>
        <v xml:space="preserve">  hidden: true</v>
      </c>
      <c r="I220" s="9" t="str">
        <f t="shared" si="22"/>
        <v/>
      </c>
    </row>
    <row r="221" spans="2:9" x14ac:dyDescent="0.45">
      <c r="B221" s="9">
        <f t="shared" si="18"/>
        <v>216</v>
      </c>
      <c r="C221" s="9">
        <f t="shared" si="23"/>
        <v>95</v>
      </c>
      <c r="D221" s="22">
        <f>INDEX(entities[Custom Attributes],MATCH('cust-code'!C221,entities[custom entity '#],0))</f>
        <v>3</v>
      </c>
      <c r="E221" s="22">
        <f t="shared" si="24"/>
        <v>0</v>
      </c>
      <c r="F221" s="9" t="str">
        <f>IF(E221&gt;0,"",
INDEX(entities[entity_id],MATCH('cust-code'!C221,entities[custom entity '#],0))&amp;":")</f>
        <v>switch.amp:</v>
      </c>
      <c r="G221" s="9" t="str">
        <f>IF(E221=0,"",
INDEX(entities[[line 1]:[line 4]],MATCH('cust-code'!C221,entities[custom entity '#],0),'cust-code'!E221))</f>
        <v/>
      </c>
      <c r="H221" s="9" t="str">
        <f t="shared" si="21"/>
        <v>switch.amp:</v>
      </c>
      <c r="I221" s="9" t="str">
        <f t="shared" si="22"/>
        <v/>
      </c>
    </row>
    <row r="222" spans="2:9" x14ac:dyDescent="0.45">
      <c r="B222" s="9">
        <f t="shared" si="18"/>
        <v>217</v>
      </c>
      <c r="C222" s="9">
        <f t="shared" si="23"/>
        <v>95</v>
      </c>
      <c r="D222" s="22">
        <f>INDEX(entities[Custom Attributes],MATCH('cust-code'!C222,entities[custom entity '#],0))</f>
        <v>3</v>
      </c>
      <c r="E222" s="22">
        <f t="shared" si="24"/>
        <v>1</v>
      </c>
      <c r="F222" s="9" t="str">
        <f>IF(E222&gt;0,"",
INDEX(entities[entity_id],MATCH('cust-code'!C222,entities[custom entity '#],0))&amp;":")</f>
        <v/>
      </c>
      <c r="G222" s="9" t="str">
        <f ca="1">IF(E222=0,"",
INDEX(entities[[line 1]:[line 4]],MATCH('cust-code'!C222,entities[custom entity '#],0),'cust-code'!E222))</f>
        <v xml:space="preserve">  friendly_name: Headphone Amp</v>
      </c>
      <c r="H222" s="9" t="str">
        <f t="shared" ca="1" si="21"/>
        <v xml:space="preserve">  friendly_name: Headphone Amp</v>
      </c>
      <c r="I222" s="9" t="str">
        <f t="shared" si="22"/>
        <v/>
      </c>
    </row>
    <row r="223" spans="2:9" x14ac:dyDescent="0.45">
      <c r="B223" s="9">
        <f t="shared" si="18"/>
        <v>218</v>
      </c>
      <c r="C223" s="9">
        <f t="shared" si="23"/>
        <v>95</v>
      </c>
      <c r="D223" s="22">
        <f>INDEX(entities[Custom Attributes],MATCH('cust-code'!C223,entities[custom entity '#],0))</f>
        <v>3</v>
      </c>
      <c r="E223" s="22">
        <f t="shared" si="24"/>
        <v>2</v>
      </c>
      <c r="F223" s="9" t="str">
        <f>IF(E223&gt;0,"",
INDEX(entities[entity_id],MATCH('cust-code'!C223,entities[custom entity '#],0))&amp;":")</f>
        <v/>
      </c>
      <c r="G223" s="9" t="str">
        <f ca="1">IF(E223=0,"",
INDEX(entities[[line 1]:[line 4]],MATCH('cust-code'!C223,entities[custom entity '#],0),'cust-code'!E223))</f>
        <v xml:space="preserve">  emulated_hue: true</v>
      </c>
      <c r="H223" s="9" t="str">
        <f t="shared" ca="1" si="21"/>
        <v xml:space="preserve">  emulated_hue: true</v>
      </c>
      <c r="I223" s="9" t="str">
        <f t="shared" si="22"/>
        <v/>
      </c>
    </row>
    <row r="224" spans="2:9" x14ac:dyDescent="0.45">
      <c r="B224" s="9">
        <f t="shared" si="18"/>
        <v>219</v>
      </c>
      <c r="C224" s="9">
        <f t="shared" si="23"/>
        <v>95</v>
      </c>
      <c r="D224" s="22">
        <f>INDEX(entities[Custom Attributes],MATCH('cust-code'!C224,entities[custom entity '#],0))</f>
        <v>3</v>
      </c>
      <c r="E224" s="22">
        <f t="shared" si="24"/>
        <v>3</v>
      </c>
      <c r="F224" s="9" t="str">
        <f>IF(E224&gt;0,"",
INDEX(entities[entity_id],MATCH('cust-code'!C224,entities[custom entity '#],0))&amp;":")</f>
        <v/>
      </c>
      <c r="G224" s="9" t="str">
        <f ca="1">IF(E224=0,"",
INDEX(entities[[line 1]:[line 4]],MATCH('cust-code'!C224,entities[custom entity '#],0),'cust-code'!E224))</f>
        <v xml:space="preserve">  icon: mdi:amplifier</v>
      </c>
      <c r="H224" s="9" t="str">
        <f t="shared" ca="1" si="21"/>
        <v xml:space="preserve">  icon: mdi:amplifier</v>
      </c>
      <c r="I224" s="9" t="str">
        <f t="shared" si="22"/>
        <v/>
      </c>
    </row>
    <row r="225" spans="2:9" x14ac:dyDescent="0.45">
      <c r="B225" s="9">
        <f t="shared" si="18"/>
        <v>220</v>
      </c>
      <c r="C225" s="9">
        <f t="shared" si="23"/>
        <v>96</v>
      </c>
      <c r="D225" s="22">
        <f>INDEX(entities[Custom Attributes],MATCH('cust-code'!C225,entities[custom entity '#],0))</f>
        <v>3</v>
      </c>
      <c r="E225" s="22">
        <f t="shared" si="24"/>
        <v>0</v>
      </c>
      <c r="F225" s="9" t="str">
        <f>IF(E225&gt;0,"",
INDEX(entities[entity_id],MATCH('cust-code'!C225,entities[custom entity '#],0))&amp;":")</f>
        <v>switch.bedroom_fan:</v>
      </c>
      <c r="G225" s="9" t="str">
        <f>IF(E225=0,"",
INDEX(entities[[line 1]:[line 4]],MATCH('cust-code'!C225,entities[custom entity '#],0),'cust-code'!E225))</f>
        <v/>
      </c>
      <c r="H225" s="9" t="str">
        <f t="shared" si="21"/>
        <v>switch.bedroom_fan:</v>
      </c>
      <c r="I225" s="9" t="str">
        <f t="shared" si="22"/>
        <v/>
      </c>
    </row>
    <row r="226" spans="2:9" x14ac:dyDescent="0.45">
      <c r="B226" s="9">
        <f t="shared" si="18"/>
        <v>221</v>
      </c>
      <c r="C226" s="9">
        <f t="shared" si="23"/>
        <v>96</v>
      </c>
      <c r="D226" s="22">
        <f>INDEX(entities[Custom Attributes],MATCH('cust-code'!C226,entities[custom entity '#],0))</f>
        <v>3</v>
      </c>
      <c r="E226" s="22">
        <f t="shared" si="24"/>
        <v>1</v>
      </c>
      <c r="F226" s="9" t="str">
        <f>IF(E226&gt;0,"",
INDEX(entities[entity_id],MATCH('cust-code'!C226,entities[custom entity '#],0))&amp;":")</f>
        <v/>
      </c>
      <c r="G226" s="9" t="str">
        <f ca="1">IF(E226=0,"",
INDEX(entities[[line 1]:[line 4]],MATCH('cust-code'!C226,entities[custom entity '#],0),'cust-code'!E226))</f>
        <v xml:space="preserve">  friendly_name: Bedroom Fan</v>
      </c>
      <c r="H226" s="9" t="str">
        <f t="shared" ca="1" si="21"/>
        <v xml:space="preserve">  friendly_name: Bedroom Fan</v>
      </c>
      <c r="I226" s="9" t="str">
        <f t="shared" si="22"/>
        <v/>
      </c>
    </row>
    <row r="227" spans="2:9" x14ac:dyDescent="0.45">
      <c r="B227" s="9">
        <f t="shared" si="18"/>
        <v>222</v>
      </c>
      <c r="C227" s="9">
        <f t="shared" si="23"/>
        <v>96</v>
      </c>
      <c r="D227" s="22">
        <f>INDEX(entities[Custom Attributes],MATCH('cust-code'!C227,entities[custom entity '#],0))</f>
        <v>3</v>
      </c>
      <c r="E227" s="22">
        <f t="shared" si="24"/>
        <v>2</v>
      </c>
      <c r="F227" s="9" t="str">
        <f>IF(E227&gt;0,"",
INDEX(entities[entity_id],MATCH('cust-code'!C227,entities[custom entity '#],0))&amp;":")</f>
        <v/>
      </c>
      <c r="G227" s="9" t="str">
        <f ca="1">IF(E227=0,"",
INDEX(entities[[line 1]:[line 4]],MATCH('cust-code'!C227,entities[custom entity '#],0),'cust-code'!E227))</f>
        <v xml:space="preserve">  emulated_hue: true</v>
      </c>
      <c r="H227" s="9" t="str">
        <f t="shared" ca="1" si="21"/>
        <v xml:space="preserve">  emulated_hue: true</v>
      </c>
      <c r="I227" s="9" t="str">
        <f t="shared" si="22"/>
        <v/>
      </c>
    </row>
    <row r="228" spans="2:9" x14ac:dyDescent="0.45">
      <c r="B228" s="9">
        <f t="shared" si="18"/>
        <v>223</v>
      </c>
      <c r="C228" s="9">
        <f t="shared" si="23"/>
        <v>96</v>
      </c>
      <c r="D228" s="22">
        <f>INDEX(entities[Custom Attributes],MATCH('cust-code'!C228,entities[custom entity '#],0))</f>
        <v>3</v>
      </c>
      <c r="E228" s="22">
        <f t="shared" si="24"/>
        <v>3</v>
      </c>
      <c r="F228" s="9" t="str">
        <f>IF(E228&gt;0,"",
INDEX(entities[entity_id],MATCH('cust-code'!C228,entities[custom entity '#],0))&amp;":")</f>
        <v/>
      </c>
      <c r="G228" s="9" t="str">
        <f ca="1">IF(E228=0,"",
INDEX(entities[[line 1]:[line 4]],MATCH('cust-code'!C228,entities[custom entity '#],0),'cust-code'!E228))</f>
        <v xml:space="preserve">  icon: mdi:fan</v>
      </c>
      <c r="H228" s="9" t="str">
        <f t="shared" ca="1" si="21"/>
        <v xml:space="preserve">  icon: mdi:fan</v>
      </c>
      <c r="I228" s="9" t="str">
        <f t="shared" si="22"/>
        <v/>
      </c>
    </row>
    <row r="229" spans="2:9" x14ac:dyDescent="0.45">
      <c r="B229" s="9">
        <f t="shared" si="18"/>
        <v>224</v>
      </c>
      <c r="C229" s="9">
        <f t="shared" si="23"/>
        <v>97</v>
      </c>
      <c r="D229" s="22">
        <f>INDEX(entities[Custom Attributes],MATCH('cust-code'!C229,entities[custom entity '#],0))</f>
        <v>4</v>
      </c>
      <c r="E229" s="22">
        <f t="shared" si="24"/>
        <v>0</v>
      </c>
      <c r="F229" s="9" t="str">
        <f>IF(E229&gt;0,"",
INDEX(entities[entity_id],MATCH('cust-code'!C229,entities[custom entity '#],0))&amp;":")</f>
        <v>switch.bedroom_nightstand:</v>
      </c>
      <c r="G229" s="9" t="str">
        <f>IF(E229=0,"",
INDEX(entities[[line 1]:[line 4]],MATCH('cust-code'!C229,entities[custom entity '#],0),'cust-code'!E229))</f>
        <v/>
      </c>
      <c r="H229" s="9" t="str">
        <f t="shared" si="21"/>
        <v>switch.bedroom_nightstand:</v>
      </c>
      <c r="I229" s="9" t="str">
        <f t="shared" si="22"/>
        <v/>
      </c>
    </row>
    <row r="230" spans="2:9" x14ac:dyDescent="0.45">
      <c r="B230" s="9">
        <f t="shared" si="18"/>
        <v>225</v>
      </c>
      <c r="C230" s="9">
        <f t="shared" si="23"/>
        <v>97</v>
      </c>
      <c r="D230" s="22">
        <f>INDEX(entities[Custom Attributes],MATCH('cust-code'!C230,entities[custom entity '#],0))</f>
        <v>4</v>
      </c>
      <c r="E230" s="22">
        <f t="shared" si="24"/>
        <v>1</v>
      </c>
      <c r="F230" s="9" t="str">
        <f>IF(E230&gt;0,"",
INDEX(entities[entity_id],MATCH('cust-code'!C230,entities[custom entity '#],0))&amp;":")</f>
        <v/>
      </c>
      <c r="G230" s="9" t="str">
        <f ca="1">IF(E230=0,"",
INDEX(entities[[line 1]:[line 4]],MATCH('cust-code'!C230,entities[custom entity '#],0),'cust-code'!E230))</f>
        <v xml:space="preserve">  friendly_name: Nightstand Light</v>
      </c>
      <c r="H230" s="9" t="str">
        <f t="shared" ca="1" si="21"/>
        <v xml:space="preserve">  friendly_name: Nightstand Light</v>
      </c>
      <c r="I230" s="9" t="str">
        <f t="shared" si="22"/>
        <v/>
      </c>
    </row>
    <row r="231" spans="2:9" x14ac:dyDescent="0.45">
      <c r="B231" s="9">
        <f t="shared" si="18"/>
        <v>226</v>
      </c>
      <c r="C231" s="9">
        <f t="shared" si="23"/>
        <v>97</v>
      </c>
      <c r="D231" s="22">
        <f>INDEX(entities[Custom Attributes],MATCH('cust-code'!C231,entities[custom entity '#],0))</f>
        <v>4</v>
      </c>
      <c r="E231" s="22">
        <f t="shared" si="24"/>
        <v>2</v>
      </c>
      <c r="F231" s="9" t="str">
        <f>IF(E231&gt;0,"",
INDEX(entities[entity_id],MATCH('cust-code'!C231,entities[custom entity '#],0))&amp;":")</f>
        <v/>
      </c>
      <c r="G231" s="9" t="str">
        <f ca="1">IF(E231=0,"",
INDEX(entities[[line 1]:[line 4]],MATCH('cust-code'!C231,entities[custom entity '#],0),'cust-code'!E231))</f>
        <v xml:space="preserve">  emulated_hue: true</v>
      </c>
      <c r="H231" s="9" t="str">
        <f t="shared" ca="1" si="21"/>
        <v xml:space="preserve">  emulated_hue: true</v>
      </c>
      <c r="I231" s="9" t="str">
        <f t="shared" si="22"/>
        <v/>
      </c>
    </row>
    <row r="232" spans="2:9" x14ac:dyDescent="0.45">
      <c r="B232" s="9">
        <f t="shared" si="18"/>
        <v>227</v>
      </c>
      <c r="C232" s="9">
        <f t="shared" si="23"/>
        <v>97</v>
      </c>
      <c r="D232" s="22">
        <f>INDEX(entities[Custom Attributes],MATCH('cust-code'!C232,entities[custom entity '#],0))</f>
        <v>4</v>
      </c>
      <c r="E232" s="22">
        <f t="shared" si="24"/>
        <v>3</v>
      </c>
      <c r="F232" s="9" t="str">
        <f>IF(E232&gt;0,"",
INDEX(entities[entity_id],MATCH('cust-code'!C232,entities[custom entity '#],0))&amp;":")</f>
        <v/>
      </c>
      <c r="G232" s="9" t="str">
        <f ca="1">IF(E232=0,"",
INDEX(entities[[line 1]:[line 4]],MATCH('cust-code'!C232,entities[custom entity '#],0),'cust-code'!E232))</f>
        <v xml:space="preserve">  emulated_hue_name: Nightstand</v>
      </c>
      <c r="H232" s="9" t="str">
        <f t="shared" ca="1" si="21"/>
        <v xml:space="preserve">  emulated_hue_name: Nightstand</v>
      </c>
      <c r="I232" s="9" t="str">
        <f t="shared" si="22"/>
        <v/>
      </c>
    </row>
    <row r="233" spans="2:9" x14ac:dyDescent="0.45">
      <c r="B233" s="9">
        <f t="shared" si="18"/>
        <v>228</v>
      </c>
      <c r="C233" s="9">
        <f t="shared" si="23"/>
        <v>97</v>
      </c>
      <c r="D233" s="22">
        <f>INDEX(entities[Custom Attributes],MATCH('cust-code'!C233,entities[custom entity '#],0))</f>
        <v>4</v>
      </c>
      <c r="E233" s="22">
        <f t="shared" si="24"/>
        <v>4</v>
      </c>
      <c r="F233" s="9" t="str">
        <f>IF(E233&gt;0,"",
INDEX(entities[entity_id],MATCH('cust-code'!C233,entities[custom entity '#],0))&amp;":")</f>
        <v/>
      </c>
      <c r="G233" s="9" t="str">
        <f ca="1">IF(E233=0,"",
INDEX(entities[[line 1]:[line 4]],MATCH('cust-code'!C233,entities[custom entity '#],0),'cust-code'!E233))</f>
        <v xml:space="preserve">  icon: mdi:lamp</v>
      </c>
      <c r="H233" s="9" t="str">
        <f t="shared" ca="1" si="21"/>
        <v xml:space="preserve">  icon: mdi:lamp</v>
      </c>
      <c r="I233" s="9" t="str">
        <f t="shared" si="22"/>
        <v/>
      </c>
    </row>
    <row r="234" spans="2:9" x14ac:dyDescent="0.45">
      <c r="B234" s="9">
        <f t="shared" si="18"/>
        <v>229</v>
      </c>
      <c r="C234" s="9">
        <f t="shared" si="23"/>
        <v>98</v>
      </c>
      <c r="D234" s="22">
        <f>INDEX(entities[Custom Attributes],MATCH('cust-code'!C234,entities[custom entity '#],0))</f>
        <v>2</v>
      </c>
      <c r="E234" s="22">
        <f t="shared" si="24"/>
        <v>0</v>
      </c>
      <c r="F234" s="9" t="str">
        <f>IF(E234&gt;0,"",
INDEX(entities[entity_id],MATCH('cust-code'!C234,entities[custom entity '#],0))&amp;":")</f>
        <v>switch.multi_sensor_4:</v>
      </c>
      <c r="G234" s="9" t="str">
        <f>IF(E234=0,"",
INDEX(entities[[line 1]:[line 4]],MATCH('cust-code'!C234,entities[custom entity '#],0),'cust-code'!E234))</f>
        <v/>
      </c>
      <c r="H234" s="9" t="str">
        <f t="shared" si="21"/>
        <v>switch.multi_sensor_4:</v>
      </c>
      <c r="I234" s="9" t="str">
        <f t="shared" si="22"/>
        <v/>
      </c>
    </row>
    <row r="235" spans="2:9" x14ac:dyDescent="0.45">
      <c r="B235" s="9">
        <f t="shared" si="18"/>
        <v>230</v>
      </c>
      <c r="C235" s="9">
        <f t="shared" si="23"/>
        <v>98</v>
      </c>
      <c r="D235" s="22">
        <f>INDEX(entities[Custom Attributes],MATCH('cust-code'!C235,entities[custom entity '#],0))</f>
        <v>2</v>
      </c>
      <c r="E235" s="22">
        <f t="shared" si="24"/>
        <v>1</v>
      </c>
      <c r="F235" s="9" t="str">
        <f>IF(E235&gt;0,"",
INDEX(entities[entity_id],MATCH('cust-code'!C235,entities[custom entity '#],0))&amp;":")</f>
        <v/>
      </c>
      <c r="G235" s="9" t="str">
        <f ca="1">IF(E235=0,"",
INDEX(entities[[line 1]:[line 4]],MATCH('cust-code'!C235,entities[custom entity '#],0),'cust-code'!E235))</f>
        <v xml:space="preserve">  friendly_name: Multi-Sensor</v>
      </c>
      <c r="H235" s="9" t="str">
        <f t="shared" ca="1" si="21"/>
        <v xml:space="preserve">  friendly_name: Multi-Sensor</v>
      </c>
      <c r="I235" s="9" t="str">
        <f t="shared" si="22"/>
        <v/>
      </c>
    </row>
    <row r="236" spans="2:9" x14ac:dyDescent="0.45">
      <c r="B236" s="9">
        <f t="shared" si="18"/>
        <v>231</v>
      </c>
      <c r="C236" s="9">
        <f t="shared" si="23"/>
        <v>98</v>
      </c>
      <c r="D236" s="22">
        <f>INDEX(entities[Custom Attributes],MATCH('cust-code'!C236,entities[custom entity '#],0))</f>
        <v>2</v>
      </c>
      <c r="E236" s="22">
        <f t="shared" si="24"/>
        <v>2</v>
      </c>
      <c r="F236" s="9" t="str">
        <f>IF(E236&gt;0,"",
INDEX(entities[entity_id],MATCH('cust-code'!C236,entities[custom entity '#],0))&amp;":")</f>
        <v/>
      </c>
      <c r="G236" s="9" t="str">
        <f ca="1">IF(E236=0,"",
INDEX(entities[[line 1]:[line 4]],MATCH('cust-code'!C236,entities[custom entity '#],0),'cust-code'!E236))</f>
        <v xml:space="preserve">  icon: mdi:toggle-switch</v>
      </c>
      <c r="H236" s="9" t="str">
        <f t="shared" ca="1" si="21"/>
        <v xml:space="preserve">  icon: mdi:toggle-switch</v>
      </c>
      <c r="I236" s="9" t="str">
        <f t="shared" si="22"/>
        <v/>
      </c>
    </row>
    <row r="237" spans="2:9" x14ac:dyDescent="0.45">
      <c r="B237" s="9">
        <f t="shared" si="18"/>
        <v>232</v>
      </c>
      <c r="C237" s="9">
        <f t="shared" si="23"/>
        <v>99</v>
      </c>
      <c r="D237" s="22">
        <f>INDEX(entities[Custom Attributes],MATCH('cust-code'!C237,entities[custom entity '#],0))</f>
        <v>1</v>
      </c>
      <c r="E237" s="22">
        <f t="shared" si="24"/>
        <v>0</v>
      </c>
      <c r="F237" s="9" t="str">
        <f>IF(E237&gt;0,"",
INDEX(entities[entity_id],MATCH('cust-code'!C237,entities[custom entity '#],0))&amp;":")</f>
        <v>switch.smart_switch1_3:</v>
      </c>
      <c r="G237" s="9" t="str">
        <f>IF(E237=0,"",
INDEX(entities[[line 1]:[line 4]],MATCH('cust-code'!C237,entities[custom entity '#],0),'cust-code'!E237))</f>
        <v/>
      </c>
      <c r="H237" s="9" t="str">
        <f t="shared" si="21"/>
        <v>switch.smart_switch1_3:</v>
      </c>
      <c r="I237" s="9" t="str">
        <f t="shared" si="22"/>
        <v/>
      </c>
    </row>
    <row r="238" spans="2:9" x14ac:dyDescent="0.45">
      <c r="B238" s="9">
        <f t="shared" si="18"/>
        <v>233</v>
      </c>
      <c r="C238" s="9">
        <f t="shared" si="23"/>
        <v>99</v>
      </c>
      <c r="D238" s="22">
        <f>INDEX(entities[Custom Attributes],MATCH('cust-code'!C238,entities[custom entity '#],0))</f>
        <v>1</v>
      </c>
      <c r="E238" s="22">
        <f t="shared" si="24"/>
        <v>1</v>
      </c>
      <c r="F238" s="9" t="str">
        <f>IF(E238&gt;0,"",
INDEX(entities[entity_id],MATCH('cust-code'!C238,entities[custom entity '#],0))&amp;":")</f>
        <v/>
      </c>
      <c r="G238" s="9" t="str">
        <f ca="1">IF(E238=0,"",
INDEX(entities[[line 1]:[line 4]],MATCH('cust-code'!C238,entities[custom entity '#],0),'cust-code'!E238))</f>
        <v xml:space="preserve">  friendly_name: tv_master</v>
      </c>
      <c r="H238" s="9" t="str">
        <f t="shared" ca="1" si="21"/>
        <v xml:space="preserve">  friendly_name: tv_master</v>
      </c>
      <c r="I238" s="9" t="str">
        <f t="shared" si="22"/>
        <v/>
      </c>
    </row>
    <row r="239" spans="2:9" x14ac:dyDescent="0.45">
      <c r="B239" s="9">
        <f t="shared" si="18"/>
        <v>234</v>
      </c>
      <c r="C239" s="9">
        <f t="shared" si="23"/>
        <v>100</v>
      </c>
      <c r="D239" s="22">
        <f>INDEX(entities[Custom Attributes],MATCH('cust-code'!C239,entities[custom entity '#],0))</f>
        <v>1</v>
      </c>
      <c r="E239" s="22">
        <f t="shared" si="24"/>
        <v>0</v>
      </c>
      <c r="F239" s="9" t="str">
        <f>IF(E239&gt;0,"",
INDEX(entities[entity_id],MATCH('cust-code'!C239,entities[custom entity '#],0))&amp;":")</f>
        <v>switch.smart_switch2_7:</v>
      </c>
      <c r="G239" s="9" t="str">
        <f>IF(E239=0,"",
INDEX(entities[[line 1]:[line 4]],MATCH('cust-code'!C239,entities[custom entity '#],0),'cust-code'!E239))</f>
        <v/>
      </c>
      <c r="H239" s="9" t="str">
        <f t="shared" si="21"/>
        <v>switch.smart_switch2_7:</v>
      </c>
      <c r="I239" s="9" t="str">
        <f t="shared" si="22"/>
        <v/>
      </c>
    </row>
    <row r="240" spans="2:9" x14ac:dyDescent="0.45">
      <c r="B240" s="9">
        <f t="shared" si="18"/>
        <v>235</v>
      </c>
      <c r="C240" s="9">
        <f t="shared" si="23"/>
        <v>100</v>
      </c>
      <c r="D240" s="22">
        <f>INDEX(entities[Custom Attributes],MATCH('cust-code'!C240,entities[custom entity '#],0))</f>
        <v>1</v>
      </c>
      <c r="E240" s="22">
        <f t="shared" si="24"/>
        <v>1</v>
      </c>
      <c r="F240" s="9" t="str">
        <f>IF(E240&gt;0,"",
INDEX(entities[entity_id],MATCH('cust-code'!C240,entities[custom entity '#],0))&amp;":")</f>
        <v/>
      </c>
      <c r="G240" s="9" t="str">
        <f ca="1">IF(E240=0,"",
INDEX(entities[[line 1]:[line 4]],MATCH('cust-code'!C240,entities[custom entity '#],0),'cust-code'!E240))</f>
        <v xml:space="preserve">  friendly_name: humvee_monitor</v>
      </c>
      <c r="H240" s="9" t="str">
        <f t="shared" ca="1" si="21"/>
        <v xml:space="preserve">  friendly_name: humvee_monitor</v>
      </c>
      <c r="I240" s="9" t="str">
        <f t="shared" si="22"/>
        <v/>
      </c>
    </row>
    <row r="241" spans="2:9" x14ac:dyDescent="0.45">
      <c r="B241" s="9">
        <f t="shared" si="18"/>
        <v>236</v>
      </c>
      <c r="C241" s="9">
        <f t="shared" si="23"/>
        <v>101</v>
      </c>
      <c r="D241" s="22">
        <f>INDEX(entities[Custom Attributes],MATCH('cust-code'!C241,entities[custom entity '#],0))</f>
        <v>1</v>
      </c>
      <c r="E241" s="22">
        <f t="shared" si="24"/>
        <v>0</v>
      </c>
      <c r="F241" s="9" t="str">
        <f>IF(E241&gt;0,"",
INDEX(entities[entity_id],MATCH('cust-code'!C241,entities[custom entity '#],0))&amp;":")</f>
        <v>switch.switch4:</v>
      </c>
      <c r="G241" s="9" t="str">
        <f>IF(E241=0,"",
INDEX(entities[[line 1]:[line 4]],MATCH('cust-code'!C241,entities[custom entity '#],0),'cust-code'!E241))</f>
        <v/>
      </c>
      <c r="H241" s="9" t="str">
        <f t="shared" si="21"/>
        <v>switch.switch4:</v>
      </c>
      <c r="I241" s="9" t="str">
        <f t="shared" si="22"/>
        <v/>
      </c>
    </row>
    <row r="242" spans="2:9" x14ac:dyDescent="0.45">
      <c r="B242" s="9">
        <f t="shared" si="18"/>
        <v>237</v>
      </c>
      <c r="C242" s="9">
        <f t="shared" si="23"/>
        <v>101</v>
      </c>
      <c r="D242" s="22">
        <f>INDEX(entities[Custom Attributes],MATCH('cust-code'!C242,entities[custom entity '#],0))</f>
        <v>1</v>
      </c>
      <c r="E242" s="22">
        <f t="shared" si="24"/>
        <v>1</v>
      </c>
      <c r="F242" s="9" t="str">
        <f>IF(E242&gt;0,"",
INDEX(entities[entity_id],MATCH('cust-code'!C242,entities[custom entity '#],0))&amp;":")</f>
        <v/>
      </c>
      <c r="G242" s="9" t="str">
        <f ca="1">IF(E242=0,"",
INDEX(entities[[line 1]:[line 4]],MATCH('cust-code'!C242,entities[custom entity '#],0),'cust-code'!E242))</f>
        <v xml:space="preserve">  hidden: true</v>
      </c>
      <c r="H242" s="9" t="str">
        <f t="shared" ca="1" si="21"/>
        <v xml:space="preserve">  hidden: true</v>
      </c>
      <c r="I242" s="9" t="str">
        <f t="shared" si="22"/>
        <v/>
      </c>
    </row>
    <row r="243" spans="2:9" x14ac:dyDescent="0.45">
      <c r="B243" s="9">
        <f t="shared" si="18"/>
        <v>238</v>
      </c>
      <c r="C243" s="9">
        <f t="shared" si="23"/>
        <v>102</v>
      </c>
      <c r="D243" s="22">
        <f>INDEX(entities[Custom Attributes],MATCH('cust-code'!C243,entities[custom entity '#],0))</f>
        <v>1</v>
      </c>
      <c r="E243" s="22">
        <f t="shared" si="24"/>
        <v>0</v>
      </c>
      <c r="F243" s="9" t="str">
        <f>IF(E243&gt;0,"",
INDEX(entities[entity_id],MATCH('cust-code'!C243,entities[custom entity '#],0))&amp;":")</f>
        <v>switch.switch5:</v>
      </c>
      <c r="G243" s="9" t="str">
        <f>IF(E243=0,"",
INDEX(entities[[line 1]:[line 4]],MATCH('cust-code'!C243,entities[custom entity '#],0),'cust-code'!E243))</f>
        <v/>
      </c>
      <c r="H243" s="9" t="str">
        <f t="shared" si="21"/>
        <v>switch.switch5:</v>
      </c>
      <c r="I243" s="9" t="str">
        <f t="shared" si="22"/>
        <v/>
      </c>
    </row>
    <row r="244" spans="2:9" x14ac:dyDescent="0.45">
      <c r="B244" s="9">
        <f t="shared" si="18"/>
        <v>239</v>
      </c>
      <c r="C244" s="9">
        <f t="shared" si="23"/>
        <v>102</v>
      </c>
      <c r="D244" s="22">
        <f>INDEX(entities[Custom Attributes],MATCH('cust-code'!C244,entities[custom entity '#],0))</f>
        <v>1</v>
      </c>
      <c r="E244" s="22">
        <f t="shared" si="24"/>
        <v>1</v>
      </c>
      <c r="F244" s="9" t="str">
        <f>IF(E244&gt;0,"",
INDEX(entities[entity_id],MATCH('cust-code'!C244,entities[custom entity '#],0))&amp;":")</f>
        <v/>
      </c>
      <c r="G244" s="9" t="str">
        <f ca="1">IF(E244=0,"",
INDEX(entities[[line 1]:[line 4]],MATCH('cust-code'!C244,entities[custom entity '#],0),'cust-code'!E244))</f>
        <v xml:space="preserve">  hidden: true</v>
      </c>
      <c r="H244" s="9" t="str">
        <f t="shared" ca="1" si="21"/>
        <v xml:space="preserve">  hidden: true</v>
      </c>
      <c r="I244" s="9" t="str">
        <f t="shared" si="22"/>
        <v/>
      </c>
    </row>
    <row r="245" spans="2:9" x14ac:dyDescent="0.45">
      <c r="B245" s="9">
        <f t="shared" si="18"/>
        <v>240</v>
      </c>
      <c r="C245" s="9">
        <f t="shared" si="23"/>
        <v>103</v>
      </c>
      <c r="D245" s="22" t="e">
        <f>INDEX(entities[Custom Attributes],MATCH('cust-code'!C245,entities[custom entity '#],0))</f>
        <v>#N/A</v>
      </c>
      <c r="E245" s="22">
        <f t="shared" si="24"/>
        <v>0</v>
      </c>
      <c r="F245" s="9" t="e">
        <f>IF(E245&gt;0,"",
INDEX(entities[entity_id],MATCH('cust-code'!C245,entities[custom entity '#],0))&amp;":")</f>
        <v>#N/A</v>
      </c>
      <c r="G245" s="9" t="str">
        <f>IF(E245=0,"",
INDEX(entities[[line 1]:[line 4]],MATCH('cust-code'!C245,entities[custom entity '#],0),'cust-code'!E245))</f>
        <v/>
      </c>
      <c r="H245" s="9" t="str">
        <f t="shared" si="21"/>
        <v/>
      </c>
      <c r="I245" s="9" t="str">
        <f t="shared" si="22"/>
        <v>END</v>
      </c>
    </row>
    <row r="246" spans="2:9" x14ac:dyDescent="0.45">
      <c r="B246" s="9">
        <f t="shared" si="18"/>
        <v>241</v>
      </c>
      <c r="C246" s="9" t="e">
        <f t="shared" si="23"/>
        <v>#N/A</v>
      </c>
      <c r="D246" s="22" t="e">
        <f>INDEX(entities[Custom Attributes],MATCH('cust-code'!C246,entities[custom entity '#],0))</f>
        <v>#N/A</v>
      </c>
      <c r="E246" s="22" t="e">
        <f t="shared" si="24"/>
        <v>#N/A</v>
      </c>
      <c r="F246" s="9" t="e">
        <f>IF(E246&gt;0,"",
INDEX(entities[entity_id],MATCH('cust-code'!C246,entities[custom entity '#],0))&amp;":")</f>
        <v>#N/A</v>
      </c>
      <c r="G246" s="9" t="e">
        <f>IF(E246=0,"",
INDEX(entities[[line 1]:[line 4]],MATCH('cust-code'!C246,entities[custom entity '#],0),'cust-code'!E246))</f>
        <v>#N/A</v>
      </c>
      <c r="H246" s="9" t="str">
        <f t="shared" si="21"/>
        <v/>
      </c>
      <c r="I246" s="9" t="str">
        <f t="shared" si="22"/>
        <v/>
      </c>
    </row>
    <row r="247" spans="2:9" x14ac:dyDescent="0.45">
      <c r="B247" s="9">
        <f t="shared" si="18"/>
        <v>242</v>
      </c>
      <c r="C247" s="9" t="e">
        <f t="shared" si="23"/>
        <v>#N/A</v>
      </c>
      <c r="D247" s="22" t="e">
        <f>INDEX(entities[Custom Attributes],MATCH('cust-code'!C247,entities[custom entity '#],0))</f>
        <v>#N/A</v>
      </c>
      <c r="E247" s="22" t="e">
        <f t="shared" si="24"/>
        <v>#N/A</v>
      </c>
      <c r="F247" s="9" t="e">
        <f>IF(E247&gt;0,"",
INDEX(entities[entity_id],MATCH('cust-code'!C247,entities[custom entity '#],0))&amp;":")</f>
        <v>#N/A</v>
      </c>
      <c r="G247" s="9" t="e">
        <f>IF(E247=0,"",
INDEX(entities[[line 1]:[line 4]],MATCH('cust-code'!C247,entities[custom entity '#],0),'cust-code'!E247))</f>
        <v>#N/A</v>
      </c>
      <c r="H247" s="9" t="str">
        <f t="shared" si="21"/>
        <v/>
      </c>
      <c r="I247" s="9" t="str">
        <f t="shared" si="22"/>
        <v/>
      </c>
    </row>
    <row r="248" spans="2:9" x14ac:dyDescent="0.45">
      <c r="B248" s="9">
        <f t="shared" si="18"/>
        <v>243</v>
      </c>
      <c r="C248" s="9" t="e">
        <f t="shared" si="23"/>
        <v>#N/A</v>
      </c>
      <c r="D248" s="22" t="e">
        <f>INDEX(entities[Custom Attributes],MATCH('cust-code'!C248,entities[custom entity '#],0))</f>
        <v>#N/A</v>
      </c>
      <c r="E248" s="22" t="e">
        <f t="shared" si="24"/>
        <v>#N/A</v>
      </c>
      <c r="F248" s="9" t="e">
        <f>IF(E248&gt;0,"",
INDEX(entities[entity_id],MATCH('cust-code'!C248,entities[custom entity '#],0))&amp;":")</f>
        <v>#N/A</v>
      </c>
      <c r="G248" s="9" t="e">
        <f>IF(E248=0,"",
INDEX(entities[[line 1]:[line 4]],MATCH('cust-code'!C248,entities[custom entity '#],0),'cust-code'!E248))</f>
        <v>#N/A</v>
      </c>
      <c r="H248" s="9" t="str">
        <f t="shared" si="21"/>
        <v/>
      </c>
      <c r="I248" s="9" t="str">
        <f t="shared" si="22"/>
        <v/>
      </c>
    </row>
    <row r="249" spans="2:9" x14ac:dyDescent="0.45">
      <c r="B249" s="9">
        <f t="shared" si="18"/>
        <v>244</v>
      </c>
      <c r="C249" s="9" t="e">
        <f t="shared" si="23"/>
        <v>#N/A</v>
      </c>
      <c r="D249" s="22" t="e">
        <f>INDEX(entities[Custom Attributes],MATCH('cust-code'!C249,entities[custom entity '#],0))</f>
        <v>#N/A</v>
      </c>
      <c r="E249" s="22" t="e">
        <f t="shared" si="24"/>
        <v>#N/A</v>
      </c>
      <c r="F249" s="9" t="e">
        <f>IF(E249&gt;0,"",
INDEX(entities[entity_id],MATCH('cust-code'!C249,entities[custom entity '#],0))&amp;":")</f>
        <v>#N/A</v>
      </c>
      <c r="G249" s="9" t="e">
        <f>IF(E249=0,"",
INDEX(entities[[line 1]:[line 4]],MATCH('cust-code'!C249,entities[custom entity '#],0),'cust-code'!E249))</f>
        <v>#N/A</v>
      </c>
      <c r="H249" s="9" t="str">
        <f t="shared" si="21"/>
        <v/>
      </c>
      <c r="I249" s="9" t="str">
        <f t="shared" si="22"/>
        <v/>
      </c>
    </row>
    <row r="250" spans="2:9" x14ac:dyDescent="0.45">
      <c r="B250" s="9">
        <f t="shared" si="18"/>
        <v>245</v>
      </c>
      <c r="C250" s="9" t="e">
        <f t="shared" si="23"/>
        <v>#N/A</v>
      </c>
      <c r="D250" s="22" t="e">
        <f>INDEX(entities[Custom Attributes],MATCH('cust-code'!C250,entities[custom entity '#],0))</f>
        <v>#N/A</v>
      </c>
      <c r="E250" s="22" t="e">
        <f t="shared" si="24"/>
        <v>#N/A</v>
      </c>
      <c r="F250" s="9" t="e">
        <f>IF(E250&gt;0,"",
INDEX(entities[entity_id],MATCH('cust-code'!C250,entities[custom entity '#],0))&amp;":")</f>
        <v>#N/A</v>
      </c>
      <c r="G250" s="9" t="e">
        <f>IF(E250=0,"",
INDEX(entities[[line 1]:[line 4]],MATCH('cust-code'!C250,entities[custom entity '#],0),'cust-code'!E250))</f>
        <v>#N/A</v>
      </c>
      <c r="H250" s="9" t="str">
        <f t="shared" si="21"/>
        <v/>
      </c>
      <c r="I250" s="9" t="str">
        <f t="shared" si="22"/>
        <v/>
      </c>
    </row>
    <row r="251" spans="2:9" x14ac:dyDescent="0.45">
      <c r="B251" s="9">
        <f t="shared" si="18"/>
        <v>246</v>
      </c>
      <c r="C251" s="9" t="e">
        <f t="shared" si="23"/>
        <v>#N/A</v>
      </c>
      <c r="D251" s="22" t="e">
        <f>INDEX(entities[Custom Attributes],MATCH('cust-code'!C251,entities[custom entity '#],0))</f>
        <v>#N/A</v>
      </c>
      <c r="E251" s="22" t="e">
        <f t="shared" si="24"/>
        <v>#N/A</v>
      </c>
      <c r="F251" s="9" t="e">
        <f>IF(E251&gt;0,"",
INDEX(entities[entity_id],MATCH('cust-code'!C251,entities[custom entity '#],0))&amp;":")</f>
        <v>#N/A</v>
      </c>
      <c r="G251" s="9" t="e">
        <f>IF(E251=0,"",
INDEX(entities[[line 1]:[line 4]],MATCH('cust-code'!C251,entities[custom entity '#],0),'cust-code'!E251))</f>
        <v>#N/A</v>
      </c>
      <c r="H251" s="9" t="str">
        <f t="shared" si="21"/>
        <v/>
      </c>
      <c r="I251" s="9" t="str">
        <f t="shared" si="22"/>
        <v/>
      </c>
    </row>
    <row r="252" spans="2:9" x14ac:dyDescent="0.45">
      <c r="B252" s="9">
        <f t="shared" si="18"/>
        <v>247</v>
      </c>
      <c r="C252" s="9" t="e">
        <f t="shared" si="23"/>
        <v>#N/A</v>
      </c>
      <c r="D252" s="22" t="e">
        <f>INDEX(entities[Custom Attributes],MATCH('cust-code'!C252,entities[custom entity '#],0))</f>
        <v>#N/A</v>
      </c>
      <c r="E252" s="22" t="e">
        <f t="shared" si="24"/>
        <v>#N/A</v>
      </c>
      <c r="F252" s="9" t="e">
        <f>IF(E252&gt;0,"",
INDEX(entities[entity_id],MATCH('cust-code'!C252,entities[custom entity '#],0))&amp;":")</f>
        <v>#N/A</v>
      </c>
      <c r="G252" s="9" t="e">
        <f>IF(E252=0,"",
INDEX(entities[[line 1]:[line 4]],MATCH('cust-code'!C252,entities[custom entity '#],0),'cust-code'!E252))</f>
        <v>#N/A</v>
      </c>
      <c r="H252" s="9" t="str">
        <f t="shared" si="21"/>
        <v/>
      </c>
      <c r="I252" s="9" t="str">
        <f t="shared" si="22"/>
        <v/>
      </c>
    </row>
    <row r="253" spans="2:9" x14ac:dyDescent="0.45">
      <c r="B253" s="9">
        <f t="shared" si="18"/>
        <v>248</v>
      </c>
      <c r="C253" s="9" t="e">
        <f t="shared" si="23"/>
        <v>#N/A</v>
      </c>
      <c r="D253" s="22" t="e">
        <f>INDEX(entities[Custom Attributes],MATCH('cust-code'!C253,entities[custom entity '#],0))</f>
        <v>#N/A</v>
      </c>
      <c r="E253" s="22" t="e">
        <f t="shared" si="24"/>
        <v>#N/A</v>
      </c>
      <c r="F253" s="9" t="e">
        <f>IF(E253&gt;0,"",
INDEX(entities[entity_id],MATCH('cust-code'!C253,entities[custom entity '#],0))&amp;":")</f>
        <v>#N/A</v>
      </c>
      <c r="G253" s="9" t="e">
        <f>IF(E253=0,"",
INDEX(entities[[line 1]:[line 4]],MATCH('cust-code'!C253,entities[custom entity '#],0),'cust-code'!E253))</f>
        <v>#N/A</v>
      </c>
      <c r="H253" s="9" t="str">
        <f t="shared" si="21"/>
        <v/>
      </c>
      <c r="I253" s="9" t="str">
        <f t="shared" si="22"/>
        <v/>
      </c>
    </row>
    <row r="254" spans="2:9" x14ac:dyDescent="0.45">
      <c r="B254" s="9">
        <f t="shared" si="18"/>
        <v>249</v>
      </c>
      <c r="C254" s="9" t="e">
        <f t="shared" si="23"/>
        <v>#N/A</v>
      </c>
      <c r="D254" s="22" t="e">
        <f>INDEX(entities[Custom Attributes],MATCH('cust-code'!C254,entities[custom entity '#],0))</f>
        <v>#N/A</v>
      </c>
      <c r="E254" s="22" t="e">
        <f t="shared" si="24"/>
        <v>#N/A</v>
      </c>
      <c r="F254" s="9" t="e">
        <f>IF(E254&gt;0,"",
INDEX(entities[entity_id],MATCH('cust-code'!C254,entities[custom entity '#],0))&amp;":")</f>
        <v>#N/A</v>
      </c>
      <c r="G254" s="9" t="e">
        <f>IF(E254=0,"",
INDEX(entities[[line 1]:[line 4]],MATCH('cust-code'!C254,entities[custom entity '#],0),'cust-code'!E254))</f>
        <v>#N/A</v>
      </c>
      <c r="H254" s="9" t="str">
        <f t="shared" si="21"/>
        <v/>
      </c>
      <c r="I254" s="9" t="str">
        <f t="shared" si="22"/>
        <v/>
      </c>
    </row>
    <row r="255" spans="2:9" x14ac:dyDescent="0.45">
      <c r="B255" s="9">
        <f t="shared" si="18"/>
        <v>250</v>
      </c>
      <c r="C255" s="9" t="e">
        <f t="shared" si="23"/>
        <v>#N/A</v>
      </c>
      <c r="D255" s="22" t="e">
        <f>INDEX(entities[Custom Attributes],MATCH('cust-code'!C255,entities[custom entity '#],0))</f>
        <v>#N/A</v>
      </c>
      <c r="E255" s="22" t="e">
        <f t="shared" si="24"/>
        <v>#N/A</v>
      </c>
      <c r="F255" s="9" t="e">
        <f>IF(E255&gt;0,"",
INDEX(entities[entity_id],MATCH('cust-code'!C255,entities[custom entity '#],0))&amp;":")</f>
        <v>#N/A</v>
      </c>
      <c r="G255" s="9" t="e">
        <f>IF(E255=0,"",
INDEX(entities[[line 1]:[line 4]],MATCH('cust-code'!C255,entities[custom entity '#],0),'cust-code'!E255))</f>
        <v>#N/A</v>
      </c>
      <c r="H255" s="9" t="str">
        <f t="shared" si="21"/>
        <v/>
      </c>
      <c r="I255" s="9" t="str">
        <f t="shared" si="22"/>
        <v/>
      </c>
    </row>
    <row r="256" spans="2:9" x14ac:dyDescent="0.45">
      <c r="B256" s="9">
        <f t="shared" si="18"/>
        <v>251</v>
      </c>
      <c r="C256" s="9" t="e">
        <f t="shared" si="23"/>
        <v>#N/A</v>
      </c>
      <c r="D256" s="22" t="e">
        <f>INDEX(entities[Custom Attributes],MATCH('cust-code'!C256,entities[custom entity '#],0))</f>
        <v>#N/A</v>
      </c>
      <c r="E256" s="22" t="e">
        <f t="shared" si="24"/>
        <v>#N/A</v>
      </c>
      <c r="F256" s="9" t="e">
        <f>IF(E256&gt;0,"",
INDEX(entities[entity_id],MATCH('cust-code'!C256,entities[custom entity '#],0))&amp;":")</f>
        <v>#N/A</v>
      </c>
      <c r="G256" s="9" t="e">
        <f>IF(E256=0,"",
INDEX(entities[[line 1]:[line 4]],MATCH('cust-code'!C256,entities[custom entity '#],0),'cust-code'!E256))</f>
        <v>#N/A</v>
      </c>
      <c r="H256" s="9" t="str">
        <f t="shared" si="21"/>
        <v/>
      </c>
      <c r="I256" s="9" t="str">
        <f t="shared" si="22"/>
        <v/>
      </c>
    </row>
    <row r="257" spans="2:9" x14ac:dyDescent="0.45">
      <c r="B257" s="9">
        <f t="shared" si="18"/>
        <v>252</v>
      </c>
      <c r="C257" s="9" t="e">
        <f t="shared" si="23"/>
        <v>#N/A</v>
      </c>
      <c r="D257" s="22" t="e">
        <f>INDEX(entities[Custom Attributes],MATCH('cust-code'!C257,entities[custom entity '#],0))</f>
        <v>#N/A</v>
      </c>
      <c r="E257" s="22" t="e">
        <f t="shared" si="24"/>
        <v>#N/A</v>
      </c>
      <c r="F257" s="9" t="e">
        <f>IF(E257&gt;0,"",
INDEX(entities[entity_id],MATCH('cust-code'!C257,entities[custom entity '#],0))&amp;":")</f>
        <v>#N/A</v>
      </c>
      <c r="G257" s="9" t="e">
        <f>IF(E257=0,"",
INDEX(entities[[line 1]:[line 4]],MATCH('cust-code'!C257,entities[custom entity '#],0),'cust-code'!E257))</f>
        <v>#N/A</v>
      </c>
      <c r="H257" s="9" t="str">
        <f t="shared" si="21"/>
        <v/>
      </c>
      <c r="I257" s="9" t="str">
        <f t="shared" si="22"/>
        <v/>
      </c>
    </row>
    <row r="258" spans="2:9" x14ac:dyDescent="0.45">
      <c r="B258" s="9">
        <f t="shared" si="18"/>
        <v>253</v>
      </c>
      <c r="C258" s="9" t="e">
        <f t="shared" si="23"/>
        <v>#N/A</v>
      </c>
      <c r="D258" s="22" t="e">
        <f>INDEX(entities[Custom Attributes],MATCH('cust-code'!C258,entities[custom entity '#],0))</f>
        <v>#N/A</v>
      </c>
      <c r="E258" s="22" t="e">
        <f t="shared" si="24"/>
        <v>#N/A</v>
      </c>
      <c r="F258" s="9" t="e">
        <f>IF(E258&gt;0,"",
INDEX(entities[entity_id],MATCH('cust-code'!C258,entities[custom entity '#],0))&amp;":")</f>
        <v>#N/A</v>
      </c>
      <c r="G258" s="9" t="e">
        <f>IF(E258=0,"",
INDEX(entities[[line 1]:[line 4]],MATCH('cust-code'!C258,entities[custom entity '#],0),'cust-code'!E258))</f>
        <v>#N/A</v>
      </c>
      <c r="H258" s="9" t="str">
        <f t="shared" si="21"/>
        <v/>
      </c>
      <c r="I258" s="9" t="str">
        <f t="shared" si="22"/>
        <v/>
      </c>
    </row>
    <row r="259" spans="2:9" x14ac:dyDescent="0.45">
      <c r="B259" s="9">
        <f t="shared" si="18"/>
        <v>254</v>
      </c>
      <c r="C259" s="9" t="e">
        <f t="shared" si="23"/>
        <v>#N/A</v>
      </c>
      <c r="D259" s="22" t="e">
        <f>INDEX(entities[Custom Attributes],MATCH('cust-code'!C259,entities[custom entity '#],0))</f>
        <v>#N/A</v>
      </c>
      <c r="E259" s="22" t="e">
        <f t="shared" si="24"/>
        <v>#N/A</v>
      </c>
      <c r="F259" s="9" t="e">
        <f>IF(E259&gt;0,"",
INDEX(entities[entity_id],MATCH('cust-code'!C259,entities[custom entity '#],0))&amp;":")</f>
        <v>#N/A</v>
      </c>
      <c r="G259" s="9" t="e">
        <f>IF(E259=0,"",
INDEX(entities[[line 1]:[line 4]],MATCH('cust-code'!C259,entities[custom entity '#],0),'cust-code'!E259))</f>
        <v>#N/A</v>
      </c>
      <c r="H259" s="9" t="str">
        <f t="shared" si="21"/>
        <v/>
      </c>
      <c r="I259" s="9" t="str">
        <f t="shared" si="22"/>
        <v/>
      </c>
    </row>
    <row r="260" spans="2:9" x14ac:dyDescent="0.45">
      <c r="B260" s="9">
        <f t="shared" si="18"/>
        <v>255</v>
      </c>
      <c r="C260" s="9" t="e">
        <f t="shared" si="23"/>
        <v>#N/A</v>
      </c>
      <c r="D260" s="22" t="e">
        <f>INDEX(entities[Custom Attributes],MATCH('cust-code'!C260,entities[custom entity '#],0))</f>
        <v>#N/A</v>
      </c>
      <c r="E260" s="22" t="e">
        <f t="shared" si="24"/>
        <v>#N/A</v>
      </c>
      <c r="F260" s="9" t="e">
        <f>IF(E260&gt;0,"",
INDEX(entities[entity_id],MATCH('cust-code'!C260,entities[custom entity '#],0))&amp;":")</f>
        <v>#N/A</v>
      </c>
      <c r="G260" s="9" t="e">
        <f>IF(E260=0,"",
INDEX(entities[[line 1]:[line 4]],MATCH('cust-code'!C260,entities[custom entity '#],0),'cust-code'!E260))</f>
        <v>#N/A</v>
      </c>
      <c r="H260" s="9" t="str">
        <f t="shared" si="21"/>
        <v/>
      </c>
      <c r="I260" s="9" t="str">
        <f t="shared" si="22"/>
        <v/>
      </c>
    </row>
    <row r="261" spans="2:9" x14ac:dyDescent="0.45">
      <c r="B261" s="9">
        <f t="shared" si="18"/>
        <v>256</v>
      </c>
      <c r="C261" s="9" t="e">
        <f t="shared" si="23"/>
        <v>#N/A</v>
      </c>
      <c r="D261" s="22" t="e">
        <f>INDEX(entities[Custom Attributes],MATCH('cust-code'!C261,entities[custom entity '#],0))</f>
        <v>#N/A</v>
      </c>
      <c r="E261" s="22" t="e">
        <f t="shared" si="24"/>
        <v>#N/A</v>
      </c>
      <c r="F261" s="9" t="e">
        <f>IF(E261&gt;0,"",
INDEX(entities[entity_id],MATCH('cust-code'!C261,entities[custom entity '#],0))&amp;":")</f>
        <v>#N/A</v>
      </c>
      <c r="G261" s="9" t="e">
        <f>IF(E261=0,"",
INDEX(entities[[line 1]:[line 4]],MATCH('cust-code'!C261,entities[custom entity '#],0),'cust-code'!E261))</f>
        <v>#N/A</v>
      </c>
      <c r="H261" s="9" t="str">
        <f t="shared" si="21"/>
        <v/>
      </c>
      <c r="I261" s="9" t="str">
        <f t="shared" si="22"/>
        <v/>
      </c>
    </row>
    <row r="262" spans="2:9" x14ac:dyDescent="0.45">
      <c r="B262" s="9">
        <f t="shared" si="18"/>
        <v>257</v>
      </c>
      <c r="C262" s="9" t="e">
        <f t="shared" si="23"/>
        <v>#N/A</v>
      </c>
      <c r="D262" s="22" t="e">
        <f>INDEX(entities[Custom Attributes],MATCH('cust-code'!C262,entities[custom entity '#],0))</f>
        <v>#N/A</v>
      </c>
      <c r="E262" s="22" t="e">
        <f t="shared" si="24"/>
        <v>#N/A</v>
      </c>
      <c r="F262" s="9" t="e">
        <f>IF(E262&gt;0,"",
INDEX(entities[entity_id],MATCH('cust-code'!C262,entities[custom entity '#],0))&amp;":")</f>
        <v>#N/A</v>
      </c>
      <c r="G262" s="9" t="e">
        <f>IF(E262=0,"",
INDEX(entities[[line 1]:[line 4]],MATCH('cust-code'!C262,entities[custom entity '#],0),'cust-code'!E262))</f>
        <v>#N/A</v>
      </c>
      <c r="H262" s="9" t="str">
        <f t="shared" si="21"/>
        <v/>
      </c>
      <c r="I262" s="9" t="str">
        <f t="shared" si="22"/>
        <v/>
      </c>
    </row>
    <row r="263" spans="2:9" x14ac:dyDescent="0.45">
      <c r="B263" s="9">
        <f t="shared" ref="B263:B326" si="25">B262+1</f>
        <v>258</v>
      </c>
      <c r="C263" s="9" t="e">
        <f t="shared" si="23"/>
        <v>#N/A</v>
      </c>
      <c r="D263" s="22" t="e">
        <f>INDEX(entities[Custom Attributes],MATCH('cust-code'!C263,entities[custom entity '#],0))</f>
        <v>#N/A</v>
      </c>
      <c r="E263" s="22" t="e">
        <f t="shared" si="24"/>
        <v>#N/A</v>
      </c>
      <c r="F263" s="9" t="e">
        <f>IF(E263&gt;0,"",
INDEX(entities[entity_id],MATCH('cust-code'!C263,entities[custom entity '#],0))&amp;":")</f>
        <v>#N/A</v>
      </c>
      <c r="G263" s="9" t="e">
        <f>IF(E263=0,"",
INDEX(entities[[line 1]:[line 4]],MATCH('cust-code'!C263,entities[custom entity '#],0),'cust-code'!E263))</f>
        <v>#N/A</v>
      </c>
      <c r="H263" s="9" t="str">
        <f t="shared" si="21"/>
        <v/>
      </c>
      <c r="I263" s="9" t="str">
        <f t="shared" si="22"/>
        <v/>
      </c>
    </row>
    <row r="264" spans="2:9" x14ac:dyDescent="0.45">
      <c r="B264" s="9">
        <f t="shared" si="25"/>
        <v>259</v>
      </c>
      <c r="C264" s="9" t="e">
        <f t="shared" si="23"/>
        <v>#N/A</v>
      </c>
      <c r="D264" s="22" t="e">
        <f>INDEX(entities[Custom Attributes],MATCH('cust-code'!C264,entities[custom entity '#],0))</f>
        <v>#N/A</v>
      </c>
      <c r="E264" s="22" t="e">
        <f t="shared" si="24"/>
        <v>#N/A</v>
      </c>
      <c r="F264" s="9" t="e">
        <f>IF(E264&gt;0,"",
INDEX(entities[entity_id],MATCH('cust-code'!C264,entities[custom entity '#],0))&amp;":")</f>
        <v>#N/A</v>
      </c>
      <c r="G264" s="9" t="e">
        <f>IF(E264=0,"",
INDEX(entities[[line 1]:[line 4]],MATCH('cust-code'!C264,entities[custom entity '#],0),'cust-code'!E264))</f>
        <v>#N/A</v>
      </c>
      <c r="H264" s="9" t="str">
        <f t="shared" ref="H264:H327" si="26">_xlfn.IFNA(  F264&amp;G264,  "")</f>
        <v/>
      </c>
      <c r="I264" s="9" t="str">
        <f t="shared" ref="I264:I327" si="27">IF(AND(NOT(ISNA(D263)),ISNA(D264)),"END","")</f>
        <v/>
      </c>
    </row>
    <row r="265" spans="2:9" x14ac:dyDescent="0.45">
      <c r="B265" s="9">
        <f t="shared" si="25"/>
        <v>260</v>
      </c>
      <c r="C265" s="9" t="e">
        <f t="shared" si="23"/>
        <v>#N/A</v>
      </c>
      <c r="D265" s="22" t="e">
        <f>INDEX(entities[Custom Attributes],MATCH('cust-code'!C265,entities[custom entity '#],0))</f>
        <v>#N/A</v>
      </c>
      <c r="E265" s="22" t="e">
        <f t="shared" si="24"/>
        <v>#N/A</v>
      </c>
      <c r="F265" s="9" t="e">
        <f>IF(E265&gt;0,"",
INDEX(entities[entity_id],MATCH('cust-code'!C265,entities[custom entity '#],0))&amp;":")</f>
        <v>#N/A</v>
      </c>
      <c r="G265" s="9" t="e">
        <f>IF(E265=0,"",
INDEX(entities[[line 1]:[line 4]],MATCH('cust-code'!C265,entities[custom entity '#],0),'cust-code'!E265))</f>
        <v>#N/A</v>
      </c>
      <c r="H265" s="9" t="str">
        <f t="shared" si="26"/>
        <v/>
      </c>
      <c r="I265" s="9" t="str">
        <f t="shared" si="27"/>
        <v/>
      </c>
    </row>
    <row r="266" spans="2:9" x14ac:dyDescent="0.45">
      <c r="B266" s="9">
        <f t="shared" si="25"/>
        <v>261</v>
      </c>
      <c r="C266" s="9" t="e">
        <f t="shared" si="23"/>
        <v>#N/A</v>
      </c>
      <c r="D266" s="22" t="e">
        <f>INDEX(entities[Custom Attributes],MATCH('cust-code'!C266,entities[custom entity '#],0))</f>
        <v>#N/A</v>
      </c>
      <c r="E266" s="22" t="e">
        <f t="shared" si="24"/>
        <v>#N/A</v>
      </c>
      <c r="F266" s="9" t="e">
        <f>IF(E266&gt;0,"",
INDEX(entities[entity_id],MATCH('cust-code'!C266,entities[custom entity '#],0))&amp;":")</f>
        <v>#N/A</v>
      </c>
      <c r="G266" s="9" t="e">
        <f>IF(E266=0,"",
INDEX(entities[[line 1]:[line 4]],MATCH('cust-code'!C266,entities[custom entity '#],0),'cust-code'!E266))</f>
        <v>#N/A</v>
      </c>
      <c r="H266" s="9" t="str">
        <f t="shared" si="26"/>
        <v/>
      </c>
      <c r="I266" s="9" t="str">
        <f t="shared" si="27"/>
        <v/>
      </c>
    </row>
    <row r="267" spans="2:9" x14ac:dyDescent="0.45">
      <c r="B267" s="9">
        <f t="shared" si="25"/>
        <v>262</v>
      </c>
      <c r="C267" s="9" t="e">
        <f t="shared" si="23"/>
        <v>#N/A</v>
      </c>
      <c r="D267" s="22" t="e">
        <f>INDEX(entities[Custom Attributes],MATCH('cust-code'!C267,entities[custom entity '#],0))</f>
        <v>#N/A</v>
      </c>
      <c r="E267" s="22" t="e">
        <f t="shared" si="24"/>
        <v>#N/A</v>
      </c>
      <c r="F267" s="9" t="e">
        <f>IF(E267&gt;0,"",
INDEX(entities[entity_id],MATCH('cust-code'!C267,entities[custom entity '#],0))&amp;":")</f>
        <v>#N/A</v>
      </c>
      <c r="G267" s="9" t="e">
        <f>IF(E267=0,"",
INDEX(entities[[line 1]:[line 4]],MATCH('cust-code'!C267,entities[custom entity '#],0),'cust-code'!E267))</f>
        <v>#N/A</v>
      </c>
      <c r="H267" s="9" t="str">
        <f t="shared" si="26"/>
        <v/>
      </c>
      <c r="I267" s="9" t="str">
        <f t="shared" si="27"/>
        <v/>
      </c>
    </row>
    <row r="268" spans="2:9" x14ac:dyDescent="0.45">
      <c r="B268" s="9">
        <f t="shared" si="25"/>
        <v>263</v>
      </c>
      <c r="C268" s="9" t="e">
        <f t="shared" si="23"/>
        <v>#N/A</v>
      </c>
      <c r="D268" s="22" t="e">
        <f>INDEX(entities[Custom Attributes],MATCH('cust-code'!C268,entities[custom entity '#],0))</f>
        <v>#N/A</v>
      </c>
      <c r="E268" s="22" t="e">
        <f t="shared" si="24"/>
        <v>#N/A</v>
      </c>
      <c r="F268" s="9" t="e">
        <f>IF(E268&gt;0,"",
INDEX(entities[entity_id],MATCH('cust-code'!C268,entities[custom entity '#],0))&amp;":")</f>
        <v>#N/A</v>
      </c>
      <c r="G268" s="9" t="e">
        <f>IF(E268=0,"",
INDEX(entities[[line 1]:[line 4]],MATCH('cust-code'!C268,entities[custom entity '#],0),'cust-code'!E268))</f>
        <v>#N/A</v>
      </c>
      <c r="H268" s="9" t="str">
        <f t="shared" si="26"/>
        <v/>
      </c>
      <c r="I268" s="9" t="str">
        <f t="shared" si="27"/>
        <v/>
      </c>
    </row>
    <row r="269" spans="2:9" x14ac:dyDescent="0.45">
      <c r="B269" s="9">
        <f t="shared" si="25"/>
        <v>264</v>
      </c>
      <c r="C269" s="9" t="e">
        <f t="shared" si="23"/>
        <v>#N/A</v>
      </c>
      <c r="D269" s="22" t="e">
        <f>INDEX(entities[Custom Attributes],MATCH('cust-code'!C269,entities[custom entity '#],0))</f>
        <v>#N/A</v>
      </c>
      <c r="E269" s="22" t="e">
        <f t="shared" si="24"/>
        <v>#N/A</v>
      </c>
      <c r="F269" s="9" t="e">
        <f>IF(E269&gt;0,"",
INDEX(entities[entity_id],MATCH('cust-code'!C269,entities[custom entity '#],0))&amp;":")</f>
        <v>#N/A</v>
      </c>
      <c r="G269" s="9" t="e">
        <f>IF(E269=0,"",
INDEX(entities[[line 1]:[line 4]],MATCH('cust-code'!C269,entities[custom entity '#],0),'cust-code'!E269))</f>
        <v>#N/A</v>
      </c>
      <c r="H269" s="9" t="str">
        <f t="shared" si="26"/>
        <v/>
      </c>
      <c r="I269" s="9" t="str">
        <f t="shared" si="27"/>
        <v/>
      </c>
    </row>
    <row r="270" spans="2:9" x14ac:dyDescent="0.45">
      <c r="B270" s="9">
        <f t="shared" si="25"/>
        <v>265</v>
      </c>
      <c r="C270" s="9" t="e">
        <f t="shared" ref="C270:C333" si="28">IF(E270=0,C269+1,C269)</f>
        <v>#N/A</v>
      </c>
      <c r="D270" s="22" t="e">
        <f>INDEX(entities[Custom Attributes],MATCH('cust-code'!C270,entities[custom entity '#],0))</f>
        <v>#N/A</v>
      </c>
      <c r="E270" s="22" t="e">
        <f t="shared" ref="E270:E333" si="29">IF(E269=D269,0,E269+1)</f>
        <v>#N/A</v>
      </c>
      <c r="F270" s="9" t="e">
        <f>IF(E270&gt;0,"",
INDEX(entities[entity_id],MATCH('cust-code'!C270,entities[custom entity '#],0))&amp;":")</f>
        <v>#N/A</v>
      </c>
      <c r="G270" s="9" t="e">
        <f>IF(E270=0,"",
INDEX(entities[[line 1]:[line 4]],MATCH('cust-code'!C270,entities[custom entity '#],0),'cust-code'!E270))</f>
        <v>#N/A</v>
      </c>
      <c r="H270" s="9" t="str">
        <f t="shared" si="26"/>
        <v/>
      </c>
      <c r="I270" s="9" t="str">
        <f t="shared" si="27"/>
        <v/>
      </c>
    </row>
    <row r="271" spans="2:9" x14ac:dyDescent="0.45">
      <c r="B271" s="9">
        <f t="shared" si="25"/>
        <v>266</v>
      </c>
      <c r="C271" s="9" t="e">
        <f t="shared" si="28"/>
        <v>#N/A</v>
      </c>
      <c r="D271" s="22" t="e">
        <f>INDEX(entities[Custom Attributes],MATCH('cust-code'!C271,entities[custom entity '#],0))</f>
        <v>#N/A</v>
      </c>
      <c r="E271" s="22" t="e">
        <f t="shared" si="29"/>
        <v>#N/A</v>
      </c>
      <c r="F271" s="9" t="e">
        <f>IF(E271&gt;0,"",
INDEX(entities[entity_id],MATCH('cust-code'!C271,entities[custom entity '#],0))&amp;":")</f>
        <v>#N/A</v>
      </c>
      <c r="G271" s="9" t="e">
        <f>IF(E271=0,"",
INDEX(entities[[line 1]:[line 4]],MATCH('cust-code'!C271,entities[custom entity '#],0),'cust-code'!E271))</f>
        <v>#N/A</v>
      </c>
      <c r="H271" s="9" t="str">
        <f t="shared" si="26"/>
        <v/>
      </c>
      <c r="I271" s="9" t="str">
        <f t="shared" si="27"/>
        <v/>
      </c>
    </row>
    <row r="272" spans="2:9" x14ac:dyDescent="0.45">
      <c r="B272" s="9">
        <f t="shared" si="25"/>
        <v>267</v>
      </c>
      <c r="C272" s="9" t="e">
        <f t="shared" si="28"/>
        <v>#N/A</v>
      </c>
      <c r="D272" s="22" t="e">
        <f>INDEX(entities[Custom Attributes],MATCH('cust-code'!C272,entities[custom entity '#],0))</f>
        <v>#N/A</v>
      </c>
      <c r="E272" s="22" t="e">
        <f t="shared" si="29"/>
        <v>#N/A</v>
      </c>
      <c r="F272" s="9" t="e">
        <f>IF(E272&gt;0,"",
INDEX(entities[entity_id],MATCH('cust-code'!C272,entities[custom entity '#],0))&amp;":")</f>
        <v>#N/A</v>
      </c>
      <c r="G272" s="9" t="e">
        <f>IF(E272=0,"",
INDEX(entities[[line 1]:[line 4]],MATCH('cust-code'!C272,entities[custom entity '#],0),'cust-code'!E272))</f>
        <v>#N/A</v>
      </c>
      <c r="H272" s="9" t="str">
        <f t="shared" si="26"/>
        <v/>
      </c>
      <c r="I272" s="9" t="str">
        <f t="shared" si="27"/>
        <v/>
      </c>
    </row>
    <row r="273" spans="2:9" x14ac:dyDescent="0.45">
      <c r="B273" s="9">
        <f t="shared" si="25"/>
        <v>268</v>
      </c>
      <c r="C273" s="9" t="e">
        <f t="shared" si="28"/>
        <v>#N/A</v>
      </c>
      <c r="D273" s="22" t="e">
        <f>INDEX(entities[Custom Attributes],MATCH('cust-code'!C273,entities[custom entity '#],0))</f>
        <v>#N/A</v>
      </c>
      <c r="E273" s="22" t="e">
        <f t="shared" si="29"/>
        <v>#N/A</v>
      </c>
      <c r="F273" s="9" t="e">
        <f>IF(E273&gt;0,"",
INDEX(entities[entity_id],MATCH('cust-code'!C273,entities[custom entity '#],0))&amp;":")</f>
        <v>#N/A</v>
      </c>
      <c r="G273" s="9" t="e">
        <f>IF(E273=0,"",
INDEX(entities[[line 1]:[line 4]],MATCH('cust-code'!C273,entities[custom entity '#],0),'cust-code'!E273))</f>
        <v>#N/A</v>
      </c>
      <c r="H273" s="9" t="str">
        <f t="shared" si="26"/>
        <v/>
      </c>
      <c r="I273" s="9" t="str">
        <f t="shared" si="27"/>
        <v/>
      </c>
    </row>
    <row r="274" spans="2:9" x14ac:dyDescent="0.45">
      <c r="B274" s="9">
        <f t="shared" si="25"/>
        <v>269</v>
      </c>
      <c r="C274" s="9" t="e">
        <f t="shared" si="28"/>
        <v>#N/A</v>
      </c>
      <c r="D274" s="22" t="e">
        <f>INDEX(entities[Custom Attributes],MATCH('cust-code'!C274,entities[custom entity '#],0))</f>
        <v>#N/A</v>
      </c>
      <c r="E274" s="22" t="e">
        <f t="shared" si="29"/>
        <v>#N/A</v>
      </c>
      <c r="F274" s="9" t="e">
        <f>IF(E274&gt;0,"",
INDEX(entities[entity_id],MATCH('cust-code'!C274,entities[custom entity '#],0))&amp;":")</f>
        <v>#N/A</v>
      </c>
      <c r="G274" s="9" t="e">
        <f>IF(E274=0,"",
INDEX(entities[[line 1]:[line 4]],MATCH('cust-code'!C274,entities[custom entity '#],0),'cust-code'!E274))</f>
        <v>#N/A</v>
      </c>
      <c r="H274" s="9" t="str">
        <f t="shared" si="26"/>
        <v/>
      </c>
      <c r="I274" s="9" t="str">
        <f t="shared" si="27"/>
        <v/>
      </c>
    </row>
    <row r="275" spans="2:9" x14ac:dyDescent="0.45">
      <c r="B275" s="9">
        <f t="shared" si="25"/>
        <v>270</v>
      </c>
      <c r="C275" s="9" t="e">
        <f t="shared" si="28"/>
        <v>#N/A</v>
      </c>
      <c r="D275" s="22" t="e">
        <f>INDEX(entities[Custom Attributes],MATCH('cust-code'!C275,entities[custom entity '#],0))</f>
        <v>#N/A</v>
      </c>
      <c r="E275" s="22" t="e">
        <f t="shared" si="29"/>
        <v>#N/A</v>
      </c>
      <c r="F275" s="9" t="e">
        <f>IF(E275&gt;0,"",
INDEX(entities[entity_id],MATCH('cust-code'!C275,entities[custom entity '#],0))&amp;":")</f>
        <v>#N/A</v>
      </c>
      <c r="G275" s="9" t="e">
        <f>IF(E275=0,"",
INDEX(entities[[line 1]:[line 4]],MATCH('cust-code'!C275,entities[custom entity '#],0),'cust-code'!E275))</f>
        <v>#N/A</v>
      </c>
      <c r="H275" s="9" t="str">
        <f t="shared" si="26"/>
        <v/>
      </c>
      <c r="I275" s="9" t="str">
        <f t="shared" si="27"/>
        <v/>
      </c>
    </row>
    <row r="276" spans="2:9" x14ac:dyDescent="0.45">
      <c r="B276" s="9">
        <f t="shared" si="25"/>
        <v>271</v>
      </c>
      <c r="C276" s="9" t="e">
        <f t="shared" si="28"/>
        <v>#N/A</v>
      </c>
      <c r="D276" s="22" t="e">
        <f>INDEX(entities[Custom Attributes],MATCH('cust-code'!C276,entities[custom entity '#],0))</f>
        <v>#N/A</v>
      </c>
      <c r="E276" s="22" t="e">
        <f t="shared" si="29"/>
        <v>#N/A</v>
      </c>
      <c r="F276" s="9" t="e">
        <f>IF(E276&gt;0,"",
INDEX(entities[entity_id],MATCH('cust-code'!C276,entities[custom entity '#],0))&amp;":")</f>
        <v>#N/A</v>
      </c>
      <c r="G276" s="9" t="e">
        <f>IF(E276=0,"",
INDEX(entities[[line 1]:[line 4]],MATCH('cust-code'!C276,entities[custom entity '#],0),'cust-code'!E276))</f>
        <v>#N/A</v>
      </c>
      <c r="H276" s="9" t="str">
        <f t="shared" si="26"/>
        <v/>
      </c>
      <c r="I276" s="9" t="str">
        <f t="shared" si="27"/>
        <v/>
      </c>
    </row>
    <row r="277" spans="2:9" x14ac:dyDescent="0.45">
      <c r="B277" s="9">
        <f t="shared" si="25"/>
        <v>272</v>
      </c>
      <c r="C277" s="9" t="e">
        <f t="shared" si="28"/>
        <v>#N/A</v>
      </c>
      <c r="D277" s="22" t="e">
        <f>INDEX(entities[Custom Attributes],MATCH('cust-code'!C277,entities[custom entity '#],0))</f>
        <v>#N/A</v>
      </c>
      <c r="E277" s="22" t="e">
        <f t="shared" si="29"/>
        <v>#N/A</v>
      </c>
      <c r="F277" s="9" t="e">
        <f>IF(E277&gt;0,"",
INDEX(entities[entity_id],MATCH('cust-code'!C277,entities[custom entity '#],0))&amp;":")</f>
        <v>#N/A</v>
      </c>
      <c r="G277" s="9" t="e">
        <f>IF(E277=0,"",
INDEX(entities[[line 1]:[line 4]],MATCH('cust-code'!C277,entities[custom entity '#],0),'cust-code'!E277))</f>
        <v>#N/A</v>
      </c>
      <c r="H277" s="9" t="str">
        <f t="shared" si="26"/>
        <v/>
      </c>
      <c r="I277" s="9" t="str">
        <f t="shared" si="27"/>
        <v/>
      </c>
    </row>
    <row r="278" spans="2:9" x14ac:dyDescent="0.45">
      <c r="B278" s="9">
        <f t="shared" si="25"/>
        <v>273</v>
      </c>
      <c r="C278" s="9" t="e">
        <f t="shared" si="28"/>
        <v>#N/A</v>
      </c>
      <c r="D278" s="22" t="e">
        <f>INDEX(entities[Custom Attributes],MATCH('cust-code'!C278,entities[custom entity '#],0))</f>
        <v>#N/A</v>
      </c>
      <c r="E278" s="22" t="e">
        <f t="shared" si="29"/>
        <v>#N/A</v>
      </c>
      <c r="F278" s="9" t="e">
        <f>IF(E278&gt;0,"",
INDEX(entities[entity_id],MATCH('cust-code'!C278,entities[custom entity '#],0))&amp;":")</f>
        <v>#N/A</v>
      </c>
      <c r="G278" s="9" t="e">
        <f>IF(E278=0,"",
INDEX(entities[[line 1]:[line 4]],MATCH('cust-code'!C278,entities[custom entity '#],0),'cust-code'!E278))</f>
        <v>#N/A</v>
      </c>
      <c r="H278" s="9" t="str">
        <f t="shared" si="26"/>
        <v/>
      </c>
      <c r="I278" s="9" t="str">
        <f t="shared" si="27"/>
        <v/>
      </c>
    </row>
    <row r="279" spans="2:9" x14ac:dyDescent="0.45">
      <c r="B279" s="9">
        <f t="shared" si="25"/>
        <v>274</v>
      </c>
      <c r="C279" s="9" t="e">
        <f t="shared" si="28"/>
        <v>#N/A</v>
      </c>
      <c r="D279" s="22" t="e">
        <f>INDEX(entities[Custom Attributes],MATCH('cust-code'!C279,entities[custom entity '#],0))</f>
        <v>#N/A</v>
      </c>
      <c r="E279" s="22" t="e">
        <f t="shared" si="29"/>
        <v>#N/A</v>
      </c>
      <c r="F279" s="9" t="e">
        <f>IF(E279&gt;0,"",
INDEX(entities[entity_id],MATCH('cust-code'!C279,entities[custom entity '#],0))&amp;":")</f>
        <v>#N/A</v>
      </c>
      <c r="G279" s="9" t="e">
        <f>IF(E279=0,"",
INDEX(entities[[line 1]:[line 4]],MATCH('cust-code'!C279,entities[custom entity '#],0),'cust-code'!E279))</f>
        <v>#N/A</v>
      </c>
      <c r="H279" s="9" t="str">
        <f t="shared" si="26"/>
        <v/>
      </c>
      <c r="I279" s="9" t="str">
        <f t="shared" si="27"/>
        <v/>
      </c>
    </row>
    <row r="280" spans="2:9" x14ac:dyDescent="0.45">
      <c r="B280" s="9">
        <f t="shared" si="25"/>
        <v>275</v>
      </c>
      <c r="C280" s="9" t="e">
        <f t="shared" si="28"/>
        <v>#N/A</v>
      </c>
      <c r="D280" s="22" t="e">
        <f>INDEX(entities[Custom Attributes],MATCH('cust-code'!C280,entities[custom entity '#],0))</f>
        <v>#N/A</v>
      </c>
      <c r="E280" s="22" t="e">
        <f t="shared" si="29"/>
        <v>#N/A</v>
      </c>
      <c r="F280" s="9" t="e">
        <f>IF(E280&gt;0,"",
INDEX(entities[entity_id],MATCH('cust-code'!C280,entities[custom entity '#],0))&amp;":")</f>
        <v>#N/A</v>
      </c>
      <c r="G280" s="9" t="e">
        <f>IF(E280=0,"",
INDEX(entities[[line 1]:[line 4]],MATCH('cust-code'!C280,entities[custom entity '#],0),'cust-code'!E280))</f>
        <v>#N/A</v>
      </c>
      <c r="H280" s="9" t="str">
        <f t="shared" si="26"/>
        <v/>
      </c>
      <c r="I280" s="9" t="str">
        <f t="shared" si="27"/>
        <v/>
      </c>
    </row>
    <row r="281" spans="2:9" x14ac:dyDescent="0.45">
      <c r="B281" s="9">
        <f t="shared" si="25"/>
        <v>276</v>
      </c>
      <c r="C281" s="9" t="e">
        <f t="shared" si="28"/>
        <v>#N/A</v>
      </c>
      <c r="D281" s="22" t="e">
        <f>INDEX(entities[Custom Attributes],MATCH('cust-code'!C281,entities[custom entity '#],0))</f>
        <v>#N/A</v>
      </c>
      <c r="E281" s="22" t="e">
        <f t="shared" si="29"/>
        <v>#N/A</v>
      </c>
      <c r="F281" s="9" t="e">
        <f>IF(E281&gt;0,"",
INDEX(entities[entity_id],MATCH('cust-code'!C281,entities[custom entity '#],0))&amp;":")</f>
        <v>#N/A</v>
      </c>
      <c r="G281" s="9" t="e">
        <f>IF(E281=0,"",
INDEX(entities[[line 1]:[line 4]],MATCH('cust-code'!C281,entities[custom entity '#],0),'cust-code'!E281))</f>
        <v>#N/A</v>
      </c>
      <c r="H281" s="9" t="str">
        <f t="shared" si="26"/>
        <v/>
      </c>
      <c r="I281" s="9" t="str">
        <f t="shared" si="27"/>
        <v/>
      </c>
    </row>
    <row r="282" spans="2:9" x14ac:dyDescent="0.45">
      <c r="B282" s="9">
        <f t="shared" si="25"/>
        <v>277</v>
      </c>
      <c r="C282" s="9" t="e">
        <f t="shared" si="28"/>
        <v>#N/A</v>
      </c>
      <c r="D282" s="22" t="e">
        <f>INDEX(entities[Custom Attributes],MATCH('cust-code'!C282,entities[custom entity '#],0))</f>
        <v>#N/A</v>
      </c>
      <c r="E282" s="22" t="e">
        <f t="shared" si="29"/>
        <v>#N/A</v>
      </c>
      <c r="F282" s="9" t="e">
        <f>IF(E282&gt;0,"",
INDEX(entities[entity_id],MATCH('cust-code'!C282,entities[custom entity '#],0))&amp;":")</f>
        <v>#N/A</v>
      </c>
      <c r="G282" s="9" t="e">
        <f>IF(E282=0,"",
INDEX(entities[[line 1]:[line 4]],MATCH('cust-code'!C282,entities[custom entity '#],0),'cust-code'!E282))</f>
        <v>#N/A</v>
      </c>
      <c r="H282" s="9" t="str">
        <f t="shared" si="26"/>
        <v/>
      </c>
      <c r="I282" s="9" t="str">
        <f t="shared" si="27"/>
        <v/>
      </c>
    </row>
    <row r="283" spans="2:9" x14ac:dyDescent="0.45">
      <c r="B283" s="9">
        <f t="shared" si="25"/>
        <v>278</v>
      </c>
      <c r="C283" s="9" t="e">
        <f t="shared" si="28"/>
        <v>#N/A</v>
      </c>
      <c r="D283" s="22" t="e">
        <f>INDEX(entities[Custom Attributes],MATCH('cust-code'!C283,entities[custom entity '#],0))</f>
        <v>#N/A</v>
      </c>
      <c r="E283" s="22" t="e">
        <f t="shared" si="29"/>
        <v>#N/A</v>
      </c>
      <c r="F283" s="9" t="e">
        <f>IF(E283&gt;0,"",
INDEX(entities[entity_id],MATCH('cust-code'!C283,entities[custom entity '#],0))&amp;":")</f>
        <v>#N/A</v>
      </c>
      <c r="G283" s="9" t="e">
        <f>IF(E283=0,"",
INDEX(entities[[line 1]:[line 4]],MATCH('cust-code'!C283,entities[custom entity '#],0),'cust-code'!E283))</f>
        <v>#N/A</v>
      </c>
      <c r="H283" s="9" t="str">
        <f t="shared" si="26"/>
        <v/>
      </c>
      <c r="I283" s="9" t="str">
        <f t="shared" si="27"/>
        <v/>
      </c>
    </row>
    <row r="284" spans="2:9" x14ac:dyDescent="0.45">
      <c r="B284" s="9">
        <f t="shared" si="25"/>
        <v>279</v>
      </c>
      <c r="C284" s="9" t="e">
        <f t="shared" si="28"/>
        <v>#N/A</v>
      </c>
      <c r="D284" s="22" t="e">
        <f>INDEX(entities[Custom Attributes],MATCH('cust-code'!C284,entities[custom entity '#],0))</f>
        <v>#N/A</v>
      </c>
      <c r="E284" s="22" t="e">
        <f t="shared" si="29"/>
        <v>#N/A</v>
      </c>
      <c r="F284" s="9" t="e">
        <f>IF(E284&gt;0,"",
INDEX(entities[entity_id],MATCH('cust-code'!C284,entities[custom entity '#],0))&amp;":")</f>
        <v>#N/A</v>
      </c>
      <c r="G284" s="9" t="e">
        <f>IF(E284=0,"",
INDEX(entities[[line 1]:[line 4]],MATCH('cust-code'!C284,entities[custom entity '#],0),'cust-code'!E284))</f>
        <v>#N/A</v>
      </c>
      <c r="H284" s="9" t="str">
        <f t="shared" si="26"/>
        <v/>
      </c>
      <c r="I284" s="9" t="str">
        <f t="shared" si="27"/>
        <v/>
      </c>
    </row>
    <row r="285" spans="2:9" x14ac:dyDescent="0.45">
      <c r="B285" s="9">
        <f t="shared" si="25"/>
        <v>280</v>
      </c>
      <c r="C285" s="9" t="e">
        <f t="shared" si="28"/>
        <v>#N/A</v>
      </c>
      <c r="D285" s="22" t="e">
        <f>INDEX(entities[Custom Attributes],MATCH('cust-code'!C285,entities[custom entity '#],0))</f>
        <v>#N/A</v>
      </c>
      <c r="E285" s="22" t="e">
        <f t="shared" si="29"/>
        <v>#N/A</v>
      </c>
      <c r="F285" s="9" t="e">
        <f>IF(E285&gt;0,"",
INDEX(entities[entity_id],MATCH('cust-code'!C285,entities[custom entity '#],0))&amp;":")</f>
        <v>#N/A</v>
      </c>
      <c r="G285" s="9" t="e">
        <f>IF(E285=0,"",
INDEX(entities[[line 1]:[line 4]],MATCH('cust-code'!C285,entities[custom entity '#],0),'cust-code'!E285))</f>
        <v>#N/A</v>
      </c>
      <c r="H285" s="9" t="str">
        <f t="shared" si="26"/>
        <v/>
      </c>
      <c r="I285" s="9" t="str">
        <f t="shared" si="27"/>
        <v/>
      </c>
    </row>
    <row r="286" spans="2:9" x14ac:dyDescent="0.45">
      <c r="B286" s="9">
        <f t="shared" si="25"/>
        <v>281</v>
      </c>
      <c r="C286" s="9" t="e">
        <f t="shared" si="28"/>
        <v>#N/A</v>
      </c>
      <c r="D286" s="22" t="e">
        <f>INDEX(entities[Custom Attributes],MATCH('cust-code'!C286,entities[custom entity '#],0))</f>
        <v>#N/A</v>
      </c>
      <c r="E286" s="22" t="e">
        <f t="shared" si="29"/>
        <v>#N/A</v>
      </c>
      <c r="F286" s="9" t="e">
        <f>IF(E286&gt;0,"",
INDEX(entities[entity_id],MATCH('cust-code'!C286,entities[custom entity '#],0))&amp;":")</f>
        <v>#N/A</v>
      </c>
      <c r="G286" s="9" t="e">
        <f>IF(E286=0,"",
INDEX(entities[[line 1]:[line 4]],MATCH('cust-code'!C286,entities[custom entity '#],0),'cust-code'!E286))</f>
        <v>#N/A</v>
      </c>
      <c r="H286" s="9" t="str">
        <f t="shared" si="26"/>
        <v/>
      </c>
      <c r="I286" s="9" t="str">
        <f t="shared" si="27"/>
        <v/>
      </c>
    </row>
    <row r="287" spans="2:9" x14ac:dyDescent="0.45">
      <c r="B287" s="9">
        <f t="shared" si="25"/>
        <v>282</v>
      </c>
      <c r="C287" s="9" t="e">
        <f t="shared" si="28"/>
        <v>#N/A</v>
      </c>
      <c r="D287" s="22" t="e">
        <f>INDEX(entities[Custom Attributes],MATCH('cust-code'!C287,entities[custom entity '#],0))</f>
        <v>#N/A</v>
      </c>
      <c r="E287" s="22" t="e">
        <f t="shared" si="29"/>
        <v>#N/A</v>
      </c>
      <c r="F287" s="9" t="e">
        <f>IF(E287&gt;0,"",
INDEX(entities[entity_id],MATCH('cust-code'!C287,entities[custom entity '#],0))&amp;":")</f>
        <v>#N/A</v>
      </c>
      <c r="G287" s="9" t="e">
        <f>IF(E287=0,"",
INDEX(entities[[line 1]:[line 4]],MATCH('cust-code'!C287,entities[custom entity '#],0),'cust-code'!E287))</f>
        <v>#N/A</v>
      </c>
      <c r="H287" s="9" t="str">
        <f t="shared" si="26"/>
        <v/>
      </c>
      <c r="I287" s="9" t="str">
        <f t="shared" si="27"/>
        <v/>
      </c>
    </row>
    <row r="288" spans="2:9" x14ac:dyDescent="0.45">
      <c r="B288" s="9">
        <f t="shared" si="25"/>
        <v>283</v>
      </c>
      <c r="C288" s="9" t="e">
        <f t="shared" si="28"/>
        <v>#N/A</v>
      </c>
      <c r="D288" s="22" t="e">
        <f>INDEX(entities[Custom Attributes],MATCH('cust-code'!C288,entities[custom entity '#],0))</f>
        <v>#N/A</v>
      </c>
      <c r="E288" s="22" t="e">
        <f t="shared" si="29"/>
        <v>#N/A</v>
      </c>
      <c r="F288" s="9" t="e">
        <f>IF(E288&gt;0,"",
INDEX(entities[entity_id],MATCH('cust-code'!C288,entities[custom entity '#],0))&amp;":")</f>
        <v>#N/A</v>
      </c>
      <c r="G288" s="9" t="e">
        <f>IF(E288=0,"",
INDEX(entities[[line 1]:[line 4]],MATCH('cust-code'!C288,entities[custom entity '#],0),'cust-code'!E288))</f>
        <v>#N/A</v>
      </c>
      <c r="H288" s="9" t="str">
        <f t="shared" si="26"/>
        <v/>
      </c>
      <c r="I288" s="9" t="str">
        <f t="shared" si="27"/>
        <v/>
      </c>
    </row>
    <row r="289" spans="2:9" x14ac:dyDescent="0.45">
      <c r="B289" s="9">
        <f t="shared" si="25"/>
        <v>284</v>
      </c>
      <c r="C289" s="9" t="e">
        <f t="shared" si="28"/>
        <v>#N/A</v>
      </c>
      <c r="D289" s="22" t="e">
        <f>INDEX(entities[Custom Attributes],MATCH('cust-code'!C289,entities[custom entity '#],0))</f>
        <v>#N/A</v>
      </c>
      <c r="E289" s="22" t="e">
        <f t="shared" si="29"/>
        <v>#N/A</v>
      </c>
      <c r="F289" s="9" t="e">
        <f>IF(E289&gt;0,"",
INDEX(entities[entity_id],MATCH('cust-code'!C289,entities[custom entity '#],0))&amp;":")</f>
        <v>#N/A</v>
      </c>
      <c r="G289" s="9" t="e">
        <f>IF(E289=0,"",
INDEX(entities[[line 1]:[line 4]],MATCH('cust-code'!C289,entities[custom entity '#],0),'cust-code'!E289))</f>
        <v>#N/A</v>
      </c>
      <c r="H289" s="9" t="str">
        <f t="shared" si="26"/>
        <v/>
      </c>
      <c r="I289" s="9" t="str">
        <f t="shared" si="27"/>
        <v/>
      </c>
    </row>
    <row r="290" spans="2:9" x14ac:dyDescent="0.45">
      <c r="B290" s="9">
        <f t="shared" si="25"/>
        <v>285</v>
      </c>
      <c r="C290" s="9" t="e">
        <f t="shared" si="28"/>
        <v>#N/A</v>
      </c>
      <c r="D290" s="22" t="e">
        <f>INDEX(entities[Custom Attributes],MATCH('cust-code'!C290,entities[custom entity '#],0))</f>
        <v>#N/A</v>
      </c>
      <c r="E290" s="22" t="e">
        <f t="shared" si="29"/>
        <v>#N/A</v>
      </c>
      <c r="F290" s="9" t="e">
        <f>IF(E290&gt;0,"",
INDEX(entities[entity_id],MATCH('cust-code'!C290,entities[custom entity '#],0))&amp;":")</f>
        <v>#N/A</v>
      </c>
      <c r="G290" s="9" t="e">
        <f>IF(E290=0,"",
INDEX(entities[[line 1]:[line 4]],MATCH('cust-code'!C290,entities[custom entity '#],0),'cust-code'!E290))</f>
        <v>#N/A</v>
      </c>
      <c r="H290" s="9" t="str">
        <f t="shared" si="26"/>
        <v/>
      </c>
      <c r="I290" s="9" t="str">
        <f t="shared" si="27"/>
        <v/>
      </c>
    </row>
    <row r="291" spans="2:9" x14ac:dyDescent="0.45">
      <c r="B291" s="9">
        <f t="shared" si="25"/>
        <v>286</v>
      </c>
      <c r="C291" s="9" t="e">
        <f t="shared" si="28"/>
        <v>#N/A</v>
      </c>
      <c r="D291" s="22" t="e">
        <f>INDEX(entities[Custom Attributes],MATCH('cust-code'!C291,entities[custom entity '#],0))</f>
        <v>#N/A</v>
      </c>
      <c r="E291" s="22" t="e">
        <f t="shared" si="29"/>
        <v>#N/A</v>
      </c>
      <c r="F291" s="9" t="e">
        <f>IF(E291&gt;0,"",
INDEX(entities[entity_id],MATCH('cust-code'!C291,entities[custom entity '#],0))&amp;":")</f>
        <v>#N/A</v>
      </c>
      <c r="G291" s="9" t="e">
        <f>IF(E291=0,"",
INDEX(entities[[line 1]:[line 4]],MATCH('cust-code'!C291,entities[custom entity '#],0),'cust-code'!E291))</f>
        <v>#N/A</v>
      </c>
      <c r="H291" s="9" t="str">
        <f t="shared" si="26"/>
        <v/>
      </c>
      <c r="I291" s="9" t="str">
        <f t="shared" si="27"/>
        <v/>
      </c>
    </row>
    <row r="292" spans="2:9" x14ac:dyDescent="0.45">
      <c r="B292" s="9">
        <f t="shared" si="25"/>
        <v>287</v>
      </c>
      <c r="C292" s="9" t="e">
        <f t="shared" si="28"/>
        <v>#N/A</v>
      </c>
      <c r="D292" s="22" t="e">
        <f>INDEX(entities[Custom Attributes],MATCH('cust-code'!C292,entities[custom entity '#],0))</f>
        <v>#N/A</v>
      </c>
      <c r="E292" s="22" t="e">
        <f t="shared" si="29"/>
        <v>#N/A</v>
      </c>
      <c r="F292" s="9" t="e">
        <f>IF(E292&gt;0,"",
INDEX(entities[entity_id],MATCH('cust-code'!C292,entities[custom entity '#],0))&amp;":")</f>
        <v>#N/A</v>
      </c>
      <c r="G292" s="9" t="e">
        <f>IF(E292=0,"",
INDEX(entities[[line 1]:[line 4]],MATCH('cust-code'!C292,entities[custom entity '#],0),'cust-code'!E292))</f>
        <v>#N/A</v>
      </c>
      <c r="H292" s="9" t="str">
        <f t="shared" si="26"/>
        <v/>
      </c>
      <c r="I292" s="9" t="str">
        <f t="shared" si="27"/>
        <v/>
      </c>
    </row>
    <row r="293" spans="2:9" x14ac:dyDescent="0.45">
      <c r="B293" s="9">
        <f t="shared" si="25"/>
        <v>288</v>
      </c>
      <c r="C293" s="9" t="e">
        <f t="shared" si="28"/>
        <v>#N/A</v>
      </c>
      <c r="D293" s="22" t="e">
        <f>INDEX(entities[Custom Attributes],MATCH('cust-code'!C293,entities[custom entity '#],0))</f>
        <v>#N/A</v>
      </c>
      <c r="E293" s="22" t="e">
        <f t="shared" si="29"/>
        <v>#N/A</v>
      </c>
      <c r="F293" s="9" t="e">
        <f>IF(E293&gt;0,"",
INDEX(entities[entity_id],MATCH('cust-code'!C293,entities[custom entity '#],0))&amp;":")</f>
        <v>#N/A</v>
      </c>
      <c r="G293" s="9" t="e">
        <f>IF(E293=0,"",
INDEX(entities[[line 1]:[line 4]],MATCH('cust-code'!C293,entities[custom entity '#],0),'cust-code'!E293))</f>
        <v>#N/A</v>
      </c>
      <c r="H293" s="9" t="str">
        <f t="shared" si="26"/>
        <v/>
      </c>
      <c r="I293" s="9" t="str">
        <f t="shared" si="27"/>
        <v/>
      </c>
    </row>
    <row r="294" spans="2:9" x14ac:dyDescent="0.45">
      <c r="B294" s="9">
        <f t="shared" si="25"/>
        <v>289</v>
      </c>
      <c r="C294" s="9" t="e">
        <f t="shared" si="28"/>
        <v>#N/A</v>
      </c>
      <c r="D294" s="22" t="e">
        <f>INDEX(entities[Custom Attributes],MATCH('cust-code'!C294,entities[custom entity '#],0))</f>
        <v>#N/A</v>
      </c>
      <c r="E294" s="22" t="e">
        <f t="shared" si="29"/>
        <v>#N/A</v>
      </c>
      <c r="F294" s="9" t="e">
        <f>IF(E294&gt;0,"",
INDEX(entities[entity_id],MATCH('cust-code'!C294,entities[custom entity '#],0))&amp;":")</f>
        <v>#N/A</v>
      </c>
      <c r="G294" s="9" t="e">
        <f>IF(E294=0,"",
INDEX(entities[[line 1]:[line 4]],MATCH('cust-code'!C294,entities[custom entity '#],0),'cust-code'!E294))</f>
        <v>#N/A</v>
      </c>
      <c r="H294" s="9" t="str">
        <f t="shared" si="26"/>
        <v/>
      </c>
      <c r="I294" s="9" t="str">
        <f t="shared" si="27"/>
        <v/>
      </c>
    </row>
    <row r="295" spans="2:9" x14ac:dyDescent="0.45">
      <c r="B295" s="9">
        <f t="shared" si="25"/>
        <v>290</v>
      </c>
      <c r="C295" s="9" t="e">
        <f t="shared" si="28"/>
        <v>#N/A</v>
      </c>
      <c r="D295" s="22" t="e">
        <f>INDEX(entities[Custom Attributes],MATCH('cust-code'!C295,entities[custom entity '#],0))</f>
        <v>#N/A</v>
      </c>
      <c r="E295" s="22" t="e">
        <f t="shared" si="29"/>
        <v>#N/A</v>
      </c>
      <c r="F295" s="9" t="e">
        <f>IF(E295&gt;0,"",
INDEX(entities[entity_id],MATCH('cust-code'!C295,entities[custom entity '#],0))&amp;":")</f>
        <v>#N/A</v>
      </c>
      <c r="G295" s="9" t="e">
        <f>IF(E295=0,"",
INDEX(entities[[line 1]:[line 4]],MATCH('cust-code'!C295,entities[custom entity '#],0),'cust-code'!E295))</f>
        <v>#N/A</v>
      </c>
      <c r="H295" s="9" t="str">
        <f t="shared" si="26"/>
        <v/>
      </c>
      <c r="I295" s="9" t="str">
        <f t="shared" si="27"/>
        <v/>
      </c>
    </row>
    <row r="296" spans="2:9" x14ac:dyDescent="0.45">
      <c r="B296" s="9">
        <f t="shared" si="25"/>
        <v>291</v>
      </c>
      <c r="C296" s="9" t="e">
        <f t="shared" si="28"/>
        <v>#N/A</v>
      </c>
      <c r="D296" s="22" t="e">
        <f>INDEX(entities[Custom Attributes],MATCH('cust-code'!C296,entities[custom entity '#],0))</f>
        <v>#N/A</v>
      </c>
      <c r="E296" s="22" t="e">
        <f t="shared" si="29"/>
        <v>#N/A</v>
      </c>
      <c r="F296" s="9" t="e">
        <f>IF(E296&gt;0,"",
INDEX(entities[entity_id],MATCH('cust-code'!C296,entities[custom entity '#],0))&amp;":")</f>
        <v>#N/A</v>
      </c>
      <c r="G296" s="9" t="e">
        <f>IF(E296=0,"",
INDEX(entities[[line 1]:[line 4]],MATCH('cust-code'!C296,entities[custom entity '#],0),'cust-code'!E296))</f>
        <v>#N/A</v>
      </c>
      <c r="H296" s="9" t="str">
        <f t="shared" si="26"/>
        <v/>
      </c>
      <c r="I296" s="9" t="str">
        <f t="shared" si="27"/>
        <v/>
      </c>
    </row>
    <row r="297" spans="2:9" x14ac:dyDescent="0.45">
      <c r="B297" s="9">
        <f t="shared" si="25"/>
        <v>292</v>
      </c>
      <c r="C297" s="9" t="e">
        <f t="shared" si="28"/>
        <v>#N/A</v>
      </c>
      <c r="D297" s="22" t="e">
        <f>INDEX(entities[Custom Attributes],MATCH('cust-code'!C297,entities[custom entity '#],0))</f>
        <v>#N/A</v>
      </c>
      <c r="E297" s="22" t="e">
        <f t="shared" si="29"/>
        <v>#N/A</v>
      </c>
      <c r="F297" s="9" t="e">
        <f>IF(E297&gt;0,"",
INDEX(entities[entity_id],MATCH('cust-code'!C297,entities[custom entity '#],0))&amp;":")</f>
        <v>#N/A</v>
      </c>
      <c r="G297" s="9" t="e">
        <f>IF(E297=0,"",
INDEX(entities[[line 1]:[line 4]],MATCH('cust-code'!C297,entities[custom entity '#],0),'cust-code'!E297))</f>
        <v>#N/A</v>
      </c>
      <c r="H297" s="9" t="str">
        <f t="shared" si="26"/>
        <v/>
      </c>
      <c r="I297" s="9" t="str">
        <f t="shared" si="27"/>
        <v/>
      </c>
    </row>
    <row r="298" spans="2:9" x14ac:dyDescent="0.45">
      <c r="B298" s="9">
        <f t="shared" si="25"/>
        <v>293</v>
      </c>
      <c r="C298" s="9" t="e">
        <f t="shared" si="28"/>
        <v>#N/A</v>
      </c>
      <c r="D298" s="22" t="e">
        <f>INDEX(entities[Custom Attributes],MATCH('cust-code'!C298,entities[custom entity '#],0))</f>
        <v>#N/A</v>
      </c>
      <c r="E298" s="22" t="e">
        <f t="shared" si="29"/>
        <v>#N/A</v>
      </c>
      <c r="F298" s="9" t="e">
        <f>IF(E298&gt;0,"",
INDEX(entities[entity_id],MATCH('cust-code'!C298,entities[custom entity '#],0))&amp;":")</f>
        <v>#N/A</v>
      </c>
      <c r="G298" s="9" t="e">
        <f>IF(E298=0,"",
INDEX(entities[[line 1]:[line 4]],MATCH('cust-code'!C298,entities[custom entity '#],0),'cust-code'!E298))</f>
        <v>#N/A</v>
      </c>
      <c r="H298" s="9" t="str">
        <f t="shared" si="26"/>
        <v/>
      </c>
      <c r="I298" s="9" t="str">
        <f t="shared" si="27"/>
        <v/>
      </c>
    </row>
    <row r="299" spans="2:9" x14ac:dyDescent="0.45">
      <c r="B299" s="9">
        <f t="shared" si="25"/>
        <v>294</v>
      </c>
      <c r="C299" s="9" t="e">
        <f t="shared" si="28"/>
        <v>#N/A</v>
      </c>
      <c r="D299" s="22" t="e">
        <f>INDEX(entities[Custom Attributes],MATCH('cust-code'!C299,entities[custom entity '#],0))</f>
        <v>#N/A</v>
      </c>
      <c r="E299" s="22" t="e">
        <f t="shared" si="29"/>
        <v>#N/A</v>
      </c>
      <c r="F299" s="9" t="e">
        <f>IF(E299&gt;0,"",
INDEX(entities[entity_id],MATCH('cust-code'!C299,entities[custom entity '#],0))&amp;":")</f>
        <v>#N/A</v>
      </c>
      <c r="G299" s="9" t="e">
        <f>IF(E299=0,"",
INDEX(entities[[line 1]:[line 4]],MATCH('cust-code'!C299,entities[custom entity '#],0),'cust-code'!E299))</f>
        <v>#N/A</v>
      </c>
      <c r="H299" s="9" t="str">
        <f t="shared" si="26"/>
        <v/>
      </c>
      <c r="I299" s="9" t="str">
        <f t="shared" si="27"/>
        <v/>
      </c>
    </row>
    <row r="300" spans="2:9" x14ac:dyDescent="0.45">
      <c r="B300" s="9">
        <f t="shared" si="25"/>
        <v>295</v>
      </c>
      <c r="C300" s="9" t="e">
        <f t="shared" si="28"/>
        <v>#N/A</v>
      </c>
      <c r="D300" s="22" t="e">
        <f>INDEX(entities[Custom Attributes],MATCH('cust-code'!C300,entities[custom entity '#],0))</f>
        <v>#N/A</v>
      </c>
      <c r="E300" s="22" t="e">
        <f t="shared" si="29"/>
        <v>#N/A</v>
      </c>
      <c r="F300" s="9" t="e">
        <f>IF(E300&gt;0,"",
INDEX(entities[entity_id],MATCH('cust-code'!C300,entities[custom entity '#],0))&amp;":")</f>
        <v>#N/A</v>
      </c>
      <c r="G300" s="9" t="e">
        <f>IF(E300=0,"",
INDEX(entities[[line 1]:[line 4]],MATCH('cust-code'!C300,entities[custom entity '#],0),'cust-code'!E300))</f>
        <v>#N/A</v>
      </c>
      <c r="H300" s="9" t="str">
        <f t="shared" si="26"/>
        <v/>
      </c>
      <c r="I300" s="9" t="str">
        <f t="shared" si="27"/>
        <v/>
      </c>
    </row>
    <row r="301" spans="2:9" x14ac:dyDescent="0.45">
      <c r="B301" s="9">
        <f t="shared" si="25"/>
        <v>296</v>
      </c>
      <c r="C301" s="9" t="e">
        <f t="shared" si="28"/>
        <v>#N/A</v>
      </c>
      <c r="D301" s="22" t="e">
        <f>INDEX(entities[Custom Attributes],MATCH('cust-code'!C301,entities[custom entity '#],0))</f>
        <v>#N/A</v>
      </c>
      <c r="E301" s="22" t="e">
        <f t="shared" si="29"/>
        <v>#N/A</v>
      </c>
      <c r="F301" s="9" t="e">
        <f>IF(E301&gt;0,"",
INDEX(entities[entity_id],MATCH('cust-code'!C301,entities[custom entity '#],0))&amp;":")</f>
        <v>#N/A</v>
      </c>
      <c r="G301" s="9" t="e">
        <f>IF(E301=0,"",
INDEX(entities[[line 1]:[line 4]],MATCH('cust-code'!C301,entities[custom entity '#],0),'cust-code'!E301))</f>
        <v>#N/A</v>
      </c>
      <c r="H301" s="9" t="str">
        <f t="shared" si="26"/>
        <v/>
      </c>
      <c r="I301" s="9" t="str">
        <f t="shared" si="27"/>
        <v/>
      </c>
    </row>
    <row r="302" spans="2:9" x14ac:dyDescent="0.45">
      <c r="B302" s="9">
        <f t="shared" si="25"/>
        <v>297</v>
      </c>
      <c r="C302" s="9" t="e">
        <f t="shared" si="28"/>
        <v>#N/A</v>
      </c>
      <c r="D302" s="22" t="e">
        <f>INDEX(entities[Custom Attributes],MATCH('cust-code'!C302,entities[custom entity '#],0))</f>
        <v>#N/A</v>
      </c>
      <c r="E302" s="22" t="e">
        <f t="shared" si="29"/>
        <v>#N/A</v>
      </c>
      <c r="F302" s="9" t="e">
        <f>IF(E302&gt;0,"",
INDEX(entities[entity_id],MATCH('cust-code'!C302,entities[custom entity '#],0))&amp;":")</f>
        <v>#N/A</v>
      </c>
      <c r="G302" s="9" t="e">
        <f>IF(E302=0,"",
INDEX(entities[[line 1]:[line 4]],MATCH('cust-code'!C302,entities[custom entity '#],0),'cust-code'!E302))</f>
        <v>#N/A</v>
      </c>
      <c r="H302" s="9" t="str">
        <f t="shared" si="26"/>
        <v/>
      </c>
      <c r="I302" s="9" t="str">
        <f t="shared" si="27"/>
        <v/>
      </c>
    </row>
    <row r="303" spans="2:9" x14ac:dyDescent="0.45">
      <c r="B303" s="9">
        <f t="shared" si="25"/>
        <v>298</v>
      </c>
      <c r="C303" s="9" t="e">
        <f t="shared" si="28"/>
        <v>#N/A</v>
      </c>
      <c r="D303" s="22" t="e">
        <f>INDEX(entities[Custom Attributes],MATCH('cust-code'!C303,entities[custom entity '#],0))</f>
        <v>#N/A</v>
      </c>
      <c r="E303" s="22" t="e">
        <f t="shared" si="29"/>
        <v>#N/A</v>
      </c>
      <c r="F303" s="9" t="e">
        <f>IF(E303&gt;0,"",
INDEX(entities[entity_id],MATCH('cust-code'!C303,entities[custom entity '#],0))&amp;":")</f>
        <v>#N/A</v>
      </c>
      <c r="G303" s="9" t="e">
        <f>IF(E303=0,"",
INDEX(entities[[line 1]:[line 4]],MATCH('cust-code'!C303,entities[custom entity '#],0),'cust-code'!E303))</f>
        <v>#N/A</v>
      </c>
      <c r="H303" s="9" t="str">
        <f t="shared" si="26"/>
        <v/>
      </c>
      <c r="I303" s="9" t="str">
        <f t="shared" si="27"/>
        <v/>
      </c>
    </row>
    <row r="304" spans="2:9" x14ac:dyDescent="0.45">
      <c r="B304" s="9">
        <f t="shared" si="25"/>
        <v>299</v>
      </c>
      <c r="C304" s="9" t="e">
        <f t="shared" si="28"/>
        <v>#N/A</v>
      </c>
      <c r="D304" s="22" t="e">
        <f>INDEX(entities[Custom Attributes],MATCH('cust-code'!C304,entities[custom entity '#],0))</f>
        <v>#N/A</v>
      </c>
      <c r="E304" s="22" t="e">
        <f t="shared" si="29"/>
        <v>#N/A</v>
      </c>
      <c r="F304" s="9" t="e">
        <f>IF(E304&gt;0,"",
INDEX(entities[entity_id],MATCH('cust-code'!C304,entities[custom entity '#],0))&amp;":")</f>
        <v>#N/A</v>
      </c>
      <c r="G304" s="9" t="e">
        <f>IF(E304=0,"",
INDEX(entities[[line 1]:[line 4]],MATCH('cust-code'!C304,entities[custom entity '#],0),'cust-code'!E304))</f>
        <v>#N/A</v>
      </c>
      <c r="H304" s="9" t="str">
        <f t="shared" si="26"/>
        <v/>
      </c>
      <c r="I304" s="9" t="str">
        <f t="shared" si="27"/>
        <v/>
      </c>
    </row>
    <row r="305" spans="2:9" x14ac:dyDescent="0.45">
      <c r="B305" s="9">
        <f t="shared" si="25"/>
        <v>300</v>
      </c>
      <c r="C305" s="9" t="e">
        <f t="shared" si="28"/>
        <v>#N/A</v>
      </c>
      <c r="D305" s="22" t="e">
        <f>INDEX(entities[Custom Attributes],MATCH('cust-code'!C305,entities[custom entity '#],0))</f>
        <v>#N/A</v>
      </c>
      <c r="E305" s="22" t="e">
        <f t="shared" si="29"/>
        <v>#N/A</v>
      </c>
      <c r="F305" s="9" t="e">
        <f>IF(E305&gt;0,"",
INDEX(entities[entity_id],MATCH('cust-code'!C305,entities[custom entity '#],0))&amp;":")</f>
        <v>#N/A</v>
      </c>
      <c r="G305" s="9" t="e">
        <f>IF(E305=0,"",
INDEX(entities[[line 1]:[line 4]],MATCH('cust-code'!C305,entities[custom entity '#],0),'cust-code'!E305))</f>
        <v>#N/A</v>
      </c>
      <c r="H305" s="9" t="str">
        <f t="shared" si="26"/>
        <v/>
      </c>
      <c r="I305" s="9" t="str">
        <f t="shared" si="27"/>
        <v/>
      </c>
    </row>
    <row r="306" spans="2:9" x14ac:dyDescent="0.45">
      <c r="B306" s="9">
        <f t="shared" si="25"/>
        <v>301</v>
      </c>
      <c r="C306" s="9" t="e">
        <f t="shared" si="28"/>
        <v>#N/A</v>
      </c>
      <c r="D306" s="22" t="e">
        <f>INDEX(entities[Custom Attributes],MATCH('cust-code'!C306,entities[custom entity '#],0))</f>
        <v>#N/A</v>
      </c>
      <c r="E306" s="22" t="e">
        <f t="shared" si="29"/>
        <v>#N/A</v>
      </c>
      <c r="F306" s="9" t="e">
        <f>IF(E306&gt;0,"",
INDEX(entities[entity_id],MATCH('cust-code'!C306,entities[custom entity '#],0))&amp;":")</f>
        <v>#N/A</v>
      </c>
      <c r="G306" s="9" t="e">
        <f>IF(E306=0,"",
INDEX(entities[[line 1]:[line 4]],MATCH('cust-code'!C306,entities[custom entity '#],0),'cust-code'!E306))</f>
        <v>#N/A</v>
      </c>
      <c r="H306" s="9" t="str">
        <f t="shared" si="26"/>
        <v/>
      </c>
      <c r="I306" s="9" t="str">
        <f t="shared" si="27"/>
        <v/>
      </c>
    </row>
    <row r="307" spans="2:9" x14ac:dyDescent="0.45">
      <c r="B307" s="9">
        <f t="shared" si="25"/>
        <v>302</v>
      </c>
      <c r="C307" s="9" t="e">
        <f t="shared" si="28"/>
        <v>#N/A</v>
      </c>
      <c r="D307" s="22" t="e">
        <f>INDEX(entities[Custom Attributes],MATCH('cust-code'!C307,entities[custom entity '#],0))</f>
        <v>#N/A</v>
      </c>
      <c r="E307" s="22" t="e">
        <f t="shared" si="29"/>
        <v>#N/A</v>
      </c>
      <c r="F307" s="9" t="e">
        <f>IF(E307&gt;0,"",
INDEX(entities[entity_id],MATCH('cust-code'!C307,entities[custom entity '#],0))&amp;":")</f>
        <v>#N/A</v>
      </c>
      <c r="G307" s="9" t="e">
        <f>IF(E307=0,"",
INDEX(entities[[line 1]:[line 4]],MATCH('cust-code'!C307,entities[custom entity '#],0),'cust-code'!E307))</f>
        <v>#N/A</v>
      </c>
      <c r="H307" s="9" t="str">
        <f t="shared" si="26"/>
        <v/>
      </c>
      <c r="I307" s="9" t="str">
        <f t="shared" si="27"/>
        <v/>
      </c>
    </row>
    <row r="308" spans="2:9" x14ac:dyDescent="0.45">
      <c r="B308" s="9">
        <f t="shared" si="25"/>
        <v>303</v>
      </c>
      <c r="C308" s="9" t="e">
        <f t="shared" si="28"/>
        <v>#N/A</v>
      </c>
      <c r="D308" s="22" t="e">
        <f>INDEX(entities[Custom Attributes],MATCH('cust-code'!C308,entities[custom entity '#],0))</f>
        <v>#N/A</v>
      </c>
      <c r="E308" s="22" t="e">
        <f t="shared" si="29"/>
        <v>#N/A</v>
      </c>
      <c r="F308" s="9" t="e">
        <f>IF(E308&gt;0,"",
INDEX(entities[entity_id],MATCH('cust-code'!C308,entities[custom entity '#],0))&amp;":")</f>
        <v>#N/A</v>
      </c>
      <c r="G308" s="9" t="e">
        <f>IF(E308=0,"",
INDEX(entities[[line 1]:[line 4]],MATCH('cust-code'!C308,entities[custom entity '#],0),'cust-code'!E308))</f>
        <v>#N/A</v>
      </c>
      <c r="H308" s="9" t="str">
        <f t="shared" si="26"/>
        <v/>
      </c>
      <c r="I308" s="9" t="str">
        <f t="shared" si="27"/>
        <v/>
      </c>
    </row>
    <row r="309" spans="2:9" x14ac:dyDescent="0.45">
      <c r="B309" s="9">
        <f t="shared" si="25"/>
        <v>304</v>
      </c>
      <c r="C309" s="9" t="e">
        <f t="shared" si="28"/>
        <v>#N/A</v>
      </c>
      <c r="D309" s="22" t="e">
        <f>INDEX(entities[Custom Attributes],MATCH('cust-code'!C309,entities[custom entity '#],0))</f>
        <v>#N/A</v>
      </c>
      <c r="E309" s="22" t="e">
        <f t="shared" si="29"/>
        <v>#N/A</v>
      </c>
      <c r="F309" s="9" t="e">
        <f>IF(E309&gt;0,"",
INDEX(entities[entity_id],MATCH('cust-code'!C309,entities[custom entity '#],0))&amp;":")</f>
        <v>#N/A</v>
      </c>
      <c r="G309" s="9" t="e">
        <f>IF(E309=0,"",
INDEX(entities[[line 1]:[line 4]],MATCH('cust-code'!C309,entities[custom entity '#],0),'cust-code'!E309))</f>
        <v>#N/A</v>
      </c>
      <c r="H309" s="9" t="str">
        <f t="shared" si="26"/>
        <v/>
      </c>
      <c r="I309" s="9" t="str">
        <f t="shared" si="27"/>
        <v/>
      </c>
    </row>
    <row r="310" spans="2:9" x14ac:dyDescent="0.45">
      <c r="B310" s="9">
        <f t="shared" si="25"/>
        <v>305</v>
      </c>
      <c r="C310" s="9" t="e">
        <f t="shared" si="28"/>
        <v>#N/A</v>
      </c>
      <c r="D310" s="22" t="e">
        <f>INDEX(entities[Custom Attributes],MATCH('cust-code'!C310,entities[custom entity '#],0))</f>
        <v>#N/A</v>
      </c>
      <c r="E310" s="22" t="e">
        <f t="shared" si="29"/>
        <v>#N/A</v>
      </c>
      <c r="F310" s="9" t="e">
        <f>IF(E310&gt;0,"",
INDEX(entities[entity_id],MATCH('cust-code'!C310,entities[custom entity '#],0))&amp;":")</f>
        <v>#N/A</v>
      </c>
      <c r="G310" s="9" t="e">
        <f>IF(E310=0,"",
INDEX(entities[[line 1]:[line 4]],MATCH('cust-code'!C310,entities[custom entity '#],0),'cust-code'!E310))</f>
        <v>#N/A</v>
      </c>
      <c r="H310" s="9" t="str">
        <f t="shared" si="26"/>
        <v/>
      </c>
      <c r="I310" s="9" t="str">
        <f t="shared" si="27"/>
        <v/>
      </c>
    </row>
    <row r="311" spans="2:9" x14ac:dyDescent="0.45">
      <c r="B311" s="9">
        <f t="shared" si="25"/>
        <v>306</v>
      </c>
      <c r="C311" s="9" t="e">
        <f t="shared" si="28"/>
        <v>#N/A</v>
      </c>
      <c r="D311" s="22" t="e">
        <f>INDEX(entities[Custom Attributes],MATCH('cust-code'!C311,entities[custom entity '#],0))</f>
        <v>#N/A</v>
      </c>
      <c r="E311" s="22" t="e">
        <f t="shared" si="29"/>
        <v>#N/A</v>
      </c>
      <c r="F311" s="9" t="e">
        <f>IF(E311&gt;0,"",
INDEX(entities[entity_id],MATCH('cust-code'!C311,entities[custom entity '#],0))&amp;":")</f>
        <v>#N/A</v>
      </c>
      <c r="G311" s="9" t="e">
        <f>IF(E311=0,"",
INDEX(entities[[line 1]:[line 4]],MATCH('cust-code'!C311,entities[custom entity '#],0),'cust-code'!E311))</f>
        <v>#N/A</v>
      </c>
      <c r="H311" s="9" t="str">
        <f t="shared" si="26"/>
        <v/>
      </c>
      <c r="I311" s="9" t="str">
        <f t="shared" si="27"/>
        <v/>
      </c>
    </row>
    <row r="312" spans="2:9" x14ac:dyDescent="0.45">
      <c r="B312" s="9">
        <f t="shared" si="25"/>
        <v>307</v>
      </c>
      <c r="C312" s="9" t="e">
        <f t="shared" si="28"/>
        <v>#N/A</v>
      </c>
      <c r="D312" s="22" t="e">
        <f>INDEX(entities[Custom Attributes],MATCH('cust-code'!C312,entities[custom entity '#],0))</f>
        <v>#N/A</v>
      </c>
      <c r="E312" s="22" t="e">
        <f t="shared" si="29"/>
        <v>#N/A</v>
      </c>
      <c r="F312" s="9" t="e">
        <f>IF(E312&gt;0,"",
INDEX(entities[entity_id],MATCH('cust-code'!C312,entities[custom entity '#],0))&amp;":")</f>
        <v>#N/A</v>
      </c>
      <c r="G312" s="9" t="e">
        <f>IF(E312=0,"",
INDEX(entities[[line 1]:[line 4]],MATCH('cust-code'!C312,entities[custom entity '#],0),'cust-code'!E312))</f>
        <v>#N/A</v>
      </c>
      <c r="H312" s="9" t="str">
        <f t="shared" si="26"/>
        <v/>
      </c>
      <c r="I312" s="9" t="str">
        <f t="shared" si="27"/>
        <v/>
      </c>
    </row>
    <row r="313" spans="2:9" x14ac:dyDescent="0.45">
      <c r="B313" s="9">
        <f t="shared" si="25"/>
        <v>308</v>
      </c>
      <c r="C313" s="9" t="e">
        <f t="shared" si="28"/>
        <v>#N/A</v>
      </c>
      <c r="D313" s="22" t="e">
        <f>INDEX(entities[Custom Attributes],MATCH('cust-code'!C313,entities[custom entity '#],0))</f>
        <v>#N/A</v>
      </c>
      <c r="E313" s="22" t="e">
        <f t="shared" si="29"/>
        <v>#N/A</v>
      </c>
      <c r="F313" s="9" t="e">
        <f>IF(E313&gt;0,"",
INDEX(entities[entity_id],MATCH('cust-code'!C313,entities[custom entity '#],0))&amp;":")</f>
        <v>#N/A</v>
      </c>
      <c r="G313" s="9" t="e">
        <f>IF(E313=0,"",
INDEX(entities[[line 1]:[line 4]],MATCH('cust-code'!C313,entities[custom entity '#],0),'cust-code'!E313))</f>
        <v>#N/A</v>
      </c>
      <c r="H313" s="9" t="str">
        <f t="shared" si="26"/>
        <v/>
      </c>
      <c r="I313" s="9" t="str">
        <f t="shared" si="27"/>
        <v/>
      </c>
    </row>
    <row r="314" spans="2:9" x14ac:dyDescent="0.45">
      <c r="B314" s="9">
        <f t="shared" si="25"/>
        <v>309</v>
      </c>
      <c r="C314" s="9" t="e">
        <f t="shared" si="28"/>
        <v>#N/A</v>
      </c>
      <c r="D314" s="22" t="e">
        <f>INDEX(entities[Custom Attributes],MATCH('cust-code'!C314,entities[custom entity '#],0))</f>
        <v>#N/A</v>
      </c>
      <c r="E314" s="22" t="e">
        <f t="shared" si="29"/>
        <v>#N/A</v>
      </c>
      <c r="F314" s="9" t="e">
        <f>IF(E314&gt;0,"",
INDEX(entities[entity_id],MATCH('cust-code'!C314,entities[custom entity '#],0))&amp;":")</f>
        <v>#N/A</v>
      </c>
      <c r="G314" s="9" t="e">
        <f>IF(E314=0,"",
INDEX(entities[[line 1]:[line 4]],MATCH('cust-code'!C314,entities[custom entity '#],0),'cust-code'!E314))</f>
        <v>#N/A</v>
      </c>
      <c r="H314" s="9" t="str">
        <f t="shared" si="26"/>
        <v/>
      </c>
      <c r="I314" s="9" t="str">
        <f t="shared" si="27"/>
        <v/>
      </c>
    </row>
    <row r="315" spans="2:9" x14ac:dyDescent="0.45">
      <c r="B315" s="9">
        <f t="shared" si="25"/>
        <v>310</v>
      </c>
      <c r="C315" s="9" t="e">
        <f t="shared" si="28"/>
        <v>#N/A</v>
      </c>
      <c r="D315" s="22" t="e">
        <f>INDEX(entities[Custom Attributes],MATCH('cust-code'!C315,entities[custom entity '#],0))</f>
        <v>#N/A</v>
      </c>
      <c r="E315" s="22" t="e">
        <f t="shared" si="29"/>
        <v>#N/A</v>
      </c>
      <c r="F315" s="9" t="e">
        <f>IF(E315&gt;0,"",
INDEX(entities[entity_id],MATCH('cust-code'!C315,entities[custom entity '#],0))&amp;":")</f>
        <v>#N/A</v>
      </c>
      <c r="G315" s="9" t="e">
        <f>IF(E315=0,"",
INDEX(entities[[line 1]:[line 4]],MATCH('cust-code'!C315,entities[custom entity '#],0),'cust-code'!E315))</f>
        <v>#N/A</v>
      </c>
      <c r="H315" s="9" t="str">
        <f t="shared" si="26"/>
        <v/>
      </c>
      <c r="I315" s="9" t="str">
        <f t="shared" si="27"/>
        <v/>
      </c>
    </row>
    <row r="316" spans="2:9" x14ac:dyDescent="0.45">
      <c r="B316" s="9">
        <f t="shared" si="25"/>
        <v>311</v>
      </c>
      <c r="C316" s="9" t="e">
        <f t="shared" si="28"/>
        <v>#N/A</v>
      </c>
      <c r="D316" s="22" t="e">
        <f>INDEX(entities[Custom Attributes],MATCH('cust-code'!C316,entities[custom entity '#],0))</f>
        <v>#N/A</v>
      </c>
      <c r="E316" s="22" t="e">
        <f t="shared" si="29"/>
        <v>#N/A</v>
      </c>
      <c r="F316" s="9" t="e">
        <f>IF(E316&gt;0,"",
INDEX(entities[entity_id],MATCH('cust-code'!C316,entities[custom entity '#],0))&amp;":")</f>
        <v>#N/A</v>
      </c>
      <c r="G316" s="9" t="e">
        <f>IF(E316=0,"",
INDEX(entities[[line 1]:[line 4]],MATCH('cust-code'!C316,entities[custom entity '#],0),'cust-code'!E316))</f>
        <v>#N/A</v>
      </c>
      <c r="H316" s="9" t="str">
        <f t="shared" si="26"/>
        <v/>
      </c>
      <c r="I316" s="9" t="str">
        <f t="shared" si="27"/>
        <v/>
      </c>
    </row>
    <row r="317" spans="2:9" x14ac:dyDescent="0.45">
      <c r="B317" s="9">
        <f t="shared" si="25"/>
        <v>312</v>
      </c>
      <c r="C317" s="9" t="e">
        <f t="shared" si="28"/>
        <v>#N/A</v>
      </c>
      <c r="D317" s="22" t="e">
        <f>INDEX(entities[Custom Attributes],MATCH('cust-code'!C317,entities[custom entity '#],0))</f>
        <v>#N/A</v>
      </c>
      <c r="E317" s="22" t="e">
        <f t="shared" si="29"/>
        <v>#N/A</v>
      </c>
      <c r="F317" s="9" t="e">
        <f>IF(E317&gt;0,"",
INDEX(entities[entity_id],MATCH('cust-code'!C317,entities[custom entity '#],0))&amp;":")</f>
        <v>#N/A</v>
      </c>
      <c r="G317" s="9" t="e">
        <f>IF(E317=0,"",
INDEX(entities[[line 1]:[line 4]],MATCH('cust-code'!C317,entities[custom entity '#],0),'cust-code'!E317))</f>
        <v>#N/A</v>
      </c>
      <c r="H317" s="9" t="str">
        <f t="shared" si="26"/>
        <v/>
      </c>
      <c r="I317" s="9" t="str">
        <f t="shared" si="27"/>
        <v/>
      </c>
    </row>
    <row r="318" spans="2:9" x14ac:dyDescent="0.45">
      <c r="B318" s="9">
        <f t="shared" si="25"/>
        <v>313</v>
      </c>
      <c r="C318" s="9" t="e">
        <f t="shared" si="28"/>
        <v>#N/A</v>
      </c>
      <c r="D318" s="22" t="e">
        <f>INDEX(entities[Custom Attributes],MATCH('cust-code'!C318,entities[custom entity '#],0))</f>
        <v>#N/A</v>
      </c>
      <c r="E318" s="22" t="e">
        <f t="shared" si="29"/>
        <v>#N/A</v>
      </c>
      <c r="F318" s="9" t="e">
        <f>IF(E318&gt;0,"",
INDEX(entities[entity_id],MATCH('cust-code'!C318,entities[custom entity '#],0))&amp;":")</f>
        <v>#N/A</v>
      </c>
      <c r="G318" s="9" t="e">
        <f>IF(E318=0,"",
INDEX(entities[[line 1]:[line 4]],MATCH('cust-code'!C318,entities[custom entity '#],0),'cust-code'!E318))</f>
        <v>#N/A</v>
      </c>
      <c r="H318" s="9" t="str">
        <f t="shared" si="26"/>
        <v/>
      </c>
      <c r="I318" s="9" t="str">
        <f t="shared" si="27"/>
        <v/>
      </c>
    </row>
    <row r="319" spans="2:9" x14ac:dyDescent="0.45">
      <c r="B319" s="9">
        <f t="shared" si="25"/>
        <v>314</v>
      </c>
      <c r="C319" s="9" t="e">
        <f t="shared" si="28"/>
        <v>#N/A</v>
      </c>
      <c r="D319" s="22" t="e">
        <f>INDEX(entities[Custom Attributes],MATCH('cust-code'!C319,entities[custom entity '#],0))</f>
        <v>#N/A</v>
      </c>
      <c r="E319" s="22" t="e">
        <f t="shared" si="29"/>
        <v>#N/A</v>
      </c>
      <c r="F319" s="9" t="e">
        <f>IF(E319&gt;0,"",
INDEX(entities[entity_id],MATCH('cust-code'!C319,entities[custom entity '#],0))&amp;":")</f>
        <v>#N/A</v>
      </c>
      <c r="G319" s="9" t="e">
        <f>IF(E319=0,"",
INDEX(entities[[line 1]:[line 4]],MATCH('cust-code'!C319,entities[custom entity '#],0),'cust-code'!E319))</f>
        <v>#N/A</v>
      </c>
      <c r="H319" s="9" t="str">
        <f t="shared" si="26"/>
        <v/>
      </c>
      <c r="I319" s="9" t="str">
        <f t="shared" si="27"/>
        <v/>
      </c>
    </row>
    <row r="320" spans="2:9" x14ac:dyDescent="0.45">
      <c r="B320" s="9">
        <f t="shared" si="25"/>
        <v>315</v>
      </c>
      <c r="C320" s="9" t="e">
        <f t="shared" si="28"/>
        <v>#N/A</v>
      </c>
      <c r="D320" s="22" t="e">
        <f>INDEX(entities[Custom Attributes],MATCH('cust-code'!C320,entities[custom entity '#],0))</f>
        <v>#N/A</v>
      </c>
      <c r="E320" s="22" t="e">
        <f t="shared" si="29"/>
        <v>#N/A</v>
      </c>
      <c r="F320" s="9" t="e">
        <f>IF(E320&gt;0,"",
INDEX(entities[entity_id],MATCH('cust-code'!C320,entities[custom entity '#],0))&amp;":")</f>
        <v>#N/A</v>
      </c>
      <c r="G320" s="9" t="e">
        <f>IF(E320=0,"",
INDEX(entities[[line 1]:[line 4]],MATCH('cust-code'!C320,entities[custom entity '#],0),'cust-code'!E320))</f>
        <v>#N/A</v>
      </c>
      <c r="H320" s="9" t="str">
        <f t="shared" si="26"/>
        <v/>
      </c>
      <c r="I320" s="9" t="str">
        <f t="shared" si="27"/>
        <v/>
      </c>
    </row>
    <row r="321" spans="2:9" x14ac:dyDescent="0.45">
      <c r="B321" s="9">
        <f t="shared" si="25"/>
        <v>316</v>
      </c>
      <c r="C321" s="9" t="e">
        <f t="shared" si="28"/>
        <v>#N/A</v>
      </c>
      <c r="D321" s="22" t="e">
        <f>INDEX(entities[Custom Attributes],MATCH('cust-code'!C321,entities[custom entity '#],0))</f>
        <v>#N/A</v>
      </c>
      <c r="E321" s="22" t="e">
        <f t="shared" si="29"/>
        <v>#N/A</v>
      </c>
      <c r="F321" s="9" t="e">
        <f>IF(E321&gt;0,"",
INDEX(entities[entity_id],MATCH('cust-code'!C321,entities[custom entity '#],0))&amp;":")</f>
        <v>#N/A</v>
      </c>
      <c r="G321" s="9" t="e">
        <f>IF(E321=0,"",
INDEX(entities[[line 1]:[line 4]],MATCH('cust-code'!C321,entities[custom entity '#],0),'cust-code'!E321))</f>
        <v>#N/A</v>
      </c>
      <c r="H321" s="9" t="str">
        <f t="shared" si="26"/>
        <v/>
      </c>
      <c r="I321" s="9" t="str">
        <f t="shared" si="27"/>
        <v/>
      </c>
    </row>
    <row r="322" spans="2:9" x14ac:dyDescent="0.45">
      <c r="B322" s="9">
        <f t="shared" si="25"/>
        <v>317</v>
      </c>
      <c r="C322" s="9" t="e">
        <f t="shared" si="28"/>
        <v>#N/A</v>
      </c>
      <c r="D322" s="22" t="e">
        <f>INDEX(entities[Custom Attributes],MATCH('cust-code'!C322,entities[custom entity '#],0))</f>
        <v>#N/A</v>
      </c>
      <c r="E322" s="22" t="e">
        <f t="shared" si="29"/>
        <v>#N/A</v>
      </c>
      <c r="F322" s="9" t="e">
        <f>IF(E322&gt;0,"",
INDEX(entities[entity_id],MATCH('cust-code'!C322,entities[custom entity '#],0))&amp;":")</f>
        <v>#N/A</v>
      </c>
      <c r="G322" s="9" t="e">
        <f>IF(E322=0,"",
INDEX(entities[[line 1]:[line 4]],MATCH('cust-code'!C322,entities[custom entity '#],0),'cust-code'!E322))</f>
        <v>#N/A</v>
      </c>
      <c r="H322" s="9" t="str">
        <f t="shared" si="26"/>
        <v/>
      </c>
      <c r="I322" s="9" t="str">
        <f t="shared" si="27"/>
        <v/>
      </c>
    </row>
    <row r="323" spans="2:9" x14ac:dyDescent="0.45">
      <c r="B323" s="9">
        <f t="shared" si="25"/>
        <v>318</v>
      </c>
      <c r="C323" s="9" t="e">
        <f t="shared" si="28"/>
        <v>#N/A</v>
      </c>
      <c r="D323" s="22" t="e">
        <f>INDEX(entities[Custom Attributes],MATCH('cust-code'!C323,entities[custom entity '#],0))</f>
        <v>#N/A</v>
      </c>
      <c r="E323" s="22" t="e">
        <f t="shared" si="29"/>
        <v>#N/A</v>
      </c>
      <c r="F323" s="9" t="e">
        <f>IF(E323&gt;0,"",
INDEX(entities[entity_id],MATCH('cust-code'!C323,entities[custom entity '#],0))&amp;":")</f>
        <v>#N/A</v>
      </c>
      <c r="G323" s="9" t="e">
        <f>IF(E323=0,"",
INDEX(entities[[line 1]:[line 4]],MATCH('cust-code'!C323,entities[custom entity '#],0),'cust-code'!E323))</f>
        <v>#N/A</v>
      </c>
      <c r="H323" s="9" t="str">
        <f t="shared" si="26"/>
        <v/>
      </c>
      <c r="I323" s="9" t="str">
        <f t="shared" si="27"/>
        <v/>
      </c>
    </row>
    <row r="324" spans="2:9" x14ac:dyDescent="0.45">
      <c r="B324" s="9">
        <f t="shared" si="25"/>
        <v>319</v>
      </c>
      <c r="C324" s="9" t="e">
        <f t="shared" si="28"/>
        <v>#N/A</v>
      </c>
      <c r="D324" s="22" t="e">
        <f>INDEX(entities[Custom Attributes],MATCH('cust-code'!C324,entities[custom entity '#],0))</f>
        <v>#N/A</v>
      </c>
      <c r="E324" s="22" t="e">
        <f t="shared" si="29"/>
        <v>#N/A</v>
      </c>
      <c r="F324" s="9" t="e">
        <f>IF(E324&gt;0,"",
INDEX(entities[entity_id],MATCH('cust-code'!C324,entities[custom entity '#],0))&amp;":")</f>
        <v>#N/A</v>
      </c>
      <c r="G324" s="9" t="e">
        <f>IF(E324=0,"",
INDEX(entities[[line 1]:[line 4]],MATCH('cust-code'!C324,entities[custom entity '#],0),'cust-code'!E324))</f>
        <v>#N/A</v>
      </c>
      <c r="H324" s="9" t="str">
        <f t="shared" si="26"/>
        <v/>
      </c>
      <c r="I324" s="9" t="str">
        <f t="shared" si="27"/>
        <v/>
      </c>
    </row>
    <row r="325" spans="2:9" x14ac:dyDescent="0.45">
      <c r="B325" s="9">
        <f t="shared" si="25"/>
        <v>320</v>
      </c>
      <c r="C325" s="9" t="e">
        <f t="shared" si="28"/>
        <v>#N/A</v>
      </c>
      <c r="D325" s="22" t="e">
        <f>INDEX(entities[Custom Attributes],MATCH('cust-code'!C325,entities[custom entity '#],0))</f>
        <v>#N/A</v>
      </c>
      <c r="E325" s="22" t="e">
        <f t="shared" si="29"/>
        <v>#N/A</v>
      </c>
      <c r="F325" s="9" t="e">
        <f>IF(E325&gt;0,"",
INDEX(entities[entity_id],MATCH('cust-code'!C325,entities[custom entity '#],0))&amp;":")</f>
        <v>#N/A</v>
      </c>
      <c r="G325" s="9" t="e">
        <f>IF(E325=0,"",
INDEX(entities[[line 1]:[line 4]],MATCH('cust-code'!C325,entities[custom entity '#],0),'cust-code'!E325))</f>
        <v>#N/A</v>
      </c>
      <c r="H325" s="9" t="str">
        <f t="shared" si="26"/>
        <v/>
      </c>
      <c r="I325" s="9" t="str">
        <f t="shared" si="27"/>
        <v/>
      </c>
    </row>
    <row r="326" spans="2:9" x14ac:dyDescent="0.45">
      <c r="B326" s="9">
        <f t="shared" si="25"/>
        <v>321</v>
      </c>
      <c r="C326" s="9" t="e">
        <f t="shared" si="28"/>
        <v>#N/A</v>
      </c>
      <c r="D326" s="22" t="e">
        <f>INDEX(entities[Custom Attributes],MATCH('cust-code'!C326,entities[custom entity '#],0))</f>
        <v>#N/A</v>
      </c>
      <c r="E326" s="22" t="e">
        <f t="shared" si="29"/>
        <v>#N/A</v>
      </c>
      <c r="F326" s="9" t="e">
        <f>IF(E326&gt;0,"",
INDEX(entities[entity_id],MATCH('cust-code'!C326,entities[custom entity '#],0))&amp;":")</f>
        <v>#N/A</v>
      </c>
      <c r="G326" s="9" t="e">
        <f>IF(E326=0,"",
INDEX(entities[[line 1]:[line 4]],MATCH('cust-code'!C326,entities[custom entity '#],0),'cust-code'!E326))</f>
        <v>#N/A</v>
      </c>
      <c r="H326" s="9" t="str">
        <f t="shared" si="26"/>
        <v/>
      </c>
      <c r="I326" s="9" t="str">
        <f t="shared" si="27"/>
        <v/>
      </c>
    </row>
    <row r="327" spans="2:9" x14ac:dyDescent="0.45">
      <c r="B327" s="9">
        <f t="shared" ref="B327:B390" si="30">B326+1</f>
        <v>322</v>
      </c>
      <c r="C327" s="9" t="e">
        <f t="shared" si="28"/>
        <v>#N/A</v>
      </c>
      <c r="D327" s="22" t="e">
        <f>INDEX(entities[Custom Attributes],MATCH('cust-code'!C327,entities[custom entity '#],0))</f>
        <v>#N/A</v>
      </c>
      <c r="E327" s="22" t="e">
        <f t="shared" si="29"/>
        <v>#N/A</v>
      </c>
      <c r="F327" s="9" t="e">
        <f>IF(E327&gt;0,"",
INDEX(entities[entity_id],MATCH('cust-code'!C327,entities[custom entity '#],0))&amp;":")</f>
        <v>#N/A</v>
      </c>
      <c r="G327" s="9" t="e">
        <f>IF(E327=0,"",
INDEX(entities[[line 1]:[line 4]],MATCH('cust-code'!C327,entities[custom entity '#],0),'cust-code'!E327))</f>
        <v>#N/A</v>
      </c>
      <c r="H327" s="9" t="str">
        <f t="shared" si="26"/>
        <v/>
      </c>
      <c r="I327" s="9" t="str">
        <f t="shared" si="27"/>
        <v/>
      </c>
    </row>
    <row r="328" spans="2:9" x14ac:dyDescent="0.45">
      <c r="B328" s="9">
        <f t="shared" si="30"/>
        <v>323</v>
      </c>
      <c r="C328" s="9" t="e">
        <f t="shared" si="28"/>
        <v>#N/A</v>
      </c>
      <c r="D328" s="22" t="e">
        <f>INDEX(entities[Custom Attributes],MATCH('cust-code'!C328,entities[custom entity '#],0))</f>
        <v>#N/A</v>
      </c>
      <c r="E328" s="22" t="e">
        <f t="shared" si="29"/>
        <v>#N/A</v>
      </c>
      <c r="F328" s="9" t="e">
        <f>IF(E328&gt;0,"",
INDEX(entities[entity_id],MATCH('cust-code'!C328,entities[custom entity '#],0))&amp;":")</f>
        <v>#N/A</v>
      </c>
      <c r="G328" s="9" t="e">
        <f>IF(E328=0,"",
INDEX(entities[[line 1]:[line 4]],MATCH('cust-code'!C328,entities[custom entity '#],0),'cust-code'!E328))</f>
        <v>#N/A</v>
      </c>
      <c r="H328" s="9" t="str">
        <f t="shared" ref="H328:H391" si="31">_xlfn.IFNA(  F328&amp;G328,  "")</f>
        <v/>
      </c>
      <c r="I328" s="9" t="str">
        <f t="shared" ref="I328:I391" si="32">IF(AND(NOT(ISNA(D327)),ISNA(D328)),"END","")</f>
        <v/>
      </c>
    </row>
    <row r="329" spans="2:9" x14ac:dyDescent="0.45">
      <c r="B329" s="9">
        <f t="shared" si="30"/>
        <v>324</v>
      </c>
      <c r="C329" s="9" t="e">
        <f t="shared" si="28"/>
        <v>#N/A</v>
      </c>
      <c r="D329" s="22" t="e">
        <f>INDEX(entities[Custom Attributes],MATCH('cust-code'!C329,entities[custom entity '#],0))</f>
        <v>#N/A</v>
      </c>
      <c r="E329" s="22" t="e">
        <f t="shared" si="29"/>
        <v>#N/A</v>
      </c>
      <c r="F329" s="9" t="e">
        <f>IF(E329&gt;0,"",
INDEX(entities[entity_id],MATCH('cust-code'!C329,entities[custom entity '#],0))&amp;":")</f>
        <v>#N/A</v>
      </c>
      <c r="G329" s="9" t="e">
        <f>IF(E329=0,"",
INDEX(entities[[line 1]:[line 4]],MATCH('cust-code'!C329,entities[custom entity '#],0),'cust-code'!E329))</f>
        <v>#N/A</v>
      </c>
      <c r="H329" s="9" t="str">
        <f t="shared" si="31"/>
        <v/>
      </c>
      <c r="I329" s="9" t="str">
        <f t="shared" si="32"/>
        <v/>
      </c>
    </row>
    <row r="330" spans="2:9" x14ac:dyDescent="0.45">
      <c r="B330" s="9">
        <f t="shared" si="30"/>
        <v>325</v>
      </c>
      <c r="C330" s="9" t="e">
        <f t="shared" si="28"/>
        <v>#N/A</v>
      </c>
      <c r="D330" s="22" t="e">
        <f>INDEX(entities[Custom Attributes],MATCH('cust-code'!C330,entities[custom entity '#],0))</f>
        <v>#N/A</v>
      </c>
      <c r="E330" s="22" t="e">
        <f t="shared" si="29"/>
        <v>#N/A</v>
      </c>
      <c r="F330" s="9" t="e">
        <f>IF(E330&gt;0,"",
INDEX(entities[entity_id],MATCH('cust-code'!C330,entities[custom entity '#],0))&amp;":")</f>
        <v>#N/A</v>
      </c>
      <c r="G330" s="9" t="e">
        <f>IF(E330=0,"",
INDEX(entities[[line 1]:[line 4]],MATCH('cust-code'!C330,entities[custom entity '#],0),'cust-code'!E330))</f>
        <v>#N/A</v>
      </c>
      <c r="H330" s="9" t="str">
        <f t="shared" si="31"/>
        <v/>
      </c>
      <c r="I330" s="9" t="str">
        <f t="shared" si="32"/>
        <v/>
      </c>
    </row>
    <row r="331" spans="2:9" x14ac:dyDescent="0.45">
      <c r="B331" s="9">
        <f t="shared" si="30"/>
        <v>326</v>
      </c>
      <c r="C331" s="9" t="e">
        <f t="shared" si="28"/>
        <v>#N/A</v>
      </c>
      <c r="D331" s="22" t="e">
        <f>INDEX(entities[Custom Attributes],MATCH('cust-code'!C331,entities[custom entity '#],0))</f>
        <v>#N/A</v>
      </c>
      <c r="E331" s="22" t="e">
        <f t="shared" si="29"/>
        <v>#N/A</v>
      </c>
      <c r="F331" s="9" t="e">
        <f>IF(E331&gt;0,"",
INDEX(entities[entity_id],MATCH('cust-code'!C331,entities[custom entity '#],0))&amp;":")</f>
        <v>#N/A</v>
      </c>
      <c r="G331" s="9" t="e">
        <f>IF(E331=0,"",
INDEX(entities[[line 1]:[line 4]],MATCH('cust-code'!C331,entities[custom entity '#],0),'cust-code'!E331))</f>
        <v>#N/A</v>
      </c>
      <c r="H331" s="9" t="str">
        <f t="shared" si="31"/>
        <v/>
      </c>
      <c r="I331" s="9" t="str">
        <f t="shared" si="32"/>
        <v/>
      </c>
    </row>
    <row r="332" spans="2:9" x14ac:dyDescent="0.45">
      <c r="B332" s="9">
        <f t="shared" si="30"/>
        <v>327</v>
      </c>
      <c r="C332" s="9" t="e">
        <f t="shared" si="28"/>
        <v>#N/A</v>
      </c>
      <c r="D332" s="22" t="e">
        <f>INDEX(entities[Custom Attributes],MATCH('cust-code'!C332,entities[custom entity '#],0))</f>
        <v>#N/A</v>
      </c>
      <c r="E332" s="22" t="e">
        <f t="shared" si="29"/>
        <v>#N/A</v>
      </c>
      <c r="F332" s="9" t="e">
        <f>IF(E332&gt;0,"",
INDEX(entities[entity_id],MATCH('cust-code'!C332,entities[custom entity '#],0))&amp;":")</f>
        <v>#N/A</v>
      </c>
      <c r="G332" s="9" t="e">
        <f>IF(E332=0,"",
INDEX(entities[[line 1]:[line 4]],MATCH('cust-code'!C332,entities[custom entity '#],0),'cust-code'!E332))</f>
        <v>#N/A</v>
      </c>
      <c r="H332" s="9" t="str">
        <f t="shared" si="31"/>
        <v/>
      </c>
      <c r="I332" s="9" t="str">
        <f t="shared" si="32"/>
        <v/>
      </c>
    </row>
    <row r="333" spans="2:9" x14ac:dyDescent="0.45">
      <c r="B333" s="9">
        <f t="shared" si="30"/>
        <v>328</v>
      </c>
      <c r="C333" s="9" t="e">
        <f t="shared" si="28"/>
        <v>#N/A</v>
      </c>
      <c r="D333" s="22" t="e">
        <f>INDEX(entities[Custom Attributes],MATCH('cust-code'!C333,entities[custom entity '#],0))</f>
        <v>#N/A</v>
      </c>
      <c r="E333" s="22" t="e">
        <f t="shared" si="29"/>
        <v>#N/A</v>
      </c>
      <c r="F333" s="9" t="e">
        <f>IF(E333&gt;0,"",
INDEX(entities[entity_id],MATCH('cust-code'!C333,entities[custom entity '#],0))&amp;":")</f>
        <v>#N/A</v>
      </c>
      <c r="G333" s="9" t="e">
        <f>IF(E333=0,"",
INDEX(entities[[line 1]:[line 4]],MATCH('cust-code'!C333,entities[custom entity '#],0),'cust-code'!E333))</f>
        <v>#N/A</v>
      </c>
      <c r="H333" s="9" t="str">
        <f t="shared" si="31"/>
        <v/>
      </c>
      <c r="I333" s="9" t="str">
        <f t="shared" si="32"/>
        <v/>
      </c>
    </row>
    <row r="334" spans="2:9" x14ac:dyDescent="0.45">
      <c r="B334" s="9">
        <f t="shared" si="30"/>
        <v>329</v>
      </c>
      <c r="C334" s="9" t="e">
        <f t="shared" ref="C334:C397" si="33">IF(E334=0,C333+1,C333)</f>
        <v>#N/A</v>
      </c>
      <c r="D334" s="22" t="e">
        <f>INDEX(entities[Custom Attributes],MATCH('cust-code'!C334,entities[custom entity '#],0))</f>
        <v>#N/A</v>
      </c>
      <c r="E334" s="22" t="e">
        <f t="shared" ref="E334:E397" si="34">IF(E333=D333,0,E333+1)</f>
        <v>#N/A</v>
      </c>
      <c r="F334" s="9" t="e">
        <f>IF(E334&gt;0,"",
INDEX(entities[entity_id],MATCH('cust-code'!C334,entities[custom entity '#],0))&amp;":")</f>
        <v>#N/A</v>
      </c>
      <c r="G334" s="9" t="e">
        <f>IF(E334=0,"",
INDEX(entities[[line 1]:[line 4]],MATCH('cust-code'!C334,entities[custom entity '#],0),'cust-code'!E334))</f>
        <v>#N/A</v>
      </c>
      <c r="H334" s="9" t="str">
        <f t="shared" si="31"/>
        <v/>
      </c>
      <c r="I334" s="9" t="str">
        <f t="shared" si="32"/>
        <v/>
      </c>
    </row>
    <row r="335" spans="2:9" x14ac:dyDescent="0.45">
      <c r="B335" s="9">
        <f t="shared" si="30"/>
        <v>330</v>
      </c>
      <c r="C335" s="9" t="e">
        <f t="shared" si="33"/>
        <v>#N/A</v>
      </c>
      <c r="D335" s="22" t="e">
        <f>INDEX(entities[Custom Attributes],MATCH('cust-code'!C335,entities[custom entity '#],0))</f>
        <v>#N/A</v>
      </c>
      <c r="E335" s="22" t="e">
        <f t="shared" si="34"/>
        <v>#N/A</v>
      </c>
      <c r="F335" s="9" t="e">
        <f>IF(E335&gt;0,"",
INDEX(entities[entity_id],MATCH('cust-code'!C335,entities[custom entity '#],0))&amp;":")</f>
        <v>#N/A</v>
      </c>
      <c r="G335" s="9" t="e">
        <f>IF(E335=0,"",
INDEX(entities[[line 1]:[line 4]],MATCH('cust-code'!C335,entities[custom entity '#],0),'cust-code'!E335))</f>
        <v>#N/A</v>
      </c>
      <c r="H335" s="9" t="str">
        <f t="shared" si="31"/>
        <v/>
      </c>
      <c r="I335" s="9" t="str">
        <f t="shared" si="32"/>
        <v/>
      </c>
    </row>
    <row r="336" spans="2:9" x14ac:dyDescent="0.45">
      <c r="B336" s="9">
        <f t="shared" si="30"/>
        <v>331</v>
      </c>
      <c r="C336" s="9" t="e">
        <f t="shared" si="33"/>
        <v>#N/A</v>
      </c>
      <c r="D336" s="22" t="e">
        <f>INDEX(entities[Custom Attributes],MATCH('cust-code'!C336,entities[custom entity '#],0))</f>
        <v>#N/A</v>
      </c>
      <c r="E336" s="22" t="e">
        <f t="shared" si="34"/>
        <v>#N/A</v>
      </c>
      <c r="F336" s="9" t="e">
        <f>IF(E336&gt;0,"",
INDEX(entities[entity_id],MATCH('cust-code'!C336,entities[custom entity '#],0))&amp;":")</f>
        <v>#N/A</v>
      </c>
      <c r="G336" s="9" t="e">
        <f>IF(E336=0,"",
INDEX(entities[[line 1]:[line 4]],MATCH('cust-code'!C336,entities[custom entity '#],0),'cust-code'!E336))</f>
        <v>#N/A</v>
      </c>
      <c r="H336" s="9" t="str">
        <f t="shared" si="31"/>
        <v/>
      </c>
      <c r="I336" s="9" t="str">
        <f t="shared" si="32"/>
        <v/>
      </c>
    </row>
    <row r="337" spans="2:9" x14ac:dyDescent="0.45">
      <c r="B337" s="9">
        <f t="shared" si="30"/>
        <v>332</v>
      </c>
      <c r="C337" s="9" t="e">
        <f t="shared" si="33"/>
        <v>#N/A</v>
      </c>
      <c r="D337" s="22" t="e">
        <f>INDEX(entities[Custom Attributes],MATCH('cust-code'!C337,entities[custom entity '#],0))</f>
        <v>#N/A</v>
      </c>
      <c r="E337" s="22" t="e">
        <f t="shared" si="34"/>
        <v>#N/A</v>
      </c>
      <c r="F337" s="9" t="e">
        <f>IF(E337&gt;0,"",
INDEX(entities[entity_id],MATCH('cust-code'!C337,entities[custom entity '#],0))&amp;":")</f>
        <v>#N/A</v>
      </c>
      <c r="G337" s="9" t="e">
        <f>IF(E337=0,"",
INDEX(entities[[line 1]:[line 4]],MATCH('cust-code'!C337,entities[custom entity '#],0),'cust-code'!E337))</f>
        <v>#N/A</v>
      </c>
      <c r="H337" s="9" t="str">
        <f t="shared" si="31"/>
        <v/>
      </c>
      <c r="I337" s="9" t="str">
        <f t="shared" si="32"/>
        <v/>
      </c>
    </row>
    <row r="338" spans="2:9" x14ac:dyDescent="0.45">
      <c r="B338" s="9">
        <f t="shared" si="30"/>
        <v>333</v>
      </c>
      <c r="C338" s="9" t="e">
        <f t="shared" si="33"/>
        <v>#N/A</v>
      </c>
      <c r="D338" s="22" t="e">
        <f>INDEX(entities[Custom Attributes],MATCH('cust-code'!C338,entities[custom entity '#],0))</f>
        <v>#N/A</v>
      </c>
      <c r="E338" s="22" t="e">
        <f t="shared" si="34"/>
        <v>#N/A</v>
      </c>
      <c r="F338" s="9" t="e">
        <f>IF(E338&gt;0,"",
INDEX(entities[entity_id],MATCH('cust-code'!C338,entities[custom entity '#],0))&amp;":")</f>
        <v>#N/A</v>
      </c>
      <c r="G338" s="9" t="e">
        <f>IF(E338=0,"",
INDEX(entities[[line 1]:[line 4]],MATCH('cust-code'!C338,entities[custom entity '#],0),'cust-code'!E338))</f>
        <v>#N/A</v>
      </c>
      <c r="H338" s="9" t="str">
        <f t="shared" si="31"/>
        <v/>
      </c>
      <c r="I338" s="9" t="str">
        <f t="shared" si="32"/>
        <v/>
      </c>
    </row>
    <row r="339" spans="2:9" x14ac:dyDescent="0.45">
      <c r="B339" s="9">
        <f t="shared" si="30"/>
        <v>334</v>
      </c>
      <c r="C339" s="9" t="e">
        <f t="shared" si="33"/>
        <v>#N/A</v>
      </c>
      <c r="D339" s="22" t="e">
        <f>INDEX(entities[Custom Attributes],MATCH('cust-code'!C339,entities[custom entity '#],0))</f>
        <v>#N/A</v>
      </c>
      <c r="E339" s="22" t="e">
        <f t="shared" si="34"/>
        <v>#N/A</v>
      </c>
      <c r="F339" s="9" t="e">
        <f>IF(E339&gt;0,"",
INDEX(entities[entity_id],MATCH('cust-code'!C339,entities[custom entity '#],0))&amp;":")</f>
        <v>#N/A</v>
      </c>
      <c r="G339" s="9" t="e">
        <f>IF(E339=0,"",
INDEX(entities[[line 1]:[line 4]],MATCH('cust-code'!C339,entities[custom entity '#],0),'cust-code'!E339))</f>
        <v>#N/A</v>
      </c>
      <c r="H339" s="9" t="str">
        <f t="shared" si="31"/>
        <v/>
      </c>
      <c r="I339" s="9" t="str">
        <f t="shared" si="32"/>
        <v/>
      </c>
    </row>
    <row r="340" spans="2:9" x14ac:dyDescent="0.45">
      <c r="B340" s="9">
        <f t="shared" si="30"/>
        <v>335</v>
      </c>
      <c r="C340" s="9" t="e">
        <f t="shared" si="33"/>
        <v>#N/A</v>
      </c>
      <c r="D340" s="22" t="e">
        <f>INDEX(entities[Custom Attributes],MATCH('cust-code'!C340,entities[custom entity '#],0))</f>
        <v>#N/A</v>
      </c>
      <c r="E340" s="22" t="e">
        <f t="shared" si="34"/>
        <v>#N/A</v>
      </c>
      <c r="F340" s="9" t="e">
        <f>IF(E340&gt;0,"",
INDEX(entities[entity_id],MATCH('cust-code'!C340,entities[custom entity '#],0))&amp;":")</f>
        <v>#N/A</v>
      </c>
      <c r="G340" s="9" t="e">
        <f>IF(E340=0,"",
INDEX(entities[[line 1]:[line 4]],MATCH('cust-code'!C340,entities[custom entity '#],0),'cust-code'!E340))</f>
        <v>#N/A</v>
      </c>
      <c r="H340" s="9" t="str">
        <f t="shared" si="31"/>
        <v/>
      </c>
      <c r="I340" s="9" t="str">
        <f t="shared" si="32"/>
        <v/>
      </c>
    </row>
    <row r="341" spans="2:9" x14ac:dyDescent="0.45">
      <c r="B341" s="9">
        <f t="shared" si="30"/>
        <v>336</v>
      </c>
      <c r="C341" s="9" t="e">
        <f t="shared" si="33"/>
        <v>#N/A</v>
      </c>
      <c r="D341" s="22" t="e">
        <f>INDEX(entities[Custom Attributes],MATCH('cust-code'!C341,entities[custom entity '#],0))</f>
        <v>#N/A</v>
      </c>
      <c r="E341" s="22" t="e">
        <f t="shared" si="34"/>
        <v>#N/A</v>
      </c>
      <c r="F341" s="9" t="e">
        <f>IF(E341&gt;0,"",
INDEX(entities[entity_id],MATCH('cust-code'!C341,entities[custom entity '#],0))&amp;":")</f>
        <v>#N/A</v>
      </c>
      <c r="G341" s="9" t="e">
        <f>IF(E341=0,"",
INDEX(entities[[line 1]:[line 4]],MATCH('cust-code'!C341,entities[custom entity '#],0),'cust-code'!E341))</f>
        <v>#N/A</v>
      </c>
      <c r="H341" s="9" t="str">
        <f t="shared" si="31"/>
        <v/>
      </c>
      <c r="I341" s="9" t="str">
        <f t="shared" si="32"/>
        <v/>
      </c>
    </row>
    <row r="342" spans="2:9" x14ac:dyDescent="0.45">
      <c r="B342" s="9">
        <f t="shared" si="30"/>
        <v>337</v>
      </c>
      <c r="C342" s="9" t="e">
        <f t="shared" si="33"/>
        <v>#N/A</v>
      </c>
      <c r="D342" s="22" t="e">
        <f>INDEX(entities[Custom Attributes],MATCH('cust-code'!C342,entities[custom entity '#],0))</f>
        <v>#N/A</v>
      </c>
      <c r="E342" s="22" t="e">
        <f t="shared" si="34"/>
        <v>#N/A</v>
      </c>
      <c r="F342" s="9" t="e">
        <f>IF(E342&gt;0,"",
INDEX(entities[entity_id],MATCH('cust-code'!C342,entities[custom entity '#],0))&amp;":")</f>
        <v>#N/A</v>
      </c>
      <c r="G342" s="9" t="e">
        <f>IF(E342=0,"",
INDEX(entities[[line 1]:[line 4]],MATCH('cust-code'!C342,entities[custom entity '#],0),'cust-code'!E342))</f>
        <v>#N/A</v>
      </c>
      <c r="H342" s="9" t="str">
        <f t="shared" si="31"/>
        <v/>
      </c>
      <c r="I342" s="9" t="str">
        <f t="shared" si="32"/>
        <v/>
      </c>
    </row>
    <row r="343" spans="2:9" x14ac:dyDescent="0.45">
      <c r="B343" s="9">
        <f t="shared" si="30"/>
        <v>338</v>
      </c>
      <c r="C343" s="9" t="e">
        <f t="shared" si="33"/>
        <v>#N/A</v>
      </c>
      <c r="D343" s="22" t="e">
        <f>INDEX(entities[Custom Attributes],MATCH('cust-code'!C343,entities[custom entity '#],0))</f>
        <v>#N/A</v>
      </c>
      <c r="E343" s="22" t="e">
        <f t="shared" si="34"/>
        <v>#N/A</v>
      </c>
      <c r="F343" s="9" t="e">
        <f>IF(E343&gt;0,"",
INDEX(entities[entity_id],MATCH('cust-code'!C343,entities[custom entity '#],0))&amp;":")</f>
        <v>#N/A</v>
      </c>
      <c r="G343" s="9" t="e">
        <f>IF(E343=0,"",
INDEX(entities[[line 1]:[line 4]],MATCH('cust-code'!C343,entities[custom entity '#],0),'cust-code'!E343))</f>
        <v>#N/A</v>
      </c>
      <c r="H343" s="9" t="str">
        <f t="shared" si="31"/>
        <v/>
      </c>
      <c r="I343" s="9" t="str">
        <f t="shared" si="32"/>
        <v/>
      </c>
    </row>
    <row r="344" spans="2:9" x14ac:dyDescent="0.45">
      <c r="B344" s="9">
        <f t="shared" si="30"/>
        <v>339</v>
      </c>
      <c r="C344" s="9" t="e">
        <f t="shared" si="33"/>
        <v>#N/A</v>
      </c>
      <c r="D344" s="22" t="e">
        <f>INDEX(entities[Custom Attributes],MATCH('cust-code'!C344,entities[custom entity '#],0))</f>
        <v>#N/A</v>
      </c>
      <c r="E344" s="22" t="e">
        <f t="shared" si="34"/>
        <v>#N/A</v>
      </c>
      <c r="F344" s="9" t="e">
        <f>IF(E344&gt;0,"",
INDEX(entities[entity_id],MATCH('cust-code'!C344,entities[custom entity '#],0))&amp;":")</f>
        <v>#N/A</v>
      </c>
      <c r="G344" s="9" t="e">
        <f>IF(E344=0,"",
INDEX(entities[[line 1]:[line 4]],MATCH('cust-code'!C344,entities[custom entity '#],0),'cust-code'!E344))</f>
        <v>#N/A</v>
      </c>
      <c r="H344" s="9" t="str">
        <f t="shared" si="31"/>
        <v/>
      </c>
      <c r="I344" s="9" t="str">
        <f t="shared" si="32"/>
        <v/>
      </c>
    </row>
    <row r="345" spans="2:9" x14ac:dyDescent="0.45">
      <c r="B345" s="9">
        <f t="shared" si="30"/>
        <v>340</v>
      </c>
      <c r="C345" s="9" t="e">
        <f t="shared" si="33"/>
        <v>#N/A</v>
      </c>
      <c r="D345" s="22" t="e">
        <f>INDEX(entities[Custom Attributes],MATCH('cust-code'!C345,entities[custom entity '#],0))</f>
        <v>#N/A</v>
      </c>
      <c r="E345" s="22" t="e">
        <f t="shared" si="34"/>
        <v>#N/A</v>
      </c>
      <c r="F345" s="9" t="e">
        <f>IF(E345&gt;0,"",
INDEX(entities[entity_id],MATCH('cust-code'!C345,entities[custom entity '#],0))&amp;":")</f>
        <v>#N/A</v>
      </c>
      <c r="G345" s="9" t="e">
        <f>IF(E345=0,"",
INDEX(entities[[line 1]:[line 4]],MATCH('cust-code'!C345,entities[custom entity '#],0),'cust-code'!E345))</f>
        <v>#N/A</v>
      </c>
      <c r="H345" s="9" t="str">
        <f t="shared" si="31"/>
        <v/>
      </c>
      <c r="I345" s="9" t="str">
        <f t="shared" si="32"/>
        <v/>
      </c>
    </row>
    <row r="346" spans="2:9" x14ac:dyDescent="0.45">
      <c r="B346" s="9">
        <f t="shared" si="30"/>
        <v>341</v>
      </c>
      <c r="C346" s="9" t="e">
        <f t="shared" si="33"/>
        <v>#N/A</v>
      </c>
      <c r="D346" s="22" t="e">
        <f>INDEX(entities[Custom Attributes],MATCH('cust-code'!C346,entities[custom entity '#],0))</f>
        <v>#N/A</v>
      </c>
      <c r="E346" s="22" t="e">
        <f t="shared" si="34"/>
        <v>#N/A</v>
      </c>
      <c r="F346" s="9" t="e">
        <f>IF(E346&gt;0,"",
INDEX(entities[entity_id],MATCH('cust-code'!C346,entities[custom entity '#],0))&amp;":")</f>
        <v>#N/A</v>
      </c>
      <c r="G346" s="9" t="e">
        <f>IF(E346=0,"",
INDEX(entities[[line 1]:[line 4]],MATCH('cust-code'!C346,entities[custom entity '#],0),'cust-code'!E346))</f>
        <v>#N/A</v>
      </c>
      <c r="H346" s="9" t="str">
        <f t="shared" si="31"/>
        <v/>
      </c>
      <c r="I346" s="9" t="str">
        <f t="shared" si="32"/>
        <v/>
      </c>
    </row>
    <row r="347" spans="2:9" x14ac:dyDescent="0.45">
      <c r="B347" s="9">
        <f t="shared" si="30"/>
        <v>342</v>
      </c>
      <c r="C347" s="9" t="e">
        <f t="shared" si="33"/>
        <v>#N/A</v>
      </c>
      <c r="D347" s="22" t="e">
        <f>INDEX(entities[Custom Attributes],MATCH('cust-code'!C347,entities[custom entity '#],0))</f>
        <v>#N/A</v>
      </c>
      <c r="E347" s="22" t="e">
        <f t="shared" si="34"/>
        <v>#N/A</v>
      </c>
      <c r="F347" s="9" t="e">
        <f>IF(E347&gt;0,"",
INDEX(entities[entity_id],MATCH('cust-code'!C347,entities[custom entity '#],0))&amp;":")</f>
        <v>#N/A</v>
      </c>
      <c r="G347" s="9" t="e">
        <f>IF(E347=0,"",
INDEX(entities[[line 1]:[line 4]],MATCH('cust-code'!C347,entities[custom entity '#],0),'cust-code'!E347))</f>
        <v>#N/A</v>
      </c>
      <c r="H347" s="9" t="str">
        <f t="shared" si="31"/>
        <v/>
      </c>
      <c r="I347" s="9" t="str">
        <f t="shared" si="32"/>
        <v/>
      </c>
    </row>
    <row r="348" spans="2:9" x14ac:dyDescent="0.45">
      <c r="B348" s="9">
        <f t="shared" si="30"/>
        <v>343</v>
      </c>
      <c r="C348" s="9" t="e">
        <f t="shared" si="33"/>
        <v>#N/A</v>
      </c>
      <c r="D348" s="22" t="e">
        <f>INDEX(entities[Custom Attributes],MATCH('cust-code'!C348,entities[custom entity '#],0))</f>
        <v>#N/A</v>
      </c>
      <c r="E348" s="22" t="e">
        <f t="shared" si="34"/>
        <v>#N/A</v>
      </c>
      <c r="F348" s="9" t="e">
        <f>IF(E348&gt;0,"",
INDEX(entities[entity_id],MATCH('cust-code'!C348,entities[custom entity '#],0))&amp;":")</f>
        <v>#N/A</v>
      </c>
      <c r="G348" s="9" t="e">
        <f>IF(E348=0,"",
INDEX(entities[[line 1]:[line 4]],MATCH('cust-code'!C348,entities[custom entity '#],0),'cust-code'!E348))</f>
        <v>#N/A</v>
      </c>
      <c r="H348" s="9" t="str">
        <f t="shared" si="31"/>
        <v/>
      </c>
      <c r="I348" s="9" t="str">
        <f t="shared" si="32"/>
        <v/>
      </c>
    </row>
    <row r="349" spans="2:9" x14ac:dyDescent="0.45">
      <c r="B349" s="9">
        <f t="shared" si="30"/>
        <v>344</v>
      </c>
      <c r="C349" s="9" t="e">
        <f t="shared" si="33"/>
        <v>#N/A</v>
      </c>
      <c r="D349" s="22" t="e">
        <f>INDEX(entities[Custom Attributes],MATCH('cust-code'!C349,entities[custom entity '#],0))</f>
        <v>#N/A</v>
      </c>
      <c r="E349" s="22" t="e">
        <f t="shared" si="34"/>
        <v>#N/A</v>
      </c>
      <c r="F349" s="9" t="e">
        <f>IF(E349&gt;0,"",
INDEX(entities[entity_id],MATCH('cust-code'!C349,entities[custom entity '#],0))&amp;":")</f>
        <v>#N/A</v>
      </c>
      <c r="G349" s="9" t="e">
        <f>IF(E349=0,"",
INDEX(entities[[line 1]:[line 4]],MATCH('cust-code'!C349,entities[custom entity '#],0),'cust-code'!E349))</f>
        <v>#N/A</v>
      </c>
      <c r="H349" s="9" t="str">
        <f t="shared" si="31"/>
        <v/>
      </c>
      <c r="I349" s="9" t="str">
        <f t="shared" si="32"/>
        <v/>
      </c>
    </row>
    <row r="350" spans="2:9" x14ac:dyDescent="0.45">
      <c r="B350" s="9">
        <f t="shared" si="30"/>
        <v>345</v>
      </c>
      <c r="C350" s="9" t="e">
        <f t="shared" si="33"/>
        <v>#N/A</v>
      </c>
      <c r="D350" s="22" t="e">
        <f>INDEX(entities[Custom Attributes],MATCH('cust-code'!C350,entities[custom entity '#],0))</f>
        <v>#N/A</v>
      </c>
      <c r="E350" s="22" t="e">
        <f t="shared" si="34"/>
        <v>#N/A</v>
      </c>
      <c r="F350" s="9" t="e">
        <f>IF(E350&gt;0,"",
INDEX(entities[entity_id],MATCH('cust-code'!C350,entities[custom entity '#],0))&amp;":")</f>
        <v>#N/A</v>
      </c>
      <c r="G350" s="9" t="e">
        <f>IF(E350=0,"",
INDEX(entities[[line 1]:[line 4]],MATCH('cust-code'!C350,entities[custom entity '#],0),'cust-code'!E350))</f>
        <v>#N/A</v>
      </c>
      <c r="H350" s="9" t="str">
        <f t="shared" si="31"/>
        <v/>
      </c>
      <c r="I350" s="9" t="str">
        <f t="shared" si="32"/>
        <v/>
      </c>
    </row>
    <row r="351" spans="2:9" x14ac:dyDescent="0.45">
      <c r="B351" s="9">
        <f t="shared" si="30"/>
        <v>346</v>
      </c>
      <c r="C351" s="9" t="e">
        <f t="shared" si="33"/>
        <v>#N/A</v>
      </c>
      <c r="D351" s="22" t="e">
        <f>INDEX(entities[Custom Attributes],MATCH('cust-code'!C351,entities[custom entity '#],0))</f>
        <v>#N/A</v>
      </c>
      <c r="E351" s="22" t="e">
        <f t="shared" si="34"/>
        <v>#N/A</v>
      </c>
      <c r="F351" s="9" t="e">
        <f>IF(E351&gt;0,"",
INDEX(entities[entity_id],MATCH('cust-code'!C351,entities[custom entity '#],0))&amp;":")</f>
        <v>#N/A</v>
      </c>
      <c r="G351" s="9" t="e">
        <f>IF(E351=0,"",
INDEX(entities[[line 1]:[line 4]],MATCH('cust-code'!C351,entities[custom entity '#],0),'cust-code'!E351))</f>
        <v>#N/A</v>
      </c>
      <c r="H351" s="9" t="str">
        <f t="shared" si="31"/>
        <v/>
      </c>
      <c r="I351" s="9" t="str">
        <f t="shared" si="32"/>
        <v/>
      </c>
    </row>
    <row r="352" spans="2:9" x14ac:dyDescent="0.45">
      <c r="B352" s="9">
        <f t="shared" si="30"/>
        <v>347</v>
      </c>
      <c r="C352" s="9" t="e">
        <f t="shared" si="33"/>
        <v>#N/A</v>
      </c>
      <c r="D352" s="22" t="e">
        <f>INDEX(entities[Custom Attributes],MATCH('cust-code'!C352,entities[custom entity '#],0))</f>
        <v>#N/A</v>
      </c>
      <c r="E352" s="22" t="e">
        <f t="shared" si="34"/>
        <v>#N/A</v>
      </c>
      <c r="F352" s="9" t="e">
        <f>IF(E352&gt;0,"",
INDEX(entities[entity_id],MATCH('cust-code'!C352,entities[custom entity '#],0))&amp;":")</f>
        <v>#N/A</v>
      </c>
      <c r="G352" s="9" t="e">
        <f>IF(E352=0,"",
INDEX(entities[[line 1]:[line 4]],MATCH('cust-code'!C352,entities[custom entity '#],0),'cust-code'!E352))</f>
        <v>#N/A</v>
      </c>
      <c r="H352" s="9" t="str">
        <f t="shared" si="31"/>
        <v/>
      </c>
      <c r="I352" s="9" t="str">
        <f t="shared" si="32"/>
        <v/>
      </c>
    </row>
    <row r="353" spans="2:9" x14ac:dyDescent="0.45">
      <c r="B353" s="9">
        <f t="shared" si="30"/>
        <v>348</v>
      </c>
      <c r="C353" s="9" t="e">
        <f t="shared" si="33"/>
        <v>#N/A</v>
      </c>
      <c r="D353" s="22" t="e">
        <f>INDEX(entities[Custom Attributes],MATCH('cust-code'!C353,entities[custom entity '#],0))</f>
        <v>#N/A</v>
      </c>
      <c r="E353" s="22" t="e">
        <f t="shared" si="34"/>
        <v>#N/A</v>
      </c>
      <c r="F353" s="9" t="e">
        <f>IF(E353&gt;0,"",
INDEX(entities[entity_id],MATCH('cust-code'!C353,entities[custom entity '#],0))&amp;":")</f>
        <v>#N/A</v>
      </c>
      <c r="G353" s="9" t="e">
        <f>IF(E353=0,"",
INDEX(entities[[line 1]:[line 4]],MATCH('cust-code'!C353,entities[custom entity '#],0),'cust-code'!E353))</f>
        <v>#N/A</v>
      </c>
      <c r="H353" s="9" t="str">
        <f t="shared" si="31"/>
        <v/>
      </c>
      <c r="I353" s="9" t="str">
        <f t="shared" si="32"/>
        <v/>
      </c>
    </row>
    <row r="354" spans="2:9" x14ac:dyDescent="0.45">
      <c r="B354" s="9">
        <f t="shared" si="30"/>
        <v>349</v>
      </c>
      <c r="C354" s="9" t="e">
        <f t="shared" si="33"/>
        <v>#N/A</v>
      </c>
      <c r="D354" s="22" t="e">
        <f>INDEX(entities[Custom Attributes],MATCH('cust-code'!C354,entities[custom entity '#],0))</f>
        <v>#N/A</v>
      </c>
      <c r="E354" s="22" t="e">
        <f t="shared" si="34"/>
        <v>#N/A</v>
      </c>
      <c r="F354" s="9" t="e">
        <f>IF(E354&gt;0,"",
INDEX(entities[entity_id],MATCH('cust-code'!C354,entities[custom entity '#],0))&amp;":")</f>
        <v>#N/A</v>
      </c>
      <c r="G354" s="9" t="e">
        <f>IF(E354=0,"",
INDEX(entities[[line 1]:[line 4]],MATCH('cust-code'!C354,entities[custom entity '#],0),'cust-code'!E354))</f>
        <v>#N/A</v>
      </c>
      <c r="H354" s="9" t="str">
        <f t="shared" si="31"/>
        <v/>
      </c>
      <c r="I354" s="9" t="str">
        <f t="shared" si="32"/>
        <v/>
      </c>
    </row>
    <row r="355" spans="2:9" x14ac:dyDescent="0.45">
      <c r="B355" s="9">
        <f t="shared" si="30"/>
        <v>350</v>
      </c>
      <c r="C355" s="9" t="e">
        <f t="shared" si="33"/>
        <v>#N/A</v>
      </c>
      <c r="D355" s="22" t="e">
        <f>INDEX(entities[Custom Attributes],MATCH('cust-code'!C355,entities[custom entity '#],0))</f>
        <v>#N/A</v>
      </c>
      <c r="E355" s="22" t="e">
        <f t="shared" si="34"/>
        <v>#N/A</v>
      </c>
      <c r="F355" s="9" t="e">
        <f>IF(E355&gt;0,"",
INDEX(entities[entity_id],MATCH('cust-code'!C355,entities[custom entity '#],0))&amp;":")</f>
        <v>#N/A</v>
      </c>
      <c r="G355" s="9" t="e">
        <f>IF(E355=0,"",
INDEX(entities[[line 1]:[line 4]],MATCH('cust-code'!C355,entities[custom entity '#],0),'cust-code'!E355))</f>
        <v>#N/A</v>
      </c>
      <c r="H355" s="9" t="str">
        <f t="shared" si="31"/>
        <v/>
      </c>
      <c r="I355" s="9" t="str">
        <f t="shared" si="32"/>
        <v/>
      </c>
    </row>
    <row r="356" spans="2:9" x14ac:dyDescent="0.45">
      <c r="B356" s="9">
        <f t="shared" si="30"/>
        <v>351</v>
      </c>
      <c r="C356" s="9" t="e">
        <f t="shared" si="33"/>
        <v>#N/A</v>
      </c>
      <c r="D356" s="22" t="e">
        <f>INDEX(entities[Custom Attributes],MATCH('cust-code'!C356,entities[custom entity '#],0))</f>
        <v>#N/A</v>
      </c>
      <c r="E356" s="22" t="e">
        <f t="shared" si="34"/>
        <v>#N/A</v>
      </c>
      <c r="F356" s="9" t="e">
        <f>IF(E356&gt;0,"",
INDEX(entities[entity_id],MATCH('cust-code'!C356,entities[custom entity '#],0))&amp;":")</f>
        <v>#N/A</v>
      </c>
      <c r="G356" s="9" t="e">
        <f>IF(E356=0,"",
INDEX(entities[[line 1]:[line 4]],MATCH('cust-code'!C356,entities[custom entity '#],0),'cust-code'!E356))</f>
        <v>#N/A</v>
      </c>
      <c r="H356" s="9" t="str">
        <f t="shared" si="31"/>
        <v/>
      </c>
      <c r="I356" s="9" t="str">
        <f t="shared" si="32"/>
        <v/>
      </c>
    </row>
    <row r="357" spans="2:9" x14ac:dyDescent="0.45">
      <c r="B357" s="9">
        <f t="shared" si="30"/>
        <v>352</v>
      </c>
      <c r="C357" s="9" t="e">
        <f t="shared" si="33"/>
        <v>#N/A</v>
      </c>
      <c r="D357" s="22" t="e">
        <f>INDEX(entities[Custom Attributes],MATCH('cust-code'!C357,entities[custom entity '#],0))</f>
        <v>#N/A</v>
      </c>
      <c r="E357" s="22" t="e">
        <f t="shared" si="34"/>
        <v>#N/A</v>
      </c>
      <c r="F357" s="9" t="e">
        <f>IF(E357&gt;0,"",
INDEX(entities[entity_id],MATCH('cust-code'!C357,entities[custom entity '#],0))&amp;":")</f>
        <v>#N/A</v>
      </c>
      <c r="G357" s="9" t="e">
        <f>IF(E357=0,"",
INDEX(entities[[line 1]:[line 4]],MATCH('cust-code'!C357,entities[custom entity '#],0),'cust-code'!E357))</f>
        <v>#N/A</v>
      </c>
      <c r="H357" s="9" t="str">
        <f t="shared" si="31"/>
        <v/>
      </c>
      <c r="I357" s="9" t="str">
        <f t="shared" si="32"/>
        <v/>
      </c>
    </row>
    <row r="358" spans="2:9" x14ac:dyDescent="0.45">
      <c r="B358" s="9">
        <f t="shared" si="30"/>
        <v>353</v>
      </c>
      <c r="C358" s="9" t="e">
        <f t="shared" si="33"/>
        <v>#N/A</v>
      </c>
      <c r="D358" s="22" t="e">
        <f>INDEX(entities[Custom Attributes],MATCH('cust-code'!C358,entities[custom entity '#],0))</f>
        <v>#N/A</v>
      </c>
      <c r="E358" s="22" t="e">
        <f t="shared" si="34"/>
        <v>#N/A</v>
      </c>
      <c r="F358" s="9" t="e">
        <f>IF(E358&gt;0,"",
INDEX(entities[entity_id],MATCH('cust-code'!C358,entities[custom entity '#],0))&amp;":")</f>
        <v>#N/A</v>
      </c>
      <c r="G358" s="9" t="e">
        <f>IF(E358=0,"",
INDEX(entities[[line 1]:[line 4]],MATCH('cust-code'!C358,entities[custom entity '#],0),'cust-code'!E358))</f>
        <v>#N/A</v>
      </c>
      <c r="H358" s="9" t="str">
        <f t="shared" si="31"/>
        <v/>
      </c>
      <c r="I358" s="9" t="str">
        <f t="shared" si="32"/>
        <v/>
      </c>
    </row>
    <row r="359" spans="2:9" x14ac:dyDescent="0.45">
      <c r="B359" s="9">
        <f t="shared" si="30"/>
        <v>354</v>
      </c>
      <c r="C359" s="9" t="e">
        <f t="shared" si="33"/>
        <v>#N/A</v>
      </c>
      <c r="D359" s="22" t="e">
        <f>INDEX(entities[Custom Attributes],MATCH('cust-code'!C359,entities[custom entity '#],0))</f>
        <v>#N/A</v>
      </c>
      <c r="E359" s="22" t="e">
        <f t="shared" si="34"/>
        <v>#N/A</v>
      </c>
      <c r="F359" s="9" t="e">
        <f>IF(E359&gt;0,"",
INDEX(entities[entity_id],MATCH('cust-code'!C359,entities[custom entity '#],0))&amp;":")</f>
        <v>#N/A</v>
      </c>
      <c r="G359" s="9" t="e">
        <f>IF(E359=0,"",
INDEX(entities[[line 1]:[line 4]],MATCH('cust-code'!C359,entities[custom entity '#],0),'cust-code'!E359))</f>
        <v>#N/A</v>
      </c>
      <c r="H359" s="9" t="str">
        <f t="shared" si="31"/>
        <v/>
      </c>
      <c r="I359" s="9" t="str">
        <f t="shared" si="32"/>
        <v/>
      </c>
    </row>
    <row r="360" spans="2:9" x14ac:dyDescent="0.45">
      <c r="B360" s="9">
        <f t="shared" si="30"/>
        <v>355</v>
      </c>
      <c r="C360" s="9" t="e">
        <f t="shared" si="33"/>
        <v>#N/A</v>
      </c>
      <c r="D360" s="22" t="e">
        <f>INDEX(entities[Custom Attributes],MATCH('cust-code'!C360,entities[custom entity '#],0))</f>
        <v>#N/A</v>
      </c>
      <c r="E360" s="22" t="e">
        <f t="shared" si="34"/>
        <v>#N/A</v>
      </c>
      <c r="F360" s="9" t="e">
        <f>IF(E360&gt;0,"",
INDEX(entities[entity_id],MATCH('cust-code'!C360,entities[custom entity '#],0))&amp;":")</f>
        <v>#N/A</v>
      </c>
      <c r="G360" s="9" t="e">
        <f>IF(E360=0,"",
INDEX(entities[[line 1]:[line 4]],MATCH('cust-code'!C360,entities[custom entity '#],0),'cust-code'!E360))</f>
        <v>#N/A</v>
      </c>
      <c r="H360" s="9" t="str">
        <f t="shared" si="31"/>
        <v/>
      </c>
      <c r="I360" s="9" t="str">
        <f t="shared" si="32"/>
        <v/>
      </c>
    </row>
    <row r="361" spans="2:9" x14ac:dyDescent="0.45">
      <c r="B361" s="9">
        <f t="shared" si="30"/>
        <v>356</v>
      </c>
      <c r="C361" s="9" t="e">
        <f t="shared" si="33"/>
        <v>#N/A</v>
      </c>
      <c r="D361" s="22" t="e">
        <f>INDEX(entities[Custom Attributes],MATCH('cust-code'!C361,entities[custom entity '#],0))</f>
        <v>#N/A</v>
      </c>
      <c r="E361" s="22" t="e">
        <f t="shared" si="34"/>
        <v>#N/A</v>
      </c>
      <c r="F361" s="9" t="e">
        <f>IF(E361&gt;0,"",
INDEX(entities[entity_id],MATCH('cust-code'!C361,entities[custom entity '#],0))&amp;":")</f>
        <v>#N/A</v>
      </c>
      <c r="G361" s="9" t="e">
        <f>IF(E361=0,"",
INDEX(entities[[line 1]:[line 4]],MATCH('cust-code'!C361,entities[custom entity '#],0),'cust-code'!E361))</f>
        <v>#N/A</v>
      </c>
      <c r="H361" s="9" t="str">
        <f t="shared" si="31"/>
        <v/>
      </c>
      <c r="I361" s="9" t="str">
        <f t="shared" si="32"/>
        <v/>
      </c>
    </row>
    <row r="362" spans="2:9" x14ac:dyDescent="0.45">
      <c r="B362" s="9">
        <f t="shared" si="30"/>
        <v>357</v>
      </c>
      <c r="C362" s="9" t="e">
        <f t="shared" si="33"/>
        <v>#N/A</v>
      </c>
      <c r="D362" s="22" t="e">
        <f>INDEX(entities[Custom Attributes],MATCH('cust-code'!C362,entities[custom entity '#],0))</f>
        <v>#N/A</v>
      </c>
      <c r="E362" s="22" t="e">
        <f t="shared" si="34"/>
        <v>#N/A</v>
      </c>
      <c r="F362" s="9" t="e">
        <f>IF(E362&gt;0,"",
INDEX(entities[entity_id],MATCH('cust-code'!C362,entities[custom entity '#],0))&amp;":")</f>
        <v>#N/A</v>
      </c>
      <c r="G362" s="9" t="e">
        <f>IF(E362=0,"",
INDEX(entities[[line 1]:[line 4]],MATCH('cust-code'!C362,entities[custom entity '#],0),'cust-code'!E362))</f>
        <v>#N/A</v>
      </c>
      <c r="H362" s="9" t="str">
        <f t="shared" si="31"/>
        <v/>
      </c>
      <c r="I362" s="9" t="str">
        <f t="shared" si="32"/>
        <v/>
      </c>
    </row>
    <row r="363" spans="2:9" x14ac:dyDescent="0.45">
      <c r="B363" s="9">
        <f t="shared" si="30"/>
        <v>358</v>
      </c>
      <c r="C363" s="9" t="e">
        <f t="shared" si="33"/>
        <v>#N/A</v>
      </c>
      <c r="D363" s="22" t="e">
        <f>INDEX(entities[Custom Attributes],MATCH('cust-code'!C363,entities[custom entity '#],0))</f>
        <v>#N/A</v>
      </c>
      <c r="E363" s="22" t="e">
        <f t="shared" si="34"/>
        <v>#N/A</v>
      </c>
      <c r="F363" s="9" t="e">
        <f>IF(E363&gt;0,"",
INDEX(entities[entity_id],MATCH('cust-code'!C363,entities[custom entity '#],0))&amp;":")</f>
        <v>#N/A</v>
      </c>
      <c r="G363" s="9" t="e">
        <f>IF(E363=0,"",
INDEX(entities[[line 1]:[line 4]],MATCH('cust-code'!C363,entities[custom entity '#],0),'cust-code'!E363))</f>
        <v>#N/A</v>
      </c>
      <c r="H363" s="9" t="str">
        <f t="shared" si="31"/>
        <v/>
      </c>
      <c r="I363" s="9" t="str">
        <f t="shared" si="32"/>
        <v/>
      </c>
    </row>
    <row r="364" spans="2:9" x14ac:dyDescent="0.45">
      <c r="B364" s="9">
        <f t="shared" si="30"/>
        <v>359</v>
      </c>
      <c r="C364" s="9" t="e">
        <f t="shared" si="33"/>
        <v>#N/A</v>
      </c>
      <c r="D364" s="22" t="e">
        <f>INDEX(entities[Custom Attributes],MATCH('cust-code'!C364,entities[custom entity '#],0))</f>
        <v>#N/A</v>
      </c>
      <c r="E364" s="22" t="e">
        <f t="shared" si="34"/>
        <v>#N/A</v>
      </c>
      <c r="F364" s="9" t="e">
        <f>IF(E364&gt;0,"",
INDEX(entities[entity_id],MATCH('cust-code'!C364,entities[custom entity '#],0))&amp;":")</f>
        <v>#N/A</v>
      </c>
      <c r="G364" s="9" t="e">
        <f>IF(E364=0,"",
INDEX(entities[[line 1]:[line 4]],MATCH('cust-code'!C364,entities[custom entity '#],0),'cust-code'!E364))</f>
        <v>#N/A</v>
      </c>
      <c r="H364" s="9" t="str">
        <f t="shared" si="31"/>
        <v/>
      </c>
      <c r="I364" s="9" t="str">
        <f t="shared" si="32"/>
        <v/>
      </c>
    </row>
    <row r="365" spans="2:9" x14ac:dyDescent="0.45">
      <c r="B365" s="9">
        <f t="shared" si="30"/>
        <v>360</v>
      </c>
      <c r="C365" s="9" t="e">
        <f t="shared" si="33"/>
        <v>#N/A</v>
      </c>
      <c r="D365" s="22" t="e">
        <f>INDEX(entities[Custom Attributes],MATCH('cust-code'!C365,entities[custom entity '#],0))</f>
        <v>#N/A</v>
      </c>
      <c r="E365" s="22" t="e">
        <f t="shared" si="34"/>
        <v>#N/A</v>
      </c>
      <c r="F365" s="9" t="e">
        <f>IF(E365&gt;0,"",
INDEX(entities[entity_id],MATCH('cust-code'!C365,entities[custom entity '#],0))&amp;":")</f>
        <v>#N/A</v>
      </c>
      <c r="G365" s="9" t="e">
        <f>IF(E365=0,"",
INDEX(entities[[line 1]:[line 4]],MATCH('cust-code'!C365,entities[custom entity '#],0),'cust-code'!E365))</f>
        <v>#N/A</v>
      </c>
      <c r="H365" s="9" t="str">
        <f t="shared" si="31"/>
        <v/>
      </c>
      <c r="I365" s="9" t="str">
        <f t="shared" si="32"/>
        <v/>
      </c>
    </row>
    <row r="366" spans="2:9" x14ac:dyDescent="0.45">
      <c r="B366" s="9">
        <f t="shared" si="30"/>
        <v>361</v>
      </c>
      <c r="C366" s="9" t="e">
        <f t="shared" si="33"/>
        <v>#N/A</v>
      </c>
      <c r="D366" s="22" t="e">
        <f>INDEX(entities[Custom Attributes],MATCH('cust-code'!C366,entities[custom entity '#],0))</f>
        <v>#N/A</v>
      </c>
      <c r="E366" s="22" t="e">
        <f t="shared" si="34"/>
        <v>#N/A</v>
      </c>
      <c r="F366" s="9" t="e">
        <f>IF(E366&gt;0,"",
INDEX(entities[entity_id],MATCH('cust-code'!C366,entities[custom entity '#],0))&amp;":")</f>
        <v>#N/A</v>
      </c>
      <c r="G366" s="9" t="e">
        <f>IF(E366=0,"",
INDEX(entities[[line 1]:[line 4]],MATCH('cust-code'!C366,entities[custom entity '#],0),'cust-code'!E366))</f>
        <v>#N/A</v>
      </c>
      <c r="H366" s="9" t="str">
        <f t="shared" si="31"/>
        <v/>
      </c>
      <c r="I366" s="9" t="str">
        <f t="shared" si="32"/>
        <v/>
      </c>
    </row>
    <row r="367" spans="2:9" x14ac:dyDescent="0.45">
      <c r="B367" s="9">
        <f t="shared" si="30"/>
        <v>362</v>
      </c>
      <c r="C367" s="9" t="e">
        <f t="shared" si="33"/>
        <v>#N/A</v>
      </c>
      <c r="D367" s="22" t="e">
        <f>INDEX(entities[Custom Attributes],MATCH('cust-code'!C367,entities[custom entity '#],0))</f>
        <v>#N/A</v>
      </c>
      <c r="E367" s="22" t="e">
        <f t="shared" si="34"/>
        <v>#N/A</v>
      </c>
      <c r="F367" s="9" t="e">
        <f>IF(E367&gt;0,"",
INDEX(entities[entity_id],MATCH('cust-code'!C367,entities[custom entity '#],0))&amp;":")</f>
        <v>#N/A</v>
      </c>
      <c r="G367" s="9" t="e">
        <f>IF(E367=0,"",
INDEX(entities[[line 1]:[line 4]],MATCH('cust-code'!C367,entities[custom entity '#],0),'cust-code'!E367))</f>
        <v>#N/A</v>
      </c>
      <c r="H367" s="9" t="str">
        <f t="shared" si="31"/>
        <v/>
      </c>
      <c r="I367" s="9" t="str">
        <f t="shared" si="32"/>
        <v/>
      </c>
    </row>
    <row r="368" spans="2:9" x14ac:dyDescent="0.45">
      <c r="B368" s="9">
        <f t="shared" si="30"/>
        <v>363</v>
      </c>
      <c r="C368" s="9" t="e">
        <f t="shared" si="33"/>
        <v>#N/A</v>
      </c>
      <c r="D368" s="22" t="e">
        <f>INDEX(entities[Custom Attributes],MATCH('cust-code'!C368,entities[custom entity '#],0))</f>
        <v>#N/A</v>
      </c>
      <c r="E368" s="22" t="e">
        <f t="shared" si="34"/>
        <v>#N/A</v>
      </c>
      <c r="F368" s="9" t="e">
        <f>IF(E368&gt;0,"",
INDEX(entities[entity_id],MATCH('cust-code'!C368,entities[custom entity '#],0))&amp;":")</f>
        <v>#N/A</v>
      </c>
      <c r="G368" s="9" t="e">
        <f>IF(E368=0,"",
INDEX(entities[[line 1]:[line 4]],MATCH('cust-code'!C368,entities[custom entity '#],0),'cust-code'!E368))</f>
        <v>#N/A</v>
      </c>
      <c r="H368" s="9" t="str">
        <f t="shared" si="31"/>
        <v/>
      </c>
      <c r="I368" s="9" t="str">
        <f t="shared" si="32"/>
        <v/>
      </c>
    </row>
    <row r="369" spans="2:9" x14ac:dyDescent="0.45">
      <c r="B369" s="9">
        <f t="shared" si="30"/>
        <v>364</v>
      </c>
      <c r="C369" s="9" t="e">
        <f t="shared" si="33"/>
        <v>#N/A</v>
      </c>
      <c r="D369" s="22" t="e">
        <f>INDEX(entities[Custom Attributes],MATCH('cust-code'!C369,entities[custom entity '#],0))</f>
        <v>#N/A</v>
      </c>
      <c r="E369" s="22" t="e">
        <f t="shared" si="34"/>
        <v>#N/A</v>
      </c>
      <c r="F369" s="9" t="e">
        <f>IF(E369&gt;0,"",
INDEX(entities[entity_id],MATCH('cust-code'!C369,entities[custom entity '#],0))&amp;":")</f>
        <v>#N/A</v>
      </c>
      <c r="G369" s="9" t="e">
        <f>IF(E369=0,"",
INDEX(entities[[line 1]:[line 4]],MATCH('cust-code'!C369,entities[custom entity '#],0),'cust-code'!E369))</f>
        <v>#N/A</v>
      </c>
      <c r="H369" s="9" t="str">
        <f t="shared" si="31"/>
        <v/>
      </c>
      <c r="I369" s="9" t="str">
        <f t="shared" si="32"/>
        <v/>
      </c>
    </row>
    <row r="370" spans="2:9" x14ac:dyDescent="0.45">
      <c r="B370" s="9">
        <f t="shared" si="30"/>
        <v>365</v>
      </c>
      <c r="C370" s="9" t="e">
        <f t="shared" si="33"/>
        <v>#N/A</v>
      </c>
      <c r="D370" s="22" t="e">
        <f>INDEX(entities[Custom Attributes],MATCH('cust-code'!C370,entities[custom entity '#],0))</f>
        <v>#N/A</v>
      </c>
      <c r="E370" s="22" t="e">
        <f t="shared" si="34"/>
        <v>#N/A</v>
      </c>
      <c r="F370" s="9" t="e">
        <f>IF(E370&gt;0,"",
INDEX(entities[entity_id],MATCH('cust-code'!C370,entities[custom entity '#],0))&amp;":")</f>
        <v>#N/A</v>
      </c>
      <c r="G370" s="9" t="e">
        <f>IF(E370=0,"",
INDEX(entities[[line 1]:[line 4]],MATCH('cust-code'!C370,entities[custom entity '#],0),'cust-code'!E370))</f>
        <v>#N/A</v>
      </c>
      <c r="H370" s="9" t="str">
        <f t="shared" si="31"/>
        <v/>
      </c>
      <c r="I370" s="9" t="str">
        <f t="shared" si="32"/>
        <v/>
      </c>
    </row>
    <row r="371" spans="2:9" x14ac:dyDescent="0.45">
      <c r="B371" s="9">
        <f t="shared" si="30"/>
        <v>366</v>
      </c>
      <c r="C371" s="9" t="e">
        <f t="shared" si="33"/>
        <v>#N/A</v>
      </c>
      <c r="D371" s="22" t="e">
        <f>INDEX(entities[Custom Attributes],MATCH('cust-code'!C371,entities[custom entity '#],0))</f>
        <v>#N/A</v>
      </c>
      <c r="E371" s="22" t="e">
        <f t="shared" si="34"/>
        <v>#N/A</v>
      </c>
      <c r="F371" s="9" t="e">
        <f>IF(E371&gt;0,"",
INDEX(entities[entity_id],MATCH('cust-code'!C371,entities[custom entity '#],0))&amp;":")</f>
        <v>#N/A</v>
      </c>
      <c r="G371" s="9" t="e">
        <f>IF(E371=0,"",
INDEX(entities[[line 1]:[line 4]],MATCH('cust-code'!C371,entities[custom entity '#],0),'cust-code'!E371))</f>
        <v>#N/A</v>
      </c>
      <c r="H371" s="9" t="str">
        <f t="shared" si="31"/>
        <v/>
      </c>
      <c r="I371" s="9" t="str">
        <f t="shared" si="32"/>
        <v/>
      </c>
    </row>
    <row r="372" spans="2:9" x14ac:dyDescent="0.45">
      <c r="B372" s="9">
        <f t="shared" si="30"/>
        <v>367</v>
      </c>
      <c r="C372" s="9" t="e">
        <f t="shared" si="33"/>
        <v>#N/A</v>
      </c>
      <c r="D372" s="22" t="e">
        <f>INDEX(entities[Custom Attributes],MATCH('cust-code'!C372,entities[custom entity '#],0))</f>
        <v>#N/A</v>
      </c>
      <c r="E372" s="22" t="e">
        <f t="shared" si="34"/>
        <v>#N/A</v>
      </c>
      <c r="F372" s="9" t="e">
        <f>IF(E372&gt;0,"",
INDEX(entities[entity_id],MATCH('cust-code'!C372,entities[custom entity '#],0))&amp;":")</f>
        <v>#N/A</v>
      </c>
      <c r="G372" s="9" t="e">
        <f>IF(E372=0,"",
INDEX(entities[[line 1]:[line 4]],MATCH('cust-code'!C372,entities[custom entity '#],0),'cust-code'!E372))</f>
        <v>#N/A</v>
      </c>
      <c r="H372" s="9" t="str">
        <f t="shared" si="31"/>
        <v/>
      </c>
      <c r="I372" s="9" t="str">
        <f t="shared" si="32"/>
        <v/>
      </c>
    </row>
    <row r="373" spans="2:9" x14ac:dyDescent="0.45">
      <c r="B373" s="9">
        <f t="shared" si="30"/>
        <v>368</v>
      </c>
      <c r="C373" s="9" t="e">
        <f t="shared" si="33"/>
        <v>#N/A</v>
      </c>
      <c r="D373" s="22" t="e">
        <f>INDEX(entities[Custom Attributes],MATCH('cust-code'!C373,entities[custom entity '#],0))</f>
        <v>#N/A</v>
      </c>
      <c r="E373" s="22" t="e">
        <f t="shared" si="34"/>
        <v>#N/A</v>
      </c>
      <c r="F373" s="9" t="e">
        <f>IF(E373&gt;0,"",
INDEX(entities[entity_id],MATCH('cust-code'!C373,entities[custom entity '#],0))&amp;":")</f>
        <v>#N/A</v>
      </c>
      <c r="G373" s="9" t="e">
        <f>IF(E373=0,"",
INDEX(entities[[line 1]:[line 4]],MATCH('cust-code'!C373,entities[custom entity '#],0),'cust-code'!E373))</f>
        <v>#N/A</v>
      </c>
      <c r="H373" s="9" t="str">
        <f t="shared" si="31"/>
        <v/>
      </c>
      <c r="I373" s="9" t="str">
        <f t="shared" si="32"/>
        <v/>
      </c>
    </row>
    <row r="374" spans="2:9" x14ac:dyDescent="0.45">
      <c r="B374" s="9">
        <f t="shared" si="30"/>
        <v>369</v>
      </c>
      <c r="C374" s="9" t="e">
        <f t="shared" si="33"/>
        <v>#N/A</v>
      </c>
      <c r="D374" s="22" t="e">
        <f>INDEX(entities[Custom Attributes],MATCH('cust-code'!C374,entities[custom entity '#],0))</f>
        <v>#N/A</v>
      </c>
      <c r="E374" s="22" t="e">
        <f t="shared" si="34"/>
        <v>#N/A</v>
      </c>
      <c r="F374" s="9" t="e">
        <f>IF(E374&gt;0,"",
INDEX(entities[entity_id],MATCH('cust-code'!C374,entities[custom entity '#],0))&amp;":")</f>
        <v>#N/A</v>
      </c>
      <c r="G374" s="9" t="e">
        <f>IF(E374=0,"",
INDEX(entities[[line 1]:[line 4]],MATCH('cust-code'!C374,entities[custom entity '#],0),'cust-code'!E374))</f>
        <v>#N/A</v>
      </c>
      <c r="H374" s="9" t="str">
        <f t="shared" si="31"/>
        <v/>
      </c>
      <c r="I374" s="9" t="str">
        <f t="shared" si="32"/>
        <v/>
      </c>
    </row>
    <row r="375" spans="2:9" x14ac:dyDescent="0.45">
      <c r="B375" s="9">
        <f t="shared" si="30"/>
        <v>370</v>
      </c>
      <c r="C375" s="9" t="e">
        <f t="shared" si="33"/>
        <v>#N/A</v>
      </c>
      <c r="D375" s="22" t="e">
        <f>INDEX(entities[Custom Attributes],MATCH('cust-code'!C375,entities[custom entity '#],0))</f>
        <v>#N/A</v>
      </c>
      <c r="E375" s="22" t="e">
        <f t="shared" si="34"/>
        <v>#N/A</v>
      </c>
      <c r="F375" s="9" t="e">
        <f>IF(E375&gt;0,"",
INDEX(entities[entity_id],MATCH('cust-code'!C375,entities[custom entity '#],0))&amp;":")</f>
        <v>#N/A</v>
      </c>
      <c r="G375" s="9" t="e">
        <f>IF(E375=0,"",
INDEX(entities[[line 1]:[line 4]],MATCH('cust-code'!C375,entities[custom entity '#],0),'cust-code'!E375))</f>
        <v>#N/A</v>
      </c>
      <c r="H375" s="9" t="str">
        <f t="shared" si="31"/>
        <v/>
      </c>
      <c r="I375" s="9" t="str">
        <f t="shared" si="32"/>
        <v/>
      </c>
    </row>
    <row r="376" spans="2:9" x14ac:dyDescent="0.45">
      <c r="B376" s="9">
        <f t="shared" si="30"/>
        <v>371</v>
      </c>
      <c r="C376" s="9" t="e">
        <f t="shared" si="33"/>
        <v>#N/A</v>
      </c>
      <c r="D376" s="22" t="e">
        <f>INDEX(entities[Custom Attributes],MATCH('cust-code'!C376,entities[custom entity '#],0))</f>
        <v>#N/A</v>
      </c>
      <c r="E376" s="22" t="e">
        <f t="shared" si="34"/>
        <v>#N/A</v>
      </c>
      <c r="F376" s="9" t="e">
        <f>IF(E376&gt;0,"",
INDEX(entities[entity_id],MATCH('cust-code'!C376,entities[custom entity '#],0))&amp;":")</f>
        <v>#N/A</v>
      </c>
      <c r="G376" s="9" t="e">
        <f>IF(E376=0,"",
INDEX(entities[[line 1]:[line 4]],MATCH('cust-code'!C376,entities[custom entity '#],0),'cust-code'!E376))</f>
        <v>#N/A</v>
      </c>
      <c r="H376" s="9" t="str">
        <f t="shared" si="31"/>
        <v/>
      </c>
      <c r="I376" s="9" t="str">
        <f t="shared" si="32"/>
        <v/>
      </c>
    </row>
    <row r="377" spans="2:9" x14ac:dyDescent="0.45">
      <c r="B377" s="9">
        <f t="shared" si="30"/>
        <v>372</v>
      </c>
      <c r="C377" s="9" t="e">
        <f t="shared" si="33"/>
        <v>#N/A</v>
      </c>
      <c r="D377" s="22" t="e">
        <f>INDEX(entities[Custom Attributes],MATCH('cust-code'!C377,entities[custom entity '#],0))</f>
        <v>#N/A</v>
      </c>
      <c r="E377" s="22" t="e">
        <f t="shared" si="34"/>
        <v>#N/A</v>
      </c>
      <c r="F377" s="9" t="e">
        <f>IF(E377&gt;0,"",
INDEX(entities[entity_id],MATCH('cust-code'!C377,entities[custom entity '#],0))&amp;":")</f>
        <v>#N/A</v>
      </c>
      <c r="G377" s="9" t="e">
        <f>IF(E377=0,"",
INDEX(entities[[line 1]:[line 4]],MATCH('cust-code'!C377,entities[custom entity '#],0),'cust-code'!E377))</f>
        <v>#N/A</v>
      </c>
      <c r="H377" s="9" t="str">
        <f t="shared" si="31"/>
        <v/>
      </c>
      <c r="I377" s="9" t="str">
        <f t="shared" si="32"/>
        <v/>
      </c>
    </row>
    <row r="378" spans="2:9" x14ac:dyDescent="0.45">
      <c r="B378" s="9">
        <f t="shared" si="30"/>
        <v>373</v>
      </c>
      <c r="C378" s="9" t="e">
        <f t="shared" si="33"/>
        <v>#N/A</v>
      </c>
      <c r="D378" s="22" t="e">
        <f>INDEX(entities[Custom Attributes],MATCH('cust-code'!C378,entities[custom entity '#],0))</f>
        <v>#N/A</v>
      </c>
      <c r="E378" s="22" t="e">
        <f t="shared" si="34"/>
        <v>#N/A</v>
      </c>
      <c r="F378" s="9" t="e">
        <f>IF(E378&gt;0,"",
INDEX(entities[entity_id],MATCH('cust-code'!C378,entities[custom entity '#],0))&amp;":")</f>
        <v>#N/A</v>
      </c>
      <c r="G378" s="9" t="e">
        <f>IF(E378=0,"",
INDEX(entities[[line 1]:[line 4]],MATCH('cust-code'!C378,entities[custom entity '#],0),'cust-code'!E378))</f>
        <v>#N/A</v>
      </c>
      <c r="H378" s="9" t="str">
        <f t="shared" si="31"/>
        <v/>
      </c>
      <c r="I378" s="9" t="str">
        <f t="shared" si="32"/>
        <v/>
      </c>
    </row>
    <row r="379" spans="2:9" x14ac:dyDescent="0.45">
      <c r="B379" s="9">
        <f t="shared" si="30"/>
        <v>374</v>
      </c>
      <c r="C379" s="9" t="e">
        <f t="shared" si="33"/>
        <v>#N/A</v>
      </c>
      <c r="D379" s="22" t="e">
        <f>INDEX(entities[Custom Attributes],MATCH('cust-code'!C379,entities[custom entity '#],0))</f>
        <v>#N/A</v>
      </c>
      <c r="E379" s="22" t="e">
        <f t="shared" si="34"/>
        <v>#N/A</v>
      </c>
      <c r="F379" s="9" t="e">
        <f>IF(E379&gt;0,"",
INDEX(entities[entity_id],MATCH('cust-code'!C379,entities[custom entity '#],0))&amp;":")</f>
        <v>#N/A</v>
      </c>
      <c r="G379" s="9" t="e">
        <f>IF(E379=0,"",
INDEX(entities[[line 1]:[line 4]],MATCH('cust-code'!C379,entities[custom entity '#],0),'cust-code'!E379))</f>
        <v>#N/A</v>
      </c>
      <c r="H379" s="9" t="str">
        <f t="shared" si="31"/>
        <v/>
      </c>
      <c r="I379" s="9" t="str">
        <f t="shared" si="32"/>
        <v/>
      </c>
    </row>
    <row r="380" spans="2:9" x14ac:dyDescent="0.45">
      <c r="B380" s="9">
        <f t="shared" si="30"/>
        <v>375</v>
      </c>
      <c r="C380" s="9" t="e">
        <f t="shared" si="33"/>
        <v>#N/A</v>
      </c>
      <c r="D380" s="22" t="e">
        <f>INDEX(entities[Custom Attributes],MATCH('cust-code'!C380,entities[custom entity '#],0))</f>
        <v>#N/A</v>
      </c>
      <c r="E380" s="22" t="e">
        <f t="shared" si="34"/>
        <v>#N/A</v>
      </c>
      <c r="F380" s="9" t="e">
        <f>IF(E380&gt;0,"",
INDEX(entities[entity_id],MATCH('cust-code'!C380,entities[custom entity '#],0))&amp;":")</f>
        <v>#N/A</v>
      </c>
      <c r="G380" s="9" t="e">
        <f>IF(E380=0,"",
INDEX(entities[[line 1]:[line 4]],MATCH('cust-code'!C380,entities[custom entity '#],0),'cust-code'!E380))</f>
        <v>#N/A</v>
      </c>
      <c r="H380" s="9" t="str">
        <f t="shared" si="31"/>
        <v/>
      </c>
      <c r="I380" s="9" t="str">
        <f t="shared" si="32"/>
        <v/>
      </c>
    </row>
    <row r="381" spans="2:9" x14ac:dyDescent="0.45">
      <c r="B381" s="9">
        <f t="shared" si="30"/>
        <v>376</v>
      </c>
      <c r="C381" s="9" t="e">
        <f t="shared" si="33"/>
        <v>#N/A</v>
      </c>
      <c r="D381" s="22" t="e">
        <f>INDEX(entities[Custom Attributes],MATCH('cust-code'!C381,entities[custom entity '#],0))</f>
        <v>#N/A</v>
      </c>
      <c r="E381" s="22" t="e">
        <f t="shared" si="34"/>
        <v>#N/A</v>
      </c>
      <c r="F381" s="9" t="e">
        <f>IF(E381&gt;0,"",
INDEX(entities[entity_id],MATCH('cust-code'!C381,entities[custom entity '#],0))&amp;":")</f>
        <v>#N/A</v>
      </c>
      <c r="G381" s="9" t="e">
        <f>IF(E381=0,"",
INDEX(entities[[line 1]:[line 4]],MATCH('cust-code'!C381,entities[custom entity '#],0),'cust-code'!E381))</f>
        <v>#N/A</v>
      </c>
      <c r="H381" s="9" t="str">
        <f t="shared" si="31"/>
        <v/>
      </c>
      <c r="I381" s="9" t="str">
        <f t="shared" si="32"/>
        <v/>
      </c>
    </row>
    <row r="382" spans="2:9" x14ac:dyDescent="0.45">
      <c r="B382" s="9">
        <f t="shared" si="30"/>
        <v>377</v>
      </c>
      <c r="C382" s="9" t="e">
        <f t="shared" si="33"/>
        <v>#N/A</v>
      </c>
      <c r="D382" s="22" t="e">
        <f>INDEX(entities[Custom Attributes],MATCH('cust-code'!C382,entities[custom entity '#],0))</f>
        <v>#N/A</v>
      </c>
      <c r="E382" s="22" t="e">
        <f t="shared" si="34"/>
        <v>#N/A</v>
      </c>
      <c r="F382" s="9" t="e">
        <f>IF(E382&gt;0,"",
INDEX(entities[entity_id],MATCH('cust-code'!C382,entities[custom entity '#],0))&amp;":")</f>
        <v>#N/A</v>
      </c>
      <c r="G382" s="9" t="e">
        <f>IF(E382=0,"",
INDEX(entities[[line 1]:[line 4]],MATCH('cust-code'!C382,entities[custom entity '#],0),'cust-code'!E382))</f>
        <v>#N/A</v>
      </c>
      <c r="H382" s="9" t="str">
        <f t="shared" si="31"/>
        <v/>
      </c>
      <c r="I382" s="9" t="str">
        <f t="shared" si="32"/>
        <v/>
      </c>
    </row>
    <row r="383" spans="2:9" x14ac:dyDescent="0.45">
      <c r="B383" s="9">
        <f t="shared" si="30"/>
        <v>378</v>
      </c>
      <c r="C383" s="9" t="e">
        <f t="shared" si="33"/>
        <v>#N/A</v>
      </c>
      <c r="D383" s="22" t="e">
        <f>INDEX(entities[Custom Attributes],MATCH('cust-code'!C383,entities[custom entity '#],0))</f>
        <v>#N/A</v>
      </c>
      <c r="E383" s="22" t="e">
        <f t="shared" si="34"/>
        <v>#N/A</v>
      </c>
      <c r="F383" s="9" t="e">
        <f>IF(E383&gt;0,"",
INDEX(entities[entity_id],MATCH('cust-code'!C383,entities[custom entity '#],0))&amp;":")</f>
        <v>#N/A</v>
      </c>
      <c r="G383" s="9" t="e">
        <f>IF(E383=0,"",
INDEX(entities[[line 1]:[line 4]],MATCH('cust-code'!C383,entities[custom entity '#],0),'cust-code'!E383))</f>
        <v>#N/A</v>
      </c>
      <c r="H383" s="9" t="str">
        <f t="shared" si="31"/>
        <v/>
      </c>
      <c r="I383" s="9" t="str">
        <f t="shared" si="32"/>
        <v/>
      </c>
    </row>
    <row r="384" spans="2:9" x14ac:dyDescent="0.45">
      <c r="B384" s="9">
        <f t="shared" si="30"/>
        <v>379</v>
      </c>
      <c r="C384" s="9" t="e">
        <f t="shared" si="33"/>
        <v>#N/A</v>
      </c>
      <c r="D384" s="22" t="e">
        <f>INDEX(entities[Custom Attributes],MATCH('cust-code'!C384,entities[custom entity '#],0))</f>
        <v>#N/A</v>
      </c>
      <c r="E384" s="22" t="e">
        <f t="shared" si="34"/>
        <v>#N/A</v>
      </c>
      <c r="F384" s="9" t="e">
        <f>IF(E384&gt;0,"",
INDEX(entities[entity_id],MATCH('cust-code'!C384,entities[custom entity '#],0))&amp;":")</f>
        <v>#N/A</v>
      </c>
      <c r="G384" s="9" t="e">
        <f>IF(E384=0,"",
INDEX(entities[[line 1]:[line 4]],MATCH('cust-code'!C384,entities[custom entity '#],0),'cust-code'!E384))</f>
        <v>#N/A</v>
      </c>
      <c r="H384" s="9" t="str">
        <f t="shared" si="31"/>
        <v/>
      </c>
      <c r="I384" s="9" t="str">
        <f t="shared" si="32"/>
        <v/>
      </c>
    </row>
    <row r="385" spans="2:9" x14ac:dyDescent="0.45">
      <c r="B385" s="9">
        <f t="shared" si="30"/>
        <v>380</v>
      </c>
      <c r="C385" s="9" t="e">
        <f t="shared" si="33"/>
        <v>#N/A</v>
      </c>
      <c r="D385" s="22" t="e">
        <f>INDEX(entities[Custom Attributes],MATCH('cust-code'!C385,entities[custom entity '#],0))</f>
        <v>#N/A</v>
      </c>
      <c r="E385" s="22" t="e">
        <f t="shared" si="34"/>
        <v>#N/A</v>
      </c>
      <c r="F385" s="9" t="e">
        <f>IF(E385&gt;0,"",
INDEX(entities[entity_id],MATCH('cust-code'!C385,entities[custom entity '#],0))&amp;":")</f>
        <v>#N/A</v>
      </c>
      <c r="G385" s="9" t="e">
        <f>IF(E385=0,"",
INDEX(entities[[line 1]:[line 4]],MATCH('cust-code'!C385,entities[custom entity '#],0),'cust-code'!E385))</f>
        <v>#N/A</v>
      </c>
      <c r="H385" s="9" t="str">
        <f t="shared" si="31"/>
        <v/>
      </c>
      <c r="I385" s="9" t="str">
        <f t="shared" si="32"/>
        <v/>
      </c>
    </row>
    <row r="386" spans="2:9" x14ac:dyDescent="0.45">
      <c r="B386" s="9">
        <f t="shared" si="30"/>
        <v>381</v>
      </c>
      <c r="C386" s="9" t="e">
        <f t="shared" si="33"/>
        <v>#N/A</v>
      </c>
      <c r="D386" s="22" t="e">
        <f>INDEX(entities[Custom Attributes],MATCH('cust-code'!C386,entities[custom entity '#],0))</f>
        <v>#N/A</v>
      </c>
      <c r="E386" s="22" t="e">
        <f t="shared" si="34"/>
        <v>#N/A</v>
      </c>
      <c r="F386" s="9" t="e">
        <f>IF(E386&gt;0,"",
INDEX(entities[entity_id],MATCH('cust-code'!C386,entities[custom entity '#],0))&amp;":")</f>
        <v>#N/A</v>
      </c>
      <c r="G386" s="9" t="e">
        <f>IF(E386=0,"",
INDEX(entities[[line 1]:[line 4]],MATCH('cust-code'!C386,entities[custom entity '#],0),'cust-code'!E386))</f>
        <v>#N/A</v>
      </c>
      <c r="H386" s="9" t="str">
        <f t="shared" si="31"/>
        <v/>
      </c>
      <c r="I386" s="9" t="str">
        <f t="shared" si="32"/>
        <v/>
      </c>
    </row>
    <row r="387" spans="2:9" x14ac:dyDescent="0.45">
      <c r="B387" s="9">
        <f t="shared" si="30"/>
        <v>382</v>
      </c>
      <c r="C387" s="9" t="e">
        <f t="shared" si="33"/>
        <v>#N/A</v>
      </c>
      <c r="D387" s="22" t="e">
        <f>INDEX(entities[Custom Attributes],MATCH('cust-code'!C387,entities[custom entity '#],0))</f>
        <v>#N/A</v>
      </c>
      <c r="E387" s="22" t="e">
        <f t="shared" si="34"/>
        <v>#N/A</v>
      </c>
      <c r="F387" s="9" t="e">
        <f>IF(E387&gt;0,"",
INDEX(entities[entity_id],MATCH('cust-code'!C387,entities[custom entity '#],0))&amp;":")</f>
        <v>#N/A</v>
      </c>
      <c r="G387" s="9" t="e">
        <f>IF(E387=0,"",
INDEX(entities[[line 1]:[line 4]],MATCH('cust-code'!C387,entities[custom entity '#],0),'cust-code'!E387))</f>
        <v>#N/A</v>
      </c>
      <c r="H387" s="9" t="str">
        <f t="shared" si="31"/>
        <v/>
      </c>
      <c r="I387" s="9" t="str">
        <f t="shared" si="32"/>
        <v/>
      </c>
    </row>
    <row r="388" spans="2:9" x14ac:dyDescent="0.45">
      <c r="B388" s="9">
        <f t="shared" si="30"/>
        <v>383</v>
      </c>
      <c r="C388" s="9" t="e">
        <f t="shared" si="33"/>
        <v>#N/A</v>
      </c>
      <c r="D388" s="22" t="e">
        <f>INDEX(entities[Custom Attributes],MATCH('cust-code'!C388,entities[custom entity '#],0))</f>
        <v>#N/A</v>
      </c>
      <c r="E388" s="22" t="e">
        <f t="shared" si="34"/>
        <v>#N/A</v>
      </c>
      <c r="F388" s="9" t="e">
        <f>IF(E388&gt;0,"",
INDEX(entities[entity_id],MATCH('cust-code'!C388,entities[custom entity '#],0))&amp;":")</f>
        <v>#N/A</v>
      </c>
      <c r="G388" s="9" t="e">
        <f>IF(E388=0,"",
INDEX(entities[[line 1]:[line 4]],MATCH('cust-code'!C388,entities[custom entity '#],0),'cust-code'!E388))</f>
        <v>#N/A</v>
      </c>
      <c r="H388" s="9" t="str">
        <f t="shared" si="31"/>
        <v/>
      </c>
      <c r="I388" s="9" t="str">
        <f t="shared" si="32"/>
        <v/>
      </c>
    </row>
    <row r="389" spans="2:9" x14ac:dyDescent="0.45">
      <c r="B389" s="9">
        <f t="shared" si="30"/>
        <v>384</v>
      </c>
      <c r="C389" s="9" t="e">
        <f t="shared" si="33"/>
        <v>#N/A</v>
      </c>
      <c r="D389" s="22" t="e">
        <f>INDEX(entities[Custom Attributes],MATCH('cust-code'!C389,entities[custom entity '#],0))</f>
        <v>#N/A</v>
      </c>
      <c r="E389" s="22" t="e">
        <f t="shared" si="34"/>
        <v>#N/A</v>
      </c>
      <c r="F389" s="9" t="e">
        <f>IF(E389&gt;0,"",
INDEX(entities[entity_id],MATCH('cust-code'!C389,entities[custom entity '#],0))&amp;":")</f>
        <v>#N/A</v>
      </c>
      <c r="G389" s="9" t="e">
        <f>IF(E389=0,"",
INDEX(entities[[line 1]:[line 4]],MATCH('cust-code'!C389,entities[custom entity '#],0),'cust-code'!E389))</f>
        <v>#N/A</v>
      </c>
      <c r="H389" s="9" t="str">
        <f t="shared" si="31"/>
        <v/>
      </c>
      <c r="I389" s="9" t="str">
        <f t="shared" si="32"/>
        <v/>
      </c>
    </row>
    <row r="390" spans="2:9" x14ac:dyDescent="0.45">
      <c r="B390" s="9">
        <f t="shared" si="30"/>
        <v>385</v>
      </c>
      <c r="C390" s="9" t="e">
        <f t="shared" si="33"/>
        <v>#N/A</v>
      </c>
      <c r="D390" s="22" t="e">
        <f>INDEX(entities[Custom Attributes],MATCH('cust-code'!C390,entities[custom entity '#],0))</f>
        <v>#N/A</v>
      </c>
      <c r="E390" s="22" t="e">
        <f t="shared" si="34"/>
        <v>#N/A</v>
      </c>
      <c r="F390" s="9" t="e">
        <f>IF(E390&gt;0,"",
INDEX(entities[entity_id],MATCH('cust-code'!C390,entities[custom entity '#],0))&amp;":")</f>
        <v>#N/A</v>
      </c>
      <c r="G390" s="9" t="e">
        <f>IF(E390=0,"",
INDEX(entities[[line 1]:[line 4]],MATCH('cust-code'!C390,entities[custom entity '#],0),'cust-code'!E390))</f>
        <v>#N/A</v>
      </c>
      <c r="H390" s="9" t="str">
        <f t="shared" si="31"/>
        <v/>
      </c>
      <c r="I390" s="9" t="str">
        <f t="shared" si="32"/>
        <v/>
      </c>
    </row>
    <row r="391" spans="2:9" x14ac:dyDescent="0.45">
      <c r="B391" s="9">
        <f t="shared" ref="B391:B454" si="35">B390+1</f>
        <v>386</v>
      </c>
      <c r="C391" s="9" t="e">
        <f t="shared" si="33"/>
        <v>#N/A</v>
      </c>
      <c r="D391" s="22" t="e">
        <f>INDEX(entities[Custom Attributes],MATCH('cust-code'!C391,entities[custom entity '#],0))</f>
        <v>#N/A</v>
      </c>
      <c r="E391" s="22" t="e">
        <f t="shared" si="34"/>
        <v>#N/A</v>
      </c>
      <c r="F391" s="9" t="e">
        <f>IF(E391&gt;0,"",
INDEX(entities[entity_id],MATCH('cust-code'!C391,entities[custom entity '#],0))&amp;":")</f>
        <v>#N/A</v>
      </c>
      <c r="G391" s="9" t="e">
        <f>IF(E391=0,"",
INDEX(entities[[line 1]:[line 4]],MATCH('cust-code'!C391,entities[custom entity '#],0),'cust-code'!E391))</f>
        <v>#N/A</v>
      </c>
      <c r="H391" s="9" t="str">
        <f t="shared" si="31"/>
        <v/>
      </c>
      <c r="I391" s="9" t="str">
        <f t="shared" si="32"/>
        <v/>
      </c>
    </row>
    <row r="392" spans="2:9" x14ac:dyDescent="0.45">
      <c r="B392" s="9">
        <f t="shared" si="35"/>
        <v>387</v>
      </c>
      <c r="C392" s="9" t="e">
        <f t="shared" si="33"/>
        <v>#N/A</v>
      </c>
      <c r="D392" s="22" t="e">
        <f>INDEX(entities[Custom Attributes],MATCH('cust-code'!C392,entities[custom entity '#],0))</f>
        <v>#N/A</v>
      </c>
      <c r="E392" s="22" t="e">
        <f t="shared" si="34"/>
        <v>#N/A</v>
      </c>
      <c r="F392" s="9" t="e">
        <f>IF(E392&gt;0,"",
INDEX(entities[entity_id],MATCH('cust-code'!C392,entities[custom entity '#],0))&amp;":")</f>
        <v>#N/A</v>
      </c>
      <c r="G392" s="9" t="e">
        <f>IF(E392=0,"",
INDEX(entities[[line 1]:[line 4]],MATCH('cust-code'!C392,entities[custom entity '#],0),'cust-code'!E392))</f>
        <v>#N/A</v>
      </c>
      <c r="H392" s="9" t="str">
        <f t="shared" ref="H392:H455" si="36">_xlfn.IFNA(  F392&amp;G392,  "")</f>
        <v/>
      </c>
      <c r="I392" s="9" t="str">
        <f t="shared" ref="I392:I455" si="37">IF(AND(NOT(ISNA(D391)),ISNA(D392)),"END","")</f>
        <v/>
      </c>
    </row>
    <row r="393" spans="2:9" x14ac:dyDescent="0.45">
      <c r="B393" s="9">
        <f t="shared" si="35"/>
        <v>388</v>
      </c>
      <c r="C393" s="9" t="e">
        <f t="shared" si="33"/>
        <v>#N/A</v>
      </c>
      <c r="D393" s="22" t="e">
        <f>INDEX(entities[Custom Attributes],MATCH('cust-code'!C393,entities[custom entity '#],0))</f>
        <v>#N/A</v>
      </c>
      <c r="E393" s="22" t="e">
        <f t="shared" si="34"/>
        <v>#N/A</v>
      </c>
      <c r="F393" s="9" t="e">
        <f>IF(E393&gt;0,"",
INDEX(entities[entity_id],MATCH('cust-code'!C393,entities[custom entity '#],0))&amp;":")</f>
        <v>#N/A</v>
      </c>
      <c r="G393" s="9" t="e">
        <f>IF(E393=0,"",
INDEX(entities[[line 1]:[line 4]],MATCH('cust-code'!C393,entities[custom entity '#],0),'cust-code'!E393))</f>
        <v>#N/A</v>
      </c>
      <c r="H393" s="9" t="str">
        <f t="shared" si="36"/>
        <v/>
      </c>
      <c r="I393" s="9" t="str">
        <f t="shared" si="37"/>
        <v/>
      </c>
    </row>
    <row r="394" spans="2:9" x14ac:dyDescent="0.45">
      <c r="B394" s="9">
        <f t="shared" si="35"/>
        <v>389</v>
      </c>
      <c r="C394" s="9" t="e">
        <f t="shared" si="33"/>
        <v>#N/A</v>
      </c>
      <c r="D394" s="22" t="e">
        <f>INDEX(entities[Custom Attributes],MATCH('cust-code'!C394,entities[custom entity '#],0))</f>
        <v>#N/A</v>
      </c>
      <c r="E394" s="22" t="e">
        <f t="shared" si="34"/>
        <v>#N/A</v>
      </c>
      <c r="F394" s="9" t="e">
        <f>IF(E394&gt;0,"",
INDEX(entities[entity_id],MATCH('cust-code'!C394,entities[custom entity '#],0))&amp;":")</f>
        <v>#N/A</v>
      </c>
      <c r="G394" s="9" t="e">
        <f>IF(E394=0,"",
INDEX(entities[[line 1]:[line 4]],MATCH('cust-code'!C394,entities[custom entity '#],0),'cust-code'!E394))</f>
        <v>#N/A</v>
      </c>
      <c r="H394" s="9" t="str">
        <f t="shared" si="36"/>
        <v/>
      </c>
      <c r="I394" s="9" t="str">
        <f t="shared" si="37"/>
        <v/>
      </c>
    </row>
    <row r="395" spans="2:9" x14ac:dyDescent="0.45">
      <c r="B395" s="9">
        <f t="shared" si="35"/>
        <v>390</v>
      </c>
      <c r="C395" s="9" t="e">
        <f t="shared" si="33"/>
        <v>#N/A</v>
      </c>
      <c r="D395" s="22" t="e">
        <f>INDEX(entities[Custom Attributes],MATCH('cust-code'!C395,entities[custom entity '#],0))</f>
        <v>#N/A</v>
      </c>
      <c r="E395" s="22" t="e">
        <f t="shared" si="34"/>
        <v>#N/A</v>
      </c>
      <c r="F395" s="9" t="e">
        <f>IF(E395&gt;0,"",
INDEX(entities[entity_id],MATCH('cust-code'!C395,entities[custom entity '#],0))&amp;":")</f>
        <v>#N/A</v>
      </c>
      <c r="G395" s="9" t="e">
        <f>IF(E395=0,"",
INDEX(entities[[line 1]:[line 4]],MATCH('cust-code'!C395,entities[custom entity '#],0),'cust-code'!E395))</f>
        <v>#N/A</v>
      </c>
      <c r="H395" s="9" t="str">
        <f t="shared" si="36"/>
        <v/>
      </c>
      <c r="I395" s="9" t="str">
        <f t="shared" si="37"/>
        <v/>
      </c>
    </row>
    <row r="396" spans="2:9" x14ac:dyDescent="0.45">
      <c r="B396" s="9">
        <f t="shared" si="35"/>
        <v>391</v>
      </c>
      <c r="C396" s="9" t="e">
        <f t="shared" si="33"/>
        <v>#N/A</v>
      </c>
      <c r="D396" s="22" t="e">
        <f>INDEX(entities[Custom Attributes],MATCH('cust-code'!C396,entities[custom entity '#],0))</f>
        <v>#N/A</v>
      </c>
      <c r="E396" s="22" t="e">
        <f t="shared" si="34"/>
        <v>#N/A</v>
      </c>
      <c r="F396" s="9" t="e">
        <f>IF(E396&gt;0,"",
INDEX(entities[entity_id],MATCH('cust-code'!C396,entities[custom entity '#],0))&amp;":")</f>
        <v>#N/A</v>
      </c>
      <c r="G396" s="9" t="e">
        <f>IF(E396=0,"",
INDEX(entities[[line 1]:[line 4]],MATCH('cust-code'!C396,entities[custom entity '#],0),'cust-code'!E396))</f>
        <v>#N/A</v>
      </c>
      <c r="H396" s="9" t="str">
        <f t="shared" si="36"/>
        <v/>
      </c>
      <c r="I396" s="9" t="str">
        <f t="shared" si="37"/>
        <v/>
      </c>
    </row>
    <row r="397" spans="2:9" x14ac:dyDescent="0.45">
      <c r="B397" s="9">
        <f t="shared" si="35"/>
        <v>392</v>
      </c>
      <c r="C397" s="9" t="e">
        <f t="shared" si="33"/>
        <v>#N/A</v>
      </c>
      <c r="D397" s="22" t="e">
        <f>INDEX(entities[Custom Attributes],MATCH('cust-code'!C397,entities[custom entity '#],0))</f>
        <v>#N/A</v>
      </c>
      <c r="E397" s="22" t="e">
        <f t="shared" si="34"/>
        <v>#N/A</v>
      </c>
      <c r="F397" s="9" t="e">
        <f>IF(E397&gt;0,"",
INDEX(entities[entity_id],MATCH('cust-code'!C397,entities[custom entity '#],0))&amp;":")</f>
        <v>#N/A</v>
      </c>
      <c r="G397" s="9" t="e">
        <f>IF(E397=0,"",
INDEX(entities[[line 1]:[line 4]],MATCH('cust-code'!C397,entities[custom entity '#],0),'cust-code'!E397))</f>
        <v>#N/A</v>
      </c>
      <c r="H397" s="9" t="str">
        <f t="shared" si="36"/>
        <v/>
      </c>
      <c r="I397" s="9" t="str">
        <f t="shared" si="37"/>
        <v/>
      </c>
    </row>
    <row r="398" spans="2:9" x14ac:dyDescent="0.45">
      <c r="B398" s="9">
        <f t="shared" si="35"/>
        <v>393</v>
      </c>
      <c r="C398" s="9" t="e">
        <f t="shared" ref="C398:C461" si="38">IF(E398=0,C397+1,C397)</f>
        <v>#N/A</v>
      </c>
      <c r="D398" s="22" t="e">
        <f>INDEX(entities[Custom Attributes],MATCH('cust-code'!C398,entities[custom entity '#],0))</f>
        <v>#N/A</v>
      </c>
      <c r="E398" s="22" t="e">
        <f t="shared" ref="E398:E461" si="39">IF(E397=D397,0,E397+1)</f>
        <v>#N/A</v>
      </c>
      <c r="F398" s="9" t="e">
        <f>IF(E398&gt;0,"",
INDEX(entities[entity_id],MATCH('cust-code'!C398,entities[custom entity '#],0))&amp;":")</f>
        <v>#N/A</v>
      </c>
      <c r="G398" s="9" t="e">
        <f>IF(E398=0,"",
INDEX(entities[[line 1]:[line 4]],MATCH('cust-code'!C398,entities[custom entity '#],0),'cust-code'!E398))</f>
        <v>#N/A</v>
      </c>
      <c r="H398" s="9" t="str">
        <f t="shared" si="36"/>
        <v/>
      </c>
      <c r="I398" s="9" t="str">
        <f t="shared" si="37"/>
        <v/>
      </c>
    </row>
    <row r="399" spans="2:9" x14ac:dyDescent="0.45">
      <c r="B399" s="9">
        <f t="shared" si="35"/>
        <v>394</v>
      </c>
      <c r="C399" s="9" t="e">
        <f t="shared" si="38"/>
        <v>#N/A</v>
      </c>
      <c r="D399" s="22" t="e">
        <f>INDEX(entities[Custom Attributes],MATCH('cust-code'!C399,entities[custom entity '#],0))</f>
        <v>#N/A</v>
      </c>
      <c r="E399" s="22" t="e">
        <f t="shared" si="39"/>
        <v>#N/A</v>
      </c>
      <c r="F399" s="9" t="e">
        <f>IF(E399&gt;0,"",
INDEX(entities[entity_id],MATCH('cust-code'!C399,entities[custom entity '#],0))&amp;":")</f>
        <v>#N/A</v>
      </c>
      <c r="G399" s="9" t="e">
        <f>IF(E399=0,"",
INDEX(entities[[line 1]:[line 4]],MATCH('cust-code'!C399,entities[custom entity '#],0),'cust-code'!E399))</f>
        <v>#N/A</v>
      </c>
      <c r="H399" s="9" t="str">
        <f t="shared" si="36"/>
        <v/>
      </c>
      <c r="I399" s="9" t="str">
        <f t="shared" si="37"/>
        <v/>
      </c>
    </row>
    <row r="400" spans="2:9" x14ac:dyDescent="0.45">
      <c r="B400" s="9">
        <f t="shared" si="35"/>
        <v>395</v>
      </c>
      <c r="C400" s="9" t="e">
        <f t="shared" si="38"/>
        <v>#N/A</v>
      </c>
      <c r="D400" s="22" t="e">
        <f>INDEX(entities[Custom Attributes],MATCH('cust-code'!C400,entities[custom entity '#],0))</f>
        <v>#N/A</v>
      </c>
      <c r="E400" s="22" t="e">
        <f t="shared" si="39"/>
        <v>#N/A</v>
      </c>
      <c r="F400" s="9" t="e">
        <f>IF(E400&gt;0,"",
INDEX(entities[entity_id],MATCH('cust-code'!C400,entities[custom entity '#],0))&amp;":")</f>
        <v>#N/A</v>
      </c>
      <c r="G400" s="9" t="e">
        <f>IF(E400=0,"",
INDEX(entities[[line 1]:[line 4]],MATCH('cust-code'!C400,entities[custom entity '#],0),'cust-code'!E400))</f>
        <v>#N/A</v>
      </c>
      <c r="H400" s="9" t="str">
        <f t="shared" si="36"/>
        <v/>
      </c>
      <c r="I400" s="9" t="str">
        <f t="shared" si="37"/>
        <v/>
      </c>
    </row>
    <row r="401" spans="2:9" x14ac:dyDescent="0.45">
      <c r="B401" s="9">
        <f t="shared" si="35"/>
        <v>396</v>
      </c>
      <c r="C401" s="9" t="e">
        <f t="shared" si="38"/>
        <v>#N/A</v>
      </c>
      <c r="D401" s="22" t="e">
        <f>INDEX(entities[Custom Attributes],MATCH('cust-code'!C401,entities[custom entity '#],0))</f>
        <v>#N/A</v>
      </c>
      <c r="E401" s="22" t="e">
        <f t="shared" si="39"/>
        <v>#N/A</v>
      </c>
      <c r="F401" s="9" t="e">
        <f>IF(E401&gt;0,"",
INDEX(entities[entity_id],MATCH('cust-code'!C401,entities[custom entity '#],0))&amp;":")</f>
        <v>#N/A</v>
      </c>
      <c r="G401" s="9" t="e">
        <f>IF(E401=0,"",
INDEX(entities[[line 1]:[line 4]],MATCH('cust-code'!C401,entities[custom entity '#],0),'cust-code'!E401))</f>
        <v>#N/A</v>
      </c>
      <c r="H401" s="9" t="str">
        <f t="shared" si="36"/>
        <v/>
      </c>
      <c r="I401" s="9" t="str">
        <f t="shared" si="37"/>
        <v/>
      </c>
    </row>
    <row r="402" spans="2:9" x14ac:dyDescent="0.45">
      <c r="B402" s="9">
        <f t="shared" si="35"/>
        <v>397</v>
      </c>
      <c r="C402" s="9" t="e">
        <f t="shared" si="38"/>
        <v>#N/A</v>
      </c>
      <c r="D402" s="22" t="e">
        <f>INDEX(entities[Custom Attributes],MATCH('cust-code'!C402,entities[custom entity '#],0))</f>
        <v>#N/A</v>
      </c>
      <c r="E402" s="22" t="e">
        <f t="shared" si="39"/>
        <v>#N/A</v>
      </c>
      <c r="F402" s="9" t="e">
        <f>IF(E402&gt;0,"",
INDEX(entities[entity_id],MATCH('cust-code'!C402,entities[custom entity '#],0))&amp;":")</f>
        <v>#N/A</v>
      </c>
      <c r="G402" s="9" t="e">
        <f>IF(E402=0,"",
INDEX(entities[[line 1]:[line 4]],MATCH('cust-code'!C402,entities[custom entity '#],0),'cust-code'!E402))</f>
        <v>#N/A</v>
      </c>
      <c r="H402" s="9" t="str">
        <f t="shared" si="36"/>
        <v/>
      </c>
      <c r="I402" s="9" t="str">
        <f t="shared" si="37"/>
        <v/>
      </c>
    </row>
    <row r="403" spans="2:9" x14ac:dyDescent="0.45">
      <c r="B403" s="9">
        <f t="shared" si="35"/>
        <v>398</v>
      </c>
      <c r="C403" s="9" t="e">
        <f t="shared" si="38"/>
        <v>#N/A</v>
      </c>
      <c r="D403" s="22" t="e">
        <f>INDEX(entities[Custom Attributes],MATCH('cust-code'!C403,entities[custom entity '#],0))</f>
        <v>#N/A</v>
      </c>
      <c r="E403" s="22" t="e">
        <f t="shared" si="39"/>
        <v>#N/A</v>
      </c>
      <c r="F403" s="9" t="e">
        <f>IF(E403&gt;0,"",
INDEX(entities[entity_id],MATCH('cust-code'!C403,entities[custom entity '#],0))&amp;":")</f>
        <v>#N/A</v>
      </c>
      <c r="G403" s="9" t="e">
        <f>IF(E403=0,"",
INDEX(entities[[line 1]:[line 4]],MATCH('cust-code'!C403,entities[custom entity '#],0),'cust-code'!E403))</f>
        <v>#N/A</v>
      </c>
      <c r="H403" s="9" t="str">
        <f t="shared" si="36"/>
        <v/>
      </c>
      <c r="I403" s="9" t="str">
        <f t="shared" si="37"/>
        <v/>
      </c>
    </row>
    <row r="404" spans="2:9" x14ac:dyDescent="0.45">
      <c r="B404" s="9">
        <f t="shared" si="35"/>
        <v>399</v>
      </c>
      <c r="C404" s="9" t="e">
        <f t="shared" si="38"/>
        <v>#N/A</v>
      </c>
      <c r="D404" s="22" t="e">
        <f>INDEX(entities[Custom Attributes],MATCH('cust-code'!C404,entities[custom entity '#],0))</f>
        <v>#N/A</v>
      </c>
      <c r="E404" s="22" t="e">
        <f t="shared" si="39"/>
        <v>#N/A</v>
      </c>
      <c r="F404" s="9" t="e">
        <f>IF(E404&gt;0,"",
INDEX(entities[entity_id],MATCH('cust-code'!C404,entities[custom entity '#],0))&amp;":")</f>
        <v>#N/A</v>
      </c>
      <c r="G404" s="9" t="e">
        <f>IF(E404=0,"",
INDEX(entities[[line 1]:[line 4]],MATCH('cust-code'!C404,entities[custom entity '#],0),'cust-code'!E404))</f>
        <v>#N/A</v>
      </c>
      <c r="H404" s="9" t="str">
        <f t="shared" si="36"/>
        <v/>
      </c>
      <c r="I404" s="9" t="str">
        <f t="shared" si="37"/>
        <v/>
      </c>
    </row>
    <row r="405" spans="2:9" x14ac:dyDescent="0.45">
      <c r="B405" s="9">
        <f t="shared" si="35"/>
        <v>400</v>
      </c>
      <c r="C405" s="9" t="e">
        <f t="shared" si="38"/>
        <v>#N/A</v>
      </c>
      <c r="D405" s="22" t="e">
        <f>INDEX(entities[Custom Attributes],MATCH('cust-code'!C405,entities[custom entity '#],0))</f>
        <v>#N/A</v>
      </c>
      <c r="E405" s="22" t="e">
        <f t="shared" si="39"/>
        <v>#N/A</v>
      </c>
      <c r="F405" s="9" t="e">
        <f>IF(E405&gt;0,"",
INDEX(entities[entity_id],MATCH('cust-code'!C405,entities[custom entity '#],0))&amp;":")</f>
        <v>#N/A</v>
      </c>
      <c r="G405" s="9" t="e">
        <f>IF(E405=0,"",
INDEX(entities[[line 1]:[line 4]],MATCH('cust-code'!C405,entities[custom entity '#],0),'cust-code'!E405))</f>
        <v>#N/A</v>
      </c>
      <c r="H405" s="9" t="str">
        <f t="shared" si="36"/>
        <v/>
      </c>
      <c r="I405" s="9" t="str">
        <f t="shared" si="37"/>
        <v/>
      </c>
    </row>
    <row r="406" spans="2:9" x14ac:dyDescent="0.45">
      <c r="B406" s="9">
        <f t="shared" si="35"/>
        <v>401</v>
      </c>
      <c r="C406" s="9" t="e">
        <f t="shared" si="38"/>
        <v>#N/A</v>
      </c>
      <c r="D406" s="22" t="e">
        <f>INDEX(entities[Custom Attributes],MATCH('cust-code'!C406,entities[custom entity '#],0))</f>
        <v>#N/A</v>
      </c>
      <c r="E406" s="22" t="e">
        <f t="shared" si="39"/>
        <v>#N/A</v>
      </c>
      <c r="F406" s="9" t="e">
        <f>IF(E406&gt;0,"",
INDEX(entities[entity_id],MATCH('cust-code'!C406,entities[custom entity '#],0))&amp;":")</f>
        <v>#N/A</v>
      </c>
      <c r="G406" s="9" t="e">
        <f>IF(E406=0,"",
INDEX(entities[[line 1]:[line 4]],MATCH('cust-code'!C406,entities[custom entity '#],0),'cust-code'!E406))</f>
        <v>#N/A</v>
      </c>
      <c r="H406" s="9" t="str">
        <f t="shared" si="36"/>
        <v/>
      </c>
      <c r="I406" s="9" t="str">
        <f t="shared" si="37"/>
        <v/>
      </c>
    </row>
    <row r="407" spans="2:9" x14ac:dyDescent="0.45">
      <c r="B407" s="9">
        <f t="shared" si="35"/>
        <v>402</v>
      </c>
      <c r="C407" s="9" t="e">
        <f t="shared" si="38"/>
        <v>#N/A</v>
      </c>
      <c r="D407" s="22" t="e">
        <f>INDEX(entities[Custom Attributes],MATCH('cust-code'!C407,entities[custom entity '#],0))</f>
        <v>#N/A</v>
      </c>
      <c r="E407" s="22" t="e">
        <f t="shared" si="39"/>
        <v>#N/A</v>
      </c>
      <c r="F407" s="9" t="e">
        <f>IF(E407&gt;0,"",
INDEX(entities[entity_id],MATCH('cust-code'!C407,entities[custom entity '#],0))&amp;":")</f>
        <v>#N/A</v>
      </c>
      <c r="G407" s="9" t="e">
        <f>IF(E407=0,"",
INDEX(entities[[line 1]:[line 4]],MATCH('cust-code'!C407,entities[custom entity '#],0),'cust-code'!E407))</f>
        <v>#N/A</v>
      </c>
      <c r="H407" s="9" t="str">
        <f t="shared" si="36"/>
        <v/>
      </c>
      <c r="I407" s="9" t="str">
        <f t="shared" si="37"/>
        <v/>
      </c>
    </row>
    <row r="408" spans="2:9" x14ac:dyDescent="0.45">
      <c r="B408" s="9">
        <f t="shared" si="35"/>
        <v>403</v>
      </c>
      <c r="C408" s="9" t="e">
        <f t="shared" si="38"/>
        <v>#N/A</v>
      </c>
      <c r="D408" s="22" t="e">
        <f>INDEX(entities[Custom Attributes],MATCH('cust-code'!C408,entities[custom entity '#],0))</f>
        <v>#N/A</v>
      </c>
      <c r="E408" s="22" t="e">
        <f t="shared" si="39"/>
        <v>#N/A</v>
      </c>
      <c r="F408" s="9" t="e">
        <f>IF(E408&gt;0,"",
INDEX(entities[entity_id],MATCH('cust-code'!C408,entities[custom entity '#],0))&amp;":")</f>
        <v>#N/A</v>
      </c>
      <c r="G408" s="9" t="e">
        <f>IF(E408=0,"",
INDEX(entities[[line 1]:[line 4]],MATCH('cust-code'!C408,entities[custom entity '#],0),'cust-code'!E408))</f>
        <v>#N/A</v>
      </c>
      <c r="H408" s="9" t="str">
        <f t="shared" si="36"/>
        <v/>
      </c>
      <c r="I408" s="9" t="str">
        <f t="shared" si="37"/>
        <v/>
      </c>
    </row>
    <row r="409" spans="2:9" x14ac:dyDescent="0.45">
      <c r="B409" s="9">
        <f t="shared" si="35"/>
        <v>404</v>
      </c>
      <c r="C409" s="9" t="e">
        <f t="shared" si="38"/>
        <v>#N/A</v>
      </c>
      <c r="D409" s="22" t="e">
        <f>INDEX(entities[Custom Attributes],MATCH('cust-code'!C409,entities[custom entity '#],0))</f>
        <v>#N/A</v>
      </c>
      <c r="E409" s="22" t="e">
        <f t="shared" si="39"/>
        <v>#N/A</v>
      </c>
      <c r="F409" s="9" t="e">
        <f>IF(E409&gt;0,"",
INDEX(entities[entity_id],MATCH('cust-code'!C409,entities[custom entity '#],0))&amp;":")</f>
        <v>#N/A</v>
      </c>
      <c r="G409" s="9" t="e">
        <f>IF(E409=0,"",
INDEX(entities[[line 1]:[line 4]],MATCH('cust-code'!C409,entities[custom entity '#],0),'cust-code'!E409))</f>
        <v>#N/A</v>
      </c>
      <c r="H409" s="9" t="str">
        <f t="shared" si="36"/>
        <v/>
      </c>
      <c r="I409" s="9" t="str">
        <f t="shared" si="37"/>
        <v/>
      </c>
    </row>
    <row r="410" spans="2:9" x14ac:dyDescent="0.45">
      <c r="B410" s="9">
        <f t="shared" si="35"/>
        <v>405</v>
      </c>
      <c r="C410" s="9" t="e">
        <f t="shared" si="38"/>
        <v>#N/A</v>
      </c>
      <c r="D410" s="22" t="e">
        <f>INDEX(entities[Custom Attributes],MATCH('cust-code'!C410,entities[custom entity '#],0))</f>
        <v>#N/A</v>
      </c>
      <c r="E410" s="22" t="e">
        <f t="shared" si="39"/>
        <v>#N/A</v>
      </c>
      <c r="F410" s="9" t="e">
        <f>IF(E410&gt;0,"",
INDEX(entities[entity_id],MATCH('cust-code'!C410,entities[custom entity '#],0))&amp;":")</f>
        <v>#N/A</v>
      </c>
      <c r="G410" s="9" t="e">
        <f>IF(E410=0,"",
INDEX(entities[[line 1]:[line 4]],MATCH('cust-code'!C410,entities[custom entity '#],0),'cust-code'!E410))</f>
        <v>#N/A</v>
      </c>
      <c r="H410" s="9" t="str">
        <f t="shared" si="36"/>
        <v/>
      </c>
      <c r="I410" s="9" t="str">
        <f t="shared" si="37"/>
        <v/>
      </c>
    </row>
    <row r="411" spans="2:9" x14ac:dyDescent="0.45">
      <c r="B411" s="9">
        <f t="shared" si="35"/>
        <v>406</v>
      </c>
      <c r="C411" s="9" t="e">
        <f t="shared" si="38"/>
        <v>#N/A</v>
      </c>
      <c r="D411" s="22" t="e">
        <f>INDEX(entities[Custom Attributes],MATCH('cust-code'!C411,entities[custom entity '#],0))</f>
        <v>#N/A</v>
      </c>
      <c r="E411" s="22" t="e">
        <f t="shared" si="39"/>
        <v>#N/A</v>
      </c>
      <c r="F411" s="9" t="e">
        <f>IF(E411&gt;0,"",
INDEX(entities[entity_id],MATCH('cust-code'!C411,entities[custom entity '#],0))&amp;":")</f>
        <v>#N/A</v>
      </c>
      <c r="G411" s="9" t="e">
        <f>IF(E411=0,"",
INDEX(entities[[line 1]:[line 4]],MATCH('cust-code'!C411,entities[custom entity '#],0),'cust-code'!E411))</f>
        <v>#N/A</v>
      </c>
      <c r="H411" s="9" t="str">
        <f t="shared" si="36"/>
        <v/>
      </c>
      <c r="I411" s="9" t="str">
        <f t="shared" si="37"/>
        <v/>
      </c>
    </row>
    <row r="412" spans="2:9" x14ac:dyDescent="0.45">
      <c r="B412" s="9">
        <f t="shared" si="35"/>
        <v>407</v>
      </c>
      <c r="C412" s="9" t="e">
        <f t="shared" si="38"/>
        <v>#N/A</v>
      </c>
      <c r="D412" s="22" t="e">
        <f>INDEX(entities[Custom Attributes],MATCH('cust-code'!C412,entities[custom entity '#],0))</f>
        <v>#N/A</v>
      </c>
      <c r="E412" s="22" t="e">
        <f t="shared" si="39"/>
        <v>#N/A</v>
      </c>
      <c r="F412" s="9" t="e">
        <f>IF(E412&gt;0,"",
INDEX(entities[entity_id],MATCH('cust-code'!C412,entities[custom entity '#],0))&amp;":")</f>
        <v>#N/A</v>
      </c>
      <c r="G412" s="9" t="e">
        <f>IF(E412=0,"",
INDEX(entities[[line 1]:[line 4]],MATCH('cust-code'!C412,entities[custom entity '#],0),'cust-code'!E412))</f>
        <v>#N/A</v>
      </c>
      <c r="H412" s="9" t="str">
        <f t="shared" si="36"/>
        <v/>
      </c>
      <c r="I412" s="9" t="str">
        <f t="shared" si="37"/>
        <v/>
      </c>
    </row>
    <row r="413" spans="2:9" x14ac:dyDescent="0.45">
      <c r="B413" s="9">
        <f t="shared" si="35"/>
        <v>408</v>
      </c>
      <c r="C413" s="9" t="e">
        <f t="shared" si="38"/>
        <v>#N/A</v>
      </c>
      <c r="D413" s="22" t="e">
        <f>INDEX(entities[Custom Attributes],MATCH('cust-code'!C413,entities[custom entity '#],0))</f>
        <v>#N/A</v>
      </c>
      <c r="E413" s="22" t="e">
        <f t="shared" si="39"/>
        <v>#N/A</v>
      </c>
      <c r="F413" s="9" t="e">
        <f>IF(E413&gt;0,"",
INDEX(entities[entity_id],MATCH('cust-code'!C413,entities[custom entity '#],0))&amp;":")</f>
        <v>#N/A</v>
      </c>
      <c r="G413" s="9" t="e">
        <f>IF(E413=0,"",
INDEX(entities[[line 1]:[line 4]],MATCH('cust-code'!C413,entities[custom entity '#],0),'cust-code'!E413))</f>
        <v>#N/A</v>
      </c>
      <c r="H413" s="9" t="str">
        <f t="shared" si="36"/>
        <v/>
      </c>
      <c r="I413" s="9" t="str">
        <f t="shared" si="37"/>
        <v/>
      </c>
    </row>
    <row r="414" spans="2:9" x14ac:dyDescent="0.45">
      <c r="B414" s="9">
        <f t="shared" si="35"/>
        <v>409</v>
      </c>
      <c r="C414" s="9" t="e">
        <f t="shared" si="38"/>
        <v>#N/A</v>
      </c>
      <c r="D414" s="22" t="e">
        <f>INDEX(entities[Custom Attributes],MATCH('cust-code'!C414,entities[custom entity '#],0))</f>
        <v>#N/A</v>
      </c>
      <c r="E414" s="22" t="e">
        <f t="shared" si="39"/>
        <v>#N/A</v>
      </c>
      <c r="F414" s="9" t="e">
        <f>IF(E414&gt;0,"",
INDEX(entities[entity_id],MATCH('cust-code'!C414,entities[custom entity '#],0))&amp;":")</f>
        <v>#N/A</v>
      </c>
      <c r="G414" s="9" t="e">
        <f>IF(E414=0,"",
INDEX(entities[[line 1]:[line 4]],MATCH('cust-code'!C414,entities[custom entity '#],0),'cust-code'!E414))</f>
        <v>#N/A</v>
      </c>
      <c r="H414" s="9" t="str">
        <f t="shared" si="36"/>
        <v/>
      </c>
      <c r="I414" s="9" t="str">
        <f t="shared" si="37"/>
        <v/>
      </c>
    </row>
    <row r="415" spans="2:9" x14ac:dyDescent="0.45">
      <c r="B415" s="9">
        <f t="shared" si="35"/>
        <v>410</v>
      </c>
      <c r="C415" s="9" t="e">
        <f t="shared" si="38"/>
        <v>#N/A</v>
      </c>
      <c r="D415" s="22" t="e">
        <f>INDEX(entities[Custom Attributes],MATCH('cust-code'!C415,entities[custom entity '#],0))</f>
        <v>#N/A</v>
      </c>
      <c r="E415" s="22" t="e">
        <f t="shared" si="39"/>
        <v>#N/A</v>
      </c>
      <c r="F415" s="9" t="e">
        <f>IF(E415&gt;0,"",
INDEX(entities[entity_id],MATCH('cust-code'!C415,entities[custom entity '#],0))&amp;":")</f>
        <v>#N/A</v>
      </c>
      <c r="G415" s="9" t="e">
        <f>IF(E415=0,"",
INDEX(entities[[line 1]:[line 4]],MATCH('cust-code'!C415,entities[custom entity '#],0),'cust-code'!E415))</f>
        <v>#N/A</v>
      </c>
      <c r="H415" s="9" t="str">
        <f t="shared" si="36"/>
        <v/>
      </c>
      <c r="I415" s="9" t="str">
        <f t="shared" si="37"/>
        <v/>
      </c>
    </row>
    <row r="416" spans="2:9" x14ac:dyDescent="0.45">
      <c r="B416" s="9">
        <f t="shared" si="35"/>
        <v>411</v>
      </c>
      <c r="C416" s="9" t="e">
        <f t="shared" si="38"/>
        <v>#N/A</v>
      </c>
      <c r="D416" s="22" t="e">
        <f>INDEX(entities[Custom Attributes],MATCH('cust-code'!C416,entities[custom entity '#],0))</f>
        <v>#N/A</v>
      </c>
      <c r="E416" s="22" t="e">
        <f t="shared" si="39"/>
        <v>#N/A</v>
      </c>
      <c r="F416" s="9" t="e">
        <f>IF(E416&gt;0,"",
INDEX(entities[entity_id],MATCH('cust-code'!C416,entities[custom entity '#],0))&amp;":")</f>
        <v>#N/A</v>
      </c>
      <c r="G416" s="9" t="e">
        <f>IF(E416=0,"",
INDEX(entities[[line 1]:[line 4]],MATCH('cust-code'!C416,entities[custom entity '#],0),'cust-code'!E416))</f>
        <v>#N/A</v>
      </c>
      <c r="H416" s="9" t="str">
        <f t="shared" si="36"/>
        <v/>
      </c>
      <c r="I416" s="9" t="str">
        <f t="shared" si="37"/>
        <v/>
      </c>
    </row>
    <row r="417" spans="2:9" x14ac:dyDescent="0.45">
      <c r="B417" s="9">
        <f t="shared" si="35"/>
        <v>412</v>
      </c>
      <c r="C417" s="9" t="e">
        <f t="shared" si="38"/>
        <v>#N/A</v>
      </c>
      <c r="D417" s="22" t="e">
        <f>INDEX(entities[Custom Attributes],MATCH('cust-code'!C417,entities[custom entity '#],0))</f>
        <v>#N/A</v>
      </c>
      <c r="E417" s="22" t="e">
        <f t="shared" si="39"/>
        <v>#N/A</v>
      </c>
      <c r="F417" s="9" t="e">
        <f>IF(E417&gt;0,"",
INDEX(entities[entity_id],MATCH('cust-code'!C417,entities[custom entity '#],0))&amp;":")</f>
        <v>#N/A</v>
      </c>
      <c r="G417" s="9" t="e">
        <f>IF(E417=0,"",
INDEX(entities[[line 1]:[line 4]],MATCH('cust-code'!C417,entities[custom entity '#],0),'cust-code'!E417))</f>
        <v>#N/A</v>
      </c>
      <c r="H417" s="9" t="str">
        <f t="shared" si="36"/>
        <v/>
      </c>
      <c r="I417" s="9" t="str">
        <f t="shared" si="37"/>
        <v/>
      </c>
    </row>
    <row r="418" spans="2:9" x14ac:dyDescent="0.45">
      <c r="B418" s="9">
        <f t="shared" si="35"/>
        <v>413</v>
      </c>
      <c r="C418" s="9" t="e">
        <f t="shared" si="38"/>
        <v>#N/A</v>
      </c>
      <c r="D418" s="22" t="e">
        <f>INDEX(entities[Custom Attributes],MATCH('cust-code'!C418,entities[custom entity '#],0))</f>
        <v>#N/A</v>
      </c>
      <c r="E418" s="22" t="e">
        <f t="shared" si="39"/>
        <v>#N/A</v>
      </c>
      <c r="F418" s="9" t="e">
        <f>IF(E418&gt;0,"",
INDEX(entities[entity_id],MATCH('cust-code'!C418,entities[custom entity '#],0))&amp;":")</f>
        <v>#N/A</v>
      </c>
      <c r="G418" s="9" t="e">
        <f>IF(E418=0,"",
INDEX(entities[[line 1]:[line 4]],MATCH('cust-code'!C418,entities[custom entity '#],0),'cust-code'!E418))</f>
        <v>#N/A</v>
      </c>
      <c r="H418" s="9" t="str">
        <f t="shared" si="36"/>
        <v/>
      </c>
      <c r="I418" s="9" t="str">
        <f t="shared" si="37"/>
        <v/>
      </c>
    </row>
    <row r="419" spans="2:9" x14ac:dyDescent="0.45">
      <c r="B419" s="9">
        <f t="shared" si="35"/>
        <v>414</v>
      </c>
      <c r="C419" s="9" t="e">
        <f t="shared" si="38"/>
        <v>#N/A</v>
      </c>
      <c r="D419" s="22" t="e">
        <f>INDEX(entities[Custom Attributes],MATCH('cust-code'!C419,entities[custom entity '#],0))</f>
        <v>#N/A</v>
      </c>
      <c r="E419" s="22" t="e">
        <f t="shared" si="39"/>
        <v>#N/A</v>
      </c>
      <c r="F419" s="9" t="e">
        <f>IF(E419&gt;0,"",
INDEX(entities[entity_id],MATCH('cust-code'!C419,entities[custom entity '#],0))&amp;":")</f>
        <v>#N/A</v>
      </c>
      <c r="G419" s="9" t="e">
        <f>IF(E419=0,"",
INDEX(entities[[line 1]:[line 4]],MATCH('cust-code'!C419,entities[custom entity '#],0),'cust-code'!E419))</f>
        <v>#N/A</v>
      </c>
      <c r="H419" s="9" t="str">
        <f t="shared" si="36"/>
        <v/>
      </c>
      <c r="I419" s="9" t="str">
        <f t="shared" si="37"/>
        <v/>
      </c>
    </row>
    <row r="420" spans="2:9" x14ac:dyDescent="0.45">
      <c r="B420" s="9">
        <f t="shared" si="35"/>
        <v>415</v>
      </c>
      <c r="C420" s="9" t="e">
        <f t="shared" si="38"/>
        <v>#N/A</v>
      </c>
      <c r="D420" s="22" t="e">
        <f>INDEX(entities[Custom Attributes],MATCH('cust-code'!C420,entities[custom entity '#],0))</f>
        <v>#N/A</v>
      </c>
      <c r="E420" s="22" t="e">
        <f t="shared" si="39"/>
        <v>#N/A</v>
      </c>
      <c r="F420" s="9" t="e">
        <f>IF(E420&gt;0,"",
INDEX(entities[entity_id],MATCH('cust-code'!C420,entities[custom entity '#],0))&amp;":")</f>
        <v>#N/A</v>
      </c>
      <c r="G420" s="9" t="e">
        <f>IF(E420=0,"",
INDEX(entities[[line 1]:[line 4]],MATCH('cust-code'!C420,entities[custom entity '#],0),'cust-code'!E420))</f>
        <v>#N/A</v>
      </c>
      <c r="H420" s="9" t="str">
        <f t="shared" si="36"/>
        <v/>
      </c>
      <c r="I420" s="9" t="str">
        <f t="shared" si="37"/>
        <v/>
      </c>
    </row>
    <row r="421" spans="2:9" x14ac:dyDescent="0.45">
      <c r="B421" s="9">
        <f t="shared" si="35"/>
        <v>416</v>
      </c>
      <c r="C421" s="9" t="e">
        <f t="shared" si="38"/>
        <v>#N/A</v>
      </c>
      <c r="D421" s="22" t="e">
        <f>INDEX(entities[Custom Attributes],MATCH('cust-code'!C421,entities[custom entity '#],0))</f>
        <v>#N/A</v>
      </c>
      <c r="E421" s="22" t="e">
        <f t="shared" si="39"/>
        <v>#N/A</v>
      </c>
      <c r="F421" s="9" t="e">
        <f>IF(E421&gt;0,"",
INDEX(entities[entity_id],MATCH('cust-code'!C421,entities[custom entity '#],0))&amp;":")</f>
        <v>#N/A</v>
      </c>
      <c r="G421" s="9" t="e">
        <f>IF(E421=0,"",
INDEX(entities[[line 1]:[line 4]],MATCH('cust-code'!C421,entities[custom entity '#],0),'cust-code'!E421))</f>
        <v>#N/A</v>
      </c>
      <c r="H421" s="9" t="str">
        <f t="shared" si="36"/>
        <v/>
      </c>
      <c r="I421" s="9" t="str">
        <f t="shared" si="37"/>
        <v/>
      </c>
    </row>
    <row r="422" spans="2:9" x14ac:dyDescent="0.45">
      <c r="B422" s="9">
        <f t="shared" si="35"/>
        <v>417</v>
      </c>
      <c r="C422" s="9" t="e">
        <f t="shared" si="38"/>
        <v>#N/A</v>
      </c>
      <c r="D422" s="22" t="e">
        <f>INDEX(entities[Custom Attributes],MATCH('cust-code'!C422,entities[custom entity '#],0))</f>
        <v>#N/A</v>
      </c>
      <c r="E422" s="22" t="e">
        <f t="shared" si="39"/>
        <v>#N/A</v>
      </c>
      <c r="F422" s="9" t="e">
        <f>IF(E422&gt;0,"",
INDEX(entities[entity_id],MATCH('cust-code'!C422,entities[custom entity '#],0))&amp;":")</f>
        <v>#N/A</v>
      </c>
      <c r="G422" s="9" t="e">
        <f>IF(E422=0,"",
INDEX(entities[[line 1]:[line 4]],MATCH('cust-code'!C422,entities[custom entity '#],0),'cust-code'!E422))</f>
        <v>#N/A</v>
      </c>
      <c r="H422" s="9" t="str">
        <f t="shared" si="36"/>
        <v/>
      </c>
      <c r="I422" s="9" t="str">
        <f t="shared" si="37"/>
        <v/>
      </c>
    </row>
    <row r="423" spans="2:9" x14ac:dyDescent="0.45">
      <c r="B423" s="9">
        <f t="shared" si="35"/>
        <v>418</v>
      </c>
      <c r="C423" s="9" t="e">
        <f t="shared" si="38"/>
        <v>#N/A</v>
      </c>
      <c r="D423" s="22" t="e">
        <f>INDEX(entities[Custom Attributes],MATCH('cust-code'!C423,entities[custom entity '#],0))</f>
        <v>#N/A</v>
      </c>
      <c r="E423" s="22" t="e">
        <f t="shared" si="39"/>
        <v>#N/A</v>
      </c>
      <c r="F423" s="9" t="e">
        <f>IF(E423&gt;0,"",
INDEX(entities[entity_id],MATCH('cust-code'!C423,entities[custom entity '#],0))&amp;":")</f>
        <v>#N/A</v>
      </c>
      <c r="G423" s="9" t="e">
        <f>IF(E423=0,"",
INDEX(entities[[line 1]:[line 4]],MATCH('cust-code'!C423,entities[custom entity '#],0),'cust-code'!E423))</f>
        <v>#N/A</v>
      </c>
      <c r="H423" s="9" t="str">
        <f t="shared" si="36"/>
        <v/>
      </c>
      <c r="I423" s="9" t="str">
        <f t="shared" si="37"/>
        <v/>
      </c>
    </row>
    <row r="424" spans="2:9" x14ac:dyDescent="0.45">
      <c r="B424" s="9">
        <f t="shared" si="35"/>
        <v>419</v>
      </c>
      <c r="C424" s="9" t="e">
        <f t="shared" si="38"/>
        <v>#N/A</v>
      </c>
      <c r="D424" s="22" t="e">
        <f>INDEX(entities[Custom Attributes],MATCH('cust-code'!C424,entities[custom entity '#],0))</f>
        <v>#N/A</v>
      </c>
      <c r="E424" s="22" t="e">
        <f t="shared" si="39"/>
        <v>#N/A</v>
      </c>
      <c r="F424" s="9" t="e">
        <f>IF(E424&gt;0,"",
INDEX(entities[entity_id],MATCH('cust-code'!C424,entities[custom entity '#],0))&amp;":")</f>
        <v>#N/A</v>
      </c>
      <c r="G424" s="9" t="e">
        <f>IF(E424=0,"",
INDEX(entities[[line 1]:[line 4]],MATCH('cust-code'!C424,entities[custom entity '#],0),'cust-code'!E424))</f>
        <v>#N/A</v>
      </c>
      <c r="H424" s="9" t="str">
        <f t="shared" si="36"/>
        <v/>
      </c>
      <c r="I424" s="9" t="str">
        <f t="shared" si="37"/>
        <v/>
      </c>
    </row>
    <row r="425" spans="2:9" x14ac:dyDescent="0.45">
      <c r="B425" s="9">
        <f t="shared" si="35"/>
        <v>420</v>
      </c>
      <c r="C425" s="9" t="e">
        <f t="shared" si="38"/>
        <v>#N/A</v>
      </c>
      <c r="D425" s="22" t="e">
        <f>INDEX(entities[Custom Attributes],MATCH('cust-code'!C425,entities[custom entity '#],0))</f>
        <v>#N/A</v>
      </c>
      <c r="E425" s="22" t="e">
        <f t="shared" si="39"/>
        <v>#N/A</v>
      </c>
      <c r="F425" s="9" t="e">
        <f>IF(E425&gt;0,"",
INDEX(entities[entity_id],MATCH('cust-code'!C425,entities[custom entity '#],0))&amp;":")</f>
        <v>#N/A</v>
      </c>
      <c r="G425" s="9" t="e">
        <f>IF(E425=0,"",
INDEX(entities[[line 1]:[line 4]],MATCH('cust-code'!C425,entities[custom entity '#],0),'cust-code'!E425))</f>
        <v>#N/A</v>
      </c>
      <c r="H425" s="9" t="str">
        <f t="shared" si="36"/>
        <v/>
      </c>
      <c r="I425" s="9" t="str">
        <f t="shared" si="37"/>
        <v/>
      </c>
    </row>
    <row r="426" spans="2:9" x14ac:dyDescent="0.45">
      <c r="B426" s="9">
        <f t="shared" si="35"/>
        <v>421</v>
      </c>
      <c r="C426" s="9" t="e">
        <f t="shared" si="38"/>
        <v>#N/A</v>
      </c>
      <c r="D426" s="22" t="e">
        <f>INDEX(entities[Custom Attributes],MATCH('cust-code'!C426,entities[custom entity '#],0))</f>
        <v>#N/A</v>
      </c>
      <c r="E426" s="22" t="e">
        <f t="shared" si="39"/>
        <v>#N/A</v>
      </c>
      <c r="F426" s="9" t="e">
        <f>IF(E426&gt;0,"",
INDEX(entities[entity_id],MATCH('cust-code'!C426,entities[custom entity '#],0))&amp;":")</f>
        <v>#N/A</v>
      </c>
      <c r="G426" s="9" t="e">
        <f>IF(E426=0,"",
INDEX(entities[[line 1]:[line 4]],MATCH('cust-code'!C426,entities[custom entity '#],0),'cust-code'!E426))</f>
        <v>#N/A</v>
      </c>
      <c r="H426" s="9" t="str">
        <f t="shared" si="36"/>
        <v/>
      </c>
      <c r="I426" s="9" t="str">
        <f t="shared" si="37"/>
        <v/>
      </c>
    </row>
    <row r="427" spans="2:9" x14ac:dyDescent="0.45">
      <c r="B427" s="9">
        <f t="shared" si="35"/>
        <v>422</v>
      </c>
      <c r="C427" s="9" t="e">
        <f t="shared" si="38"/>
        <v>#N/A</v>
      </c>
      <c r="D427" s="22" t="e">
        <f>INDEX(entities[Custom Attributes],MATCH('cust-code'!C427,entities[custom entity '#],0))</f>
        <v>#N/A</v>
      </c>
      <c r="E427" s="22" t="e">
        <f t="shared" si="39"/>
        <v>#N/A</v>
      </c>
      <c r="F427" s="9" t="e">
        <f>IF(E427&gt;0,"",
INDEX(entities[entity_id],MATCH('cust-code'!C427,entities[custom entity '#],0))&amp;":")</f>
        <v>#N/A</v>
      </c>
      <c r="G427" s="9" t="e">
        <f>IF(E427=0,"",
INDEX(entities[[line 1]:[line 4]],MATCH('cust-code'!C427,entities[custom entity '#],0),'cust-code'!E427))</f>
        <v>#N/A</v>
      </c>
      <c r="H427" s="9" t="str">
        <f t="shared" si="36"/>
        <v/>
      </c>
      <c r="I427" s="9" t="str">
        <f t="shared" si="37"/>
        <v/>
      </c>
    </row>
    <row r="428" spans="2:9" x14ac:dyDescent="0.45">
      <c r="B428" s="9">
        <f t="shared" si="35"/>
        <v>423</v>
      </c>
      <c r="C428" s="9" t="e">
        <f t="shared" si="38"/>
        <v>#N/A</v>
      </c>
      <c r="D428" s="22" t="e">
        <f>INDEX(entities[Custom Attributes],MATCH('cust-code'!C428,entities[custom entity '#],0))</f>
        <v>#N/A</v>
      </c>
      <c r="E428" s="22" t="e">
        <f t="shared" si="39"/>
        <v>#N/A</v>
      </c>
      <c r="F428" s="9" t="e">
        <f>IF(E428&gt;0,"",
INDEX(entities[entity_id],MATCH('cust-code'!C428,entities[custom entity '#],0))&amp;":")</f>
        <v>#N/A</v>
      </c>
      <c r="G428" s="9" t="e">
        <f>IF(E428=0,"",
INDEX(entities[[line 1]:[line 4]],MATCH('cust-code'!C428,entities[custom entity '#],0),'cust-code'!E428))</f>
        <v>#N/A</v>
      </c>
      <c r="H428" s="9" t="str">
        <f t="shared" si="36"/>
        <v/>
      </c>
      <c r="I428" s="9" t="str">
        <f t="shared" si="37"/>
        <v/>
      </c>
    </row>
    <row r="429" spans="2:9" x14ac:dyDescent="0.45">
      <c r="B429" s="9">
        <f t="shared" si="35"/>
        <v>424</v>
      </c>
      <c r="C429" s="9" t="e">
        <f t="shared" si="38"/>
        <v>#N/A</v>
      </c>
      <c r="D429" s="22" t="e">
        <f>INDEX(entities[Custom Attributes],MATCH('cust-code'!C429,entities[custom entity '#],0))</f>
        <v>#N/A</v>
      </c>
      <c r="E429" s="22" t="e">
        <f t="shared" si="39"/>
        <v>#N/A</v>
      </c>
      <c r="F429" s="9" t="e">
        <f>IF(E429&gt;0,"",
INDEX(entities[entity_id],MATCH('cust-code'!C429,entities[custom entity '#],0))&amp;":")</f>
        <v>#N/A</v>
      </c>
      <c r="G429" s="9" t="e">
        <f>IF(E429=0,"",
INDEX(entities[[line 1]:[line 4]],MATCH('cust-code'!C429,entities[custom entity '#],0),'cust-code'!E429))</f>
        <v>#N/A</v>
      </c>
      <c r="H429" s="9" t="str">
        <f t="shared" si="36"/>
        <v/>
      </c>
      <c r="I429" s="9" t="str">
        <f t="shared" si="37"/>
        <v/>
      </c>
    </row>
    <row r="430" spans="2:9" x14ac:dyDescent="0.45">
      <c r="B430" s="9">
        <f t="shared" si="35"/>
        <v>425</v>
      </c>
      <c r="C430" s="9" t="e">
        <f t="shared" si="38"/>
        <v>#N/A</v>
      </c>
      <c r="D430" s="22" t="e">
        <f>INDEX(entities[Custom Attributes],MATCH('cust-code'!C430,entities[custom entity '#],0))</f>
        <v>#N/A</v>
      </c>
      <c r="E430" s="22" t="e">
        <f t="shared" si="39"/>
        <v>#N/A</v>
      </c>
      <c r="F430" s="9" t="e">
        <f>IF(E430&gt;0,"",
INDEX(entities[entity_id],MATCH('cust-code'!C430,entities[custom entity '#],0))&amp;":")</f>
        <v>#N/A</v>
      </c>
      <c r="G430" s="9" t="e">
        <f>IF(E430=0,"",
INDEX(entities[[line 1]:[line 4]],MATCH('cust-code'!C430,entities[custom entity '#],0),'cust-code'!E430))</f>
        <v>#N/A</v>
      </c>
      <c r="H430" s="9" t="str">
        <f t="shared" si="36"/>
        <v/>
      </c>
      <c r="I430" s="9" t="str">
        <f t="shared" si="37"/>
        <v/>
      </c>
    </row>
    <row r="431" spans="2:9" x14ac:dyDescent="0.45">
      <c r="B431" s="9">
        <f t="shared" si="35"/>
        <v>426</v>
      </c>
      <c r="C431" s="9" t="e">
        <f t="shared" si="38"/>
        <v>#N/A</v>
      </c>
      <c r="D431" s="22" t="e">
        <f>INDEX(entities[Custom Attributes],MATCH('cust-code'!C431,entities[custom entity '#],0))</f>
        <v>#N/A</v>
      </c>
      <c r="E431" s="22" t="e">
        <f t="shared" si="39"/>
        <v>#N/A</v>
      </c>
      <c r="F431" s="9" t="e">
        <f>IF(E431&gt;0,"",
INDEX(entities[entity_id],MATCH('cust-code'!C431,entities[custom entity '#],0))&amp;":")</f>
        <v>#N/A</v>
      </c>
      <c r="G431" s="9" t="e">
        <f>IF(E431=0,"",
INDEX(entities[[line 1]:[line 4]],MATCH('cust-code'!C431,entities[custom entity '#],0),'cust-code'!E431))</f>
        <v>#N/A</v>
      </c>
      <c r="H431" s="9" t="str">
        <f t="shared" si="36"/>
        <v/>
      </c>
      <c r="I431" s="9" t="str">
        <f t="shared" si="37"/>
        <v/>
      </c>
    </row>
    <row r="432" spans="2:9" x14ac:dyDescent="0.45">
      <c r="B432" s="9">
        <f t="shared" si="35"/>
        <v>427</v>
      </c>
      <c r="C432" s="9" t="e">
        <f t="shared" si="38"/>
        <v>#N/A</v>
      </c>
      <c r="D432" s="22" t="e">
        <f>INDEX(entities[Custom Attributes],MATCH('cust-code'!C432,entities[custom entity '#],0))</f>
        <v>#N/A</v>
      </c>
      <c r="E432" s="22" t="e">
        <f t="shared" si="39"/>
        <v>#N/A</v>
      </c>
      <c r="F432" s="9" t="e">
        <f>IF(E432&gt;0,"",
INDEX(entities[entity_id],MATCH('cust-code'!C432,entities[custom entity '#],0))&amp;":")</f>
        <v>#N/A</v>
      </c>
      <c r="G432" s="9" t="e">
        <f>IF(E432=0,"",
INDEX(entities[[line 1]:[line 4]],MATCH('cust-code'!C432,entities[custom entity '#],0),'cust-code'!E432))</f>
        <v>#N/A</v>
      </c>
      <c r="H432" s="9" t="str">
        <f t="shared" si="36"/>
        <v/>
      </c>
      <c r="I432" s="9" t="str">
        <f t="shared" si="37"/>
        <v/>
      </c>
    </row>
    <row r="433" spans="2:9" x14ac:dyDescent="0.45">
      <c r="B433" s="9">
        <f t="shared" si="35"/>
        <v>428</v>
      </c>
      <c r="C433" s="9" t="e">
        <f t="shared" si="38"/>
        <v>#N/A</v>
      </c>
      <c r="D433" s="22" t="e">
        <f>INDEX(entities[Custom Attributes],MATCH('cust-code'!C433,entities[custom entity '#],0))</f>
        <v>#N/A</v>
      </c>
      <c r="E433" s="22" t="e">
        <f t="shared" si="39"/>
        <v>#N/A</v>
      </c>
      <c r="F433" s="9" t="e">
        <f>IF(E433&gt;0,"",
INDEX(entities[entity_id],MATCH('cust-code'!C433,entities[custom entity '#],0))&amp;":")</f>
        <v>#N/A</v>
      </c>
      <c r="G433" s="9" t="e">
        <f>IF(E433=0,"",
INDEX(entities[[line 1]:[line 4]],MATCH('cust-code'!C433,entities[custom entity '#],0),'cust-code'!E433))</f>
        <v>#N/A</v>
      </c>
      <c r="H433" s="9" t="str">
        <f t="shared" si="36"/>
        <v/>
      </c>
      <c r="I433" s="9" t="str">
        <f t="shared" si="37"/>
        <v/>
      </c>
    </row>
    <row r="434" spans="2:9" x14ac:dyDescent="0.45">
      <c r="B434" s="9">
        <f t="shared" si="35"/>
        <v>429</v>
      </c>
      <c r="C434" s="9" t="e">
        <f t="shared" si="38"/>
        <v>#N/A</v>
      </c>
      <c r="D434" s="22" t="e">
        <f>INDEX(entities[Custom Attributes],MATCH('cust-code'!C434,entities[custom entity '#],0))</f>
        <v>#N/A</v>
      </c>
      <c r="E434" s="22" t="e">
        <f t="shared" si="39"/>
        <v>#N/A</v>
      </c>
      <c r="F434" s="9" t="e">
        <f>IF(E434&gt;0,"",
INDEX(entities[entity_id],MATCH('cust-code'!C434,entities[custom entity '#],0))&amp;":")</f>
        <v>#N/A</v>
      </c>
      <c r="G434" s="9" t="e">
        <f>IF(E434=0,"",
INDEX(entities[[line 1]:[line 4]],MATCH('cust-code'!C434,entities[custom entity '#],0),'cust-code'!E434))</f>
        <v>#N/A</v>
      </c>
      <c r="H434" s="9" t="str">
        <f t="shared" si="36"/>
        <v/>
      </c>
      <c r="I434" s="9" t="str">
        <f t="shared" si="37"/>
        <v/>
      </c>
    </row>
    <row r="435" spans="2:9" x14ac:dyDescent="0.45">
      <c r="B435" s="9">
        <f t="shared" si="35"/>
        <v>430</v>
      </c>
      <c r="C435" s="9" t="e">
        <f t="shared" si="38"/>
        <v>#N/A</v>
      </c>
      <c r="D435" s="22" t="e">
        <f>INDEX(entities[Custom Attributes],MATCH('cust-code'!C435,entities[custom entity '#],0))</f>
        <v>#N/A</v>
      </c>
      <c r="E435" s="22" t="e">
        <f t="shared" si="39"/>
        <v>#N/A</v>
      </c>
      <c r="F435" s="9" t="e">
        <f>IF(E435&gt;0,"",
INDEX(entities[entity_id],MATCH('cust-code'!C435,entities[custom entity '#],0))&amp;":")</f>
        <v>#N/A</v>
      </c>
      <c r="G435" s="9" t="e">
        <f>IF(E435=0,"",
INDEX(entities[[line 1]:[line 4]],MATCH('cust-code'!C435,entities[custom entity '#],0),'cust-code'!E435))</f>
        <v>#N/A</v>
      </c>
      <c r="H435" s="9" t="str">
        <f t="shared" si="36"/>
        <v/>
      </c>
      <c r="I435" s="9" t="str">
        <f t="shared" si="37"/>
        <v/>
      </c>
    </row>
    <row r="436" spans="2:9" x14ac:dyDescent="0.45">
      <c r="B436" s="9">
        <f t="shared" si="35"/>
        <v>431</v>
      </c>
      <c r="C436" s="9" t="e">
        <f t="shared" si="38"/>
        <v>#N/A</v>
      </c>
      <c r="D436" s="22" t="e">
        <f>INDEX(entities[Custom Attributes],MATCH('cust-code'!C436,entities[custom entity '#],0))</f>
        <v>#N/A</v>
      </c>
      <c r="E436" s="22" t="e">
        <f t="shared" si="39"/>
        <v>#N/A</v>
      </c>
      <c r="F436" s="9" t="e">
        <f>IF(E436&gt;0,"",
INDEX(entities[entity_id],MATCH('cust-code'!C436,entities[custom entity '#],0))&amp;":")</f>
        <v>#N/A</v>
      </c>
      <c r="G436" s="9" t="e">
        <f>IF(E436=0,"",
INDEX(entities[[line 1]:[line 4]],MATCH('cust-code'!C436,entities[custom entity '#],0),'cust-code'!E436))</f>
        <v>#N/A</v>
      </c>
      <c r="H436" s="9" t="str">
        <f t="shared" si="36"/>
        <v/>
      </c>
      <c r="I436" s="9" t="str">
        <f t="shared" si="37"/>
        <v/>
      </c>
    </row>
    <row r="437" spans="2:9" x14ac:dyDescent="0.45">
      <c r="B437" s="9">
        <f t="shared" si="35"/>
        <v>432</v>
      </c>
      <c r="C437" s="9" t="e">
        <f t="shared" si="38"/>
        <v>#N/A</v>
      </c>
      <c r="D437" s="22" t="e">
        <f>INDEX(entities[Custom Attributes],MATCH('cust-code'!C437,entities[custom entity '#],0))</f>
        <v>#N/A</v>
      </c>
      <c r="E437" s="22" t="e">
        <f t="shared" si="39"/>
        <v>#N/A</v>
      </c>
      <c r="F437" s="9" t="e">
        <f>IF(E437&gt;0,"",
INDEX(entities[entity_id],MATCH('cust-code'!C437,entities[custom entity '#],0))&amp;":")</f>
        <v>#N/A</v>
      </c>
      <c r="G437" s="9" t="e">
        <f>IF(E437=0,"",
INDEX(entities[[line 1]:[line 4]],MATCH('cust-code'!C437,entities[custom entity '#],0),'cust-code'!E437))</f>
        <v>#N/A</v>
      </c>
      <c r="H437" s="9" t="str">
        <f t="shared" si="36"/>
        <v/>
      </c>
      <c r="I437" s="9" t="str">
        <f t="shared" si="37"/>
        <v/>
      </c>
    </row>
    <row r="438" spans="2:9" x14ac:dyDescent="0.45">
      <c r="B438" s="9">
        <f t="shared" si="35"/>
        <v>433</v>
      </c>
      <c r="C438" s="9" t="e">
        <f t="shared" si="38"/>
        <v>#N/A</v>
      </c>
      <c r="D438" s="22" t="e">
        <f>INDEX(entities[Custom Attributes],MATCH('cust-code'!C438,entities[custom entity '#],0))</f>
        <v>#N/A</v>
      </c>
      <c r="E438" s="22" t="e">
        <f t="shared" si="39"/>
        <v>#N/A</v>
      </c>
      <c r="F438" s="9" t="e">
        <f>IF(E438&gt;0,"",
INDEX(entities[entity_id],MATCH('cust-code'!C438,entities[custom entity '#],0))&amp;":")</f>
        <v>#N/A</v>
      </c>
      <c r="G438" s="9" t="e">
        <f>IF(E438=0,"",
INDEX(entities[[line 1]:[line 4]],MATCH('cust-code'!C438,entities[custom entity '#],0),'cust-code'!E438))</f>
        <v>#N/A</v>
      </c>
      <c r="H438" s="9" t="str">
        <f t="shared" si="36"/>
        <v/>
      </c>
      <c r="I438" s="9" t="str">
        <f t="shared" si="37"/>
        <v/>
      </c>
    </row>
    <row r="439" spans="2:9" x14ac:dyDescent="0.45">
      <c r="B439" s="9">
        <f t="shared" si="35"/>
        <v>434</v>
      </c>
      <c r="C439" s="9" t="e">
        <f t="shared" si="38"/>
        <v>#N/A</v>
      </c>
      <c r="D439" s="22" t="e">
        <f>INDEX(entities[Custom Attributes],MATCH('cust-code'!C439,entities[custom entity '#],0))</f>
        <v>#N/A</v>
      </c>
      <c r="E439" s="22" t="e">
        <f t="shared" si="39"/>
        <v>#N/A</v>
      </c>
      <c r="F439" s="9" t="e">
        <f>IF(E439&gt;0,"",
INDEX(entities[entity_id],MATCH('cust-code'!C439,entities[custom entity '#],0))&amp;":")</f>
        <v>#N/A</v>
      </c>
      <c r="G439" s="9" t="e">
        <f>IF(E439=0,"",
INDEX(entities[[line 1]:[line 4]],MATCH('cust-code'!C439,entities[custom entity '#],0),'cust-code'!E439))</f>
        <v>#N/A</v>
      </c>
      <c r="H439" s="9" t="str">
        <f t="shared" si="36"/>
        <v/>
      </c>
      <c r="I439" s="9" t="str">
        <f t="shared" si="37"/>
        <v/>
      </c>
    </row>
    <row r="440" spans="2:9" x14ac:dyDescent="0.45">
      <c r="B440" s="9">
        <f t="shared" si="35"/>
        <v>435</v>
      </c>
      <c r="C440" s="9" t="e">
        <f t="shared" si="38"/>
        <v>#N/A</v>
      </c>
      <c r="D440" s="22" t="e">
        <f>INDEX(entities[Custom Attributes],MATCH('cust-code'!C440,entities[custom entity '#],0))</f>
        <v>#N/A</v>
      </c>
      <c r="E440" s="22" t="e">
        <f t="shared" si="39"/>
        <v>#N/A</v>
      </c>
      <c r="F440" s="9" t="e">
        <f>IF(E440&gt;0,"",
INDEX(entities[entity_id],MATCH('cust-code'!C440,entities[custom entity '#],0))&amp;":")</f>
        <v>#N/A</v>
      </c>
      <c r="G440" s="9" t="e">
        <f>IF(E440=0,"",
INDEX(entities[[line 1]:[line 4]],MATCH('cust-code'!C440,entities[custom entity '#],0),'cust-code'!E440))</f>
        <v>#N/A</v>
      </c>
      <c r="H440" s="9" t="str">
        <f t="shared" si="36"/>
        <v/>
      </c>
      <c r="I440" s="9" t="str">
        <f t="shared" si="37"/>
        <v/>
      </c>
    </row>
    <row r="441" spans="2:9" x14ac:dyDescent="0.45">
      <c r="B441" s="9">
        <f t="shared" si="35"/>
        <v>436</v>
      </c>
      <c r="C441" s="9" t="e">
        <f t="shared" si="38"/>
        <v>#N/A</v>
      </c>
      <c r="D441" s="22" t="e">
        <f>INDEX(entities[Custom Attributes],MATCH('cust-code'!C441,entities[custom entity '#],0))</f>
        <v>#N/A</v>
      </c>
      <c r="E441" s="22" t="e">
        <f t="shared" si="39"/>
        <v>#N/A</v>
      </c>
      <c r="F441" s="9" t="e">
        <f>IF(E441&gt;0,"",
INDEX(entities[entity_id],MATCH('cust-code'!C441,entities[custom entity '#],0))&amp;":")</f>
        <v>#N/A</v>
      </c>
      <c r="G441" s="9" t="e">
        <f>IF(E441=0,"",
INDEX(entities[[line 1]:[line 4]],MATCH('cust-code'!C441,entities[custom entity '#],0),'cust-code'!E441))</f>
        <v>#N/A</v>
      </c>
      <c r="H441" s="9" t="str">
        <f t="shared" si="36"/>
        <v/>
      </c>
      <c r="I441" s="9" t="str">
        <f t="shared" si="37"/>
        <v/>
      </c>
    </row>
    <row r="442" spans="2:9" x14ac:dyDescent="0.45">
      <c r="B442" s="9">
        <f t="shared" si="35"/>
        <v>437</v>
      </c>
      <c r="C442" s="9" t="e">
        <f t="shared" si="38"/>
        <v>#N/A</v>
      </c>
      <c r="D442" s="22" t="e">
        <f>INDEX(entities[Custom Attributes],MATCH('cust-code'!C442,entities[custom entity '#],0))</f>
        <v>#N/A</v>
      </c>
      <c r="E442" s="22" t="e">
        <f t="shared" si="39"/>
        <v>#N/A</v>
      </c>
      <c r="F442" s="9" t="e">
        <f>IF(E442&gt;0,"",
INDEX(entities[entity_id],MATCH('cust-code'!C442,entities[custom entity '#],0))&amp;":")</f>
        <v>#N/A</v>
      </c>
      <c r="G442" s="9" t="e">
        <f>IF(E442=0,"",
INDEX(entities[[line 1]:[line 4]],MATCH('cust-code'!C442,entities[custom entity '#],0),'cust-code'!E442))</f>
        <v>#N/A</v>
      </c>
      <c r="H442" s="9" t="str">
        <f t="shared" si="36"/>
        <v/>
      </c>
      <c r="I442" s="9" t="str">
        <f t="shared" si="37"/>
        <v/>
      </c>
    </row>
    <row r="443" spans="2:9" x14ac:dyDescent="0.45">
      <c r="B443" s="9">
        <f t="shared" si="35"/>
        <v>438</v>
      </c>
      <c r="C443" s="9" t="e">
        <f t="shared" si="38"/>
        <v>#N/A</v>
      </c>
      <c r="D443" s="22" t="e">
        <f>INDEX(entities[Custom Attributes],MATCH('cust-code'!C443,entities[custom entity '#],0))</f>
        <v>#N/A</v>
      </c>
      <c r="E443" s="22" t="e">
        <f t="shared" si="39"/>
        <v>#N/A</v>
      </c>
      <c r="F443" s="9" t="e">
        <f>IF(E443&gt;0,"",
INDEX(entities[entity_id],MATCH('cust-code'!C443,entities[custom entity '#],0))&amp;":")</f>
        <v>#N/A</v>
      </c>
      <c r="G443" s="9" t="e">
        <f>IF(E443=0,"",
INDEX(entities[[line 1]:[line 4]],MATCH('cust-code'!C443,entities[custom entity '#],0),'cust-code'!E443))</f>
        <v>#N/A</v>
      </c>
      <c r="H443" s="9" t="str">
        <f t="shared" si="36"/>
        <v/>
      </c>
      <c r="I443" s="9" t="str">
        <f t="shared" si="37"/>
        <v/>
      </c>
    </row>
    <row r="444" spans="2:9" x14ac:dyDescent="0.45">
      <c r="B444" s="9">
        <f t="shared" si="35"/>
        <v>439</v>
      </c>
      <c r="C444" s="9" t="e">
        <f t="shared" si="38"/>
        <v>#N/A</v>
      </c>
      <c r="D444" s="22" t="e">
        <f>INDEX(entities[Custom Attributes],MATCH('cust-code'!C444,entities[custom entity '#],0))</f>
        <v>#N/A</v>
      </c>
      <c r="E444" s="22" t="e">
        <f t="shared" si="39"/>
        <v>#N/A</v>
      </c>
      <c r="F444" s="9" t="e">
        <f>IF(E444&gt;0,"",
INDEX(entities[entity_id],MATCH('cust-code'!C444,entities[custom entity '#],0))&amp;":")</f>
        <v>#N/A</v>
      </c>
      <c r="G444" s="9" t="e">
        <f>IF(E444=0,"",
INDEX(entities[[line 1]:[line 4]],MATCH('cust-code'!C444,entities[custom entity '#],0),'cust-code'!E444))</f>
        <v>#N/A</v>
      </c>
      <c r="H444" s="9" t="str">
        <f t="shared" si="36"/>
        <v/>
      </c>
      <c r="I444" s="9" t="str">
        <f t="shared" si="37"/>
        <v/>
      </c>
    </row>
    <row r="445" spans="2:9" x14ac:dyDescent="0.45">
      <c r="B445" s="9">
        <f t="shared" si="35"/>
        <v>440</v>
      </c>
      <c r="C445" s="9" t="e">
        <f t="shared" si="38"/>
        <v>#N/A</v>
      </c>
      <c r="D445" s="22" t="e">
        <f>INDEX(entities[Custom Attributes],MATCH('cust-code'!C445,entities[custom entity '#],0))</f>
        <v>#N/A</v>
      </c>
      <c r="E445" s="22" t="e">
        <f t="shared" si="39"/>
        <v>#N/A</v>
      </c>
      <c r="F445" s="9" t="e">
        <f>IF(E445&gt;0,"",
INDEX(entities[entity_id],MATCH('cust-code'!C445,entities[custom entity '#],0))&amp;":")</f>
        <v>#N/A</v>
      </c>
      <c r="G445" s="9" t="e">
        <f>IF(E445=0,"",
INDEX(entities[[line 1]:[line 4]],MATCH('cust-code'!C445,entities[custom entity '#],0),'cust-code'!E445))</f>
        <v>#N/A</v>
      </c>
      <c r="H445" s="9" t="str">
        <f t="shared" si="36"/>
        <v/>
      </c>
      <c r="I445" s="9" t="str">
        <f t="shared" si="37"/>
        <v/>
      </c>
    </row>
    <row r="446" spans="2:9" x14ac:dyDescent="0.45">
      <c r="B446" s="9">
        <f t="shared" si="35"/>
        <v>441</v>
      </c>
      <c r="C446" s="9" t="e">
        <f t="shared" si="38"/>
        <v>#N/A</v>
      </c>
      <c r="D446" s="22" t="e">
        <f>INDEX(entities[Custom Attributes],MATCH('cust-code'!C446,entities[custom entity '#],0))</f>
        <v>#N/A</v>
      </c>
      <c r="E446" s="22" t="e">
        <f t="shared" si="39"/>
        <v>#N/A</v>
      </c>
      <c r="F446" s="9" t="e">
        <f>IF(E446&gt;0,"",
INDEX(entities[entity_id],MATCH('cust-code'!C446,entities[custom entity '#],0))&amp;":")</f>
        <v>#N/A</v>
      </c>
      <c r="G446" s="9" t="e">
        <f>IF(E446=0,"",
INDEX(entities[[line 1]:[line 4]],MATCH('cust-code'!C446,entities[custom entity '#],0),'cust-code'!E446))</f>
        <v>#N/A</v>
      </c>
      <c r="H446" s="9" t="str">
        <f t="shared" si="36"/>
        <v/>
      </c>
      <c r="I446" s="9" t="str">
        <f t="shared" si="37"/>
        <v/>
      </c>
    </row>
    <row r="447" spans="2:9" x14ac:dyDescent="0.45">
      <c r="B447" s="9">
        <f t="shared" si="35"/>
        <v>442</v>
      </c>
      <c r="C447" s="9" t="e">
        <f t="shared" si="38"/>
        <v>#N/A</v>
      </c>
      <c r="D447" s="22" t="e">
        <f>INDEX(entities[Custom Attributes],MATCH('cust-code'!C447,entities[custom entity '#],0))</f>
        <v>#N/A</v>
      </c>
      <c r="E447" s="22" t="e">
        <f t="shared" si="39"/>
        <v>#N/A</v>
      </c>
      <c r="F447" s="9" t="e">
        <f>IF(E447&gt;0,"",
INDEX(entities[entity_id],MATCH('cust-code'!C447,entities[custom entity '#],0))&amp;":")</f>
        <v>#N/A</v>
      </c>
      <c r="G447" s="9" t="e">
        <f>IF(E447=0,"",
INDEX(entities[[line 1]:[line 4]],MATCH('cust-code'!C447,entities[custom entity '#],0),'cust-code'!E447))</f>
        <v>#N/A</v>
      </c>
      <c r="H447" s="9" t="str">
        <f t="shared" si="36"/>
        <v/>
      </c>
      <c r="I447" s="9" t="str">
        <f t="shared" si="37"/>
        <v/>
      </c>
    </row>
    <row r="448" spans="2:9" x14ac:dyDescent="0.45">
      <c r="B448" s="9">
        <f t="shared" si="35"/>
        <v>443</v>
      </c>
      <c r="C448" s="9" t="e">
        <f t="shared" si="38"/>
        <v>#N/A</v>
      </c>
      <c r="D448" s="22" t="e">
        <f>INDEX(entities[Custom Attributes],MATCH('cust-code'!C448,entities[custom entity '#],0))</f>
        <v>#N/A</v>
      </c>
      <c r="E448" s="22" t="e">
        <f t="shared" si="39"/>
        <v>#N/A</v>
      </c>
      <c r="F448" s="9" t="e">
        <f>IF(E448&gt;0,"",
INDEX(entities[entity_id],MATCH('cust-code'!C448,entities[custom entity '#],0))&amp;":")</f>
        <v>#N/A</v>
      </c>
      <c r="G448" s="9" t="e">
        <f>IF(E448=0,"",
INDEX(entities[[line 1]:[line 4]],MATCH('cust-code'!C448,entities[custom entity '#],0),'cust-code'!E448))</f>
        <v>#N/A</v>
      </c>
      <c r="H448" s="9" t="str">
        <f t="shared" si="36"/>
        <v/>
      </c>
      <c r="I448" s="9" t="str">
        <f t="shared" si="37"/>
        <v/>
      </c>
    </row>
    <row r="449" spans="2:9" x14ac:dyDescent="0.45">
      <c r="B449" s="9">
        <f t="shared" si="35"/>
        <v>444</v>
      </c>
      <c r="C449" s="9" t="e">
        <f t="shared" si="38"/>
        <v>#N/A</v>
      </c>
      <c r="D449" s="22" t="e">
        <f>INDEX(entities[Custom Attributes],MATCH('cust-code'!C449,entities[custom entity '#],0))</f>
        <v>#N/A</v>
      </c>
      <c r="E449" s="22" t="e">
        <f t="shared" si="39"/>
        <v>#N/A</v>
      </c>
      <c r="F449" s="9" t="e">
        <f>IF(E449&gt;0,"",
INDEX(entities[entity_id],MATCH('cust-code'!C449,entities[custom entity '#],0))&amp;":")</f>
        <v>#N/A</v>
      </c>
      <c r="G449" s="9" t="e">
        <f>IF(E449=0,"",
INDEX(entities[[line 1]:[line 4]],MATCH('cust-code'!C449,entities[custom entity '#],0),'cust-code'!E449))</f>
        <v>#N/A</v>
      </c>
      <c r="H449" s="9" t="str">
        <f t="shared" si="36"/>
        <v/>
      </c>
      <c r="I449" s="9" t="str">
        <f t="shared" si="37"/>
        <v/>
      </c>
    </row>
    <row r="450" spans="2:9" x14ac:dyDescent="0.45">
      <c r="B450" s="9">
        <f t="shared" si="35"/>
        <v>445</v>
      </c>
      <c r="C450" s="9" t="e">
        <f t="shared" si="38"/>
        <v>#N/A</v>
      </c>
      <c r="D450" s="22" t="e">
        <f>INDEX(entities[Custom Attributes],MATCH('cust-code'!C450,entities[custom entity '#],0))</f>
        <v>#N/A</v>
      </c>
      <c r="E450" s="22" t="e">
        <f t="shared" si="39"/>
        <v>#N/A</v>
      </c>
      <c r="F450" s="9" t="e">
        <f>IF(E450&gt;0,"",
INDEX(entities[entity_id],MATCH('cust-code'!C450,entities[custom entity '#],0))&amp;":")</f>
        <v>#N/A</v>
      </c>
      <c r="G450" s="9" t="e">
        <f>IF(E450=0,"",
INDEX(entities[[line 1]:[line 4]],MATCH('cust-code'!C450,entities[custom entity '#],0),'cust-code'!E450))</f>
        <v>#N/A</v>
      </c>
      <c r="H450" s="9" t="str">
        <f t="shared" si="36"/>
        <v/>
      </c>
      <c r="I450" s="9" t="str">
        <f t="shared" si="37"/>
        <v/>
      </c>
    </row>
    <row r="451" spans="2:9" x14ac:dyDescent="0.45">
      <c r="B451" s="9">
        <f t="shared" si="35"/>
        <v>446</v>
      </c>
      <c r="C451" s="9" t="e">
        <f t="shared" si="38"/>
        <v>#N/A</v>
      </c>
      <c r="D451" s="22" t="e">
        <f>INDEX(entities[Custom Attributes],MATCH('cust-code'!C451,entities[custom entity '#],0))</f>
        <v>#N/A</v>
      </c>
      <c r="E451" s="22" t="e">
        <f t="shared" si="39"/>
        <v>#N/A</v>
      </c>
      <c r="F451" s="9" t="e">
        <f>IF(E451&gt;0,"",
INDEX(entities[entity_id],MATCH('cust-code'!C451,entities[custom entity '#],0))&amp;":")</f>
        <v>#N/A</v>
      </c>
      <c r="G451" s="9" t="e">
        <f>IF(E451=0,"",
INDEX(entities[[line 1]:[line 4]],MATCH('cust-code'!C451,entities[custom entity '#],0),'cust-code'!E451))</f>
        <v>#N/A</v>
      </c>
      <c r="H451" s="9" t="str">
        <f t="shared" si="36"/>
        <v/>
      </c>
      <c r="I451" s="9" t="str">
        <f t="shared" si="37"/>
        <v/>
      </c>
    </row>
    <row r="452" spans="2:9" x14ac:dyDescent="0.45">
      <c r="B452" s="9">
        <f t="shared" si="35"/>
        <v>447</v>
      </c>
      <c r="C452" s="9" t="e">
        <f t="shared" si="38"/>
        <v>#N/A</v>
      </c>
      <c r="D452" s="22" t="e">
        <f>INDEX(entities[Custom Attributes],MATCH('cust-code'!C452,entities[custom entity '#],0))</f>
        <v>#N/A</v>
      </c>
      <c r="E452" s="22" t="e">
        <f t="shared" si="39"/>
        <v>#N/A</v>
      </c>
      <c r="F452" s="9" t="e">
        <f>IF(E452&gt;0,"",
INDEX(entities[entity_id],MATCH('cust-code'!C452,entities[custom entity '#],0))&amp;":")</f>
        <v>#N/A</v>
      </c>
      <c r="G452" s="9" t="e">
        <f>IF(E452=0,"",
INDEX(entities[[line 1]:[line 4]],MATCH('cust-code'!C452,entities[custom entity '#],0),'cust-code'!E452))</f>
        <v>#N/A</v>
      </c>
      <c r="H452" s="9" t="str">
        <f t="shared" si="36"/>
        <v/>
      </c>
      <c r="I452" s="9" t="str">
        <f t="shared" si="37"/>
        <v/>
      </c>
    </row>
    <row r="453" spans="2:9" x14ac:dyDescent="0.45">
      <c r="B453" s="9">
        <f t="shared" si="35"/>
        <v>448</v>
      </c>
      <c r="C453" s="9" t="e">
        <f t="shared" si="38"/>
        <v>#N/A</v>
      </c>
      <c r="D453" s="22" t="e">
        <f>INDEX(entities[Custom Attributes],MATCH('cust-code'!C453,entities[custom entity '#],0))</f>
        <v>#N/A</v>
      </c>
      <c r="E453" s="22" t="e">
        <f t="shared" si="39"/>
        <v>#N/A</v>
      </c>
      <c r="F453" s="9" t="e">
        <f>IF(E453&gt;0,"",
INDEX(entities[entity_id],MATCH('cust-code'!C453,entities[custom entity '#],0))&amp;":")</f>
        <v>#N/A</v>
      </c>
      <c r="G453" s="9" t="e">
        <f>IF(E453=0,"",
INDEX(entities[[line 1]:[line 4]],MATCH('cust-code'!C453,entities[custom entity '#],0),'cust-code'!E453))</f>
        <v>#N/A</v>
      </c>
      <c r="H453" s="9" t="str">
        <f t="shared" si="36"/>
        <v/>
      </c>
      <c r="I453" s="9" t="str">
        <f t="shared" si="37"/>
        <v/>
      </c>
    </row>
    <row r="454" spans="2:9" x14ac:dyDescent="0.45">
      <c r="B454" s="9">
        <f t="shared" si="35"/>
        <v>449</v>
      </c>
      <c r="C454" s="9" t="e">
        <f t="shared" si="38"/>
        <v>#N/A</v>
      </c>
      <c r="D454" s="22" t="e">
        <f>INDEX(entities[Custom Attributes],MATCH('cust-code'!C454,entities[custom entity '#],0))</f>
        <v>#N/A</v>
      </c>
      <c r="E454" s="22" t="e">
        <f t="shared" si="39"/>
        <v>#N/A</v>
      </c>
      <c r="F454" s="9" t="e">
        <f>IF(E454&gt;0,"",
INDEX(entities[entity_id],MATCH('cust-code'!C454,entities[custom entity '#],0))&amp;":")</f>
        <v>#N/A</v>
      </c>
      <c r="G454" s="9" t="e">
        <f>IF(E454=0,"",
INDEX(entities[[line 1]:[line 4]],MATCH('cust-code'!C454,entities[custom entity '#],0),'cust-code'!E454))</f>
        <v>#N/A</v>
      </c>
      <c r="H454" s="9" t="str">
        <f t="shared" si="36"/>
        <v/>
      </c>
      <c r="I454" s="9" t="str">
        <f t="shared" si="37"/>
        <v/>
      </c>
    </row>
    <row r="455" spans="2:9" x14ac:dyDescent="0.45">
      <c r="B455" s="9">
        <f t="shared" ref="B455:B505" si="40">B454+1</f>
        <v>450</v>
      </c>
      <c r="C455" s="9" t="e">
        <f t="shared" si="38"/>
        <v>#N/A</v>
      </c>
      <c r="D455" s="22" t="e">
        <f>INDEX(entities[Custom Attributes],MATCH('cust-code'!C455,entities[custom entity '#],0))</f>
        <v>#N/A</v>
      </c>
      <c r="E455" s="22" t="e">
        <f t="shared" si="39"/>
        <v>#N/A</v>
      </c>
      <c r="F455" s="9" t="e">
        <f>IF(E455&gt;0,"",
INDEX(entities[entity_id],MATCH('cust-code'!C455,entities[custom entity '#],0))&amp;":")</f>
        <v>#N/A</v>
      </c>
      <c r="G455" s="9" t="e">
        <f>IF(E455=0,"",
INDEX(entities[[line 1]:[line 4]],MATCH('cust-code'!C455,entities[custom entity '#],0),'cust-code'!E455))</f>
        <v>#N/A</v>
      </c>
      <c r="H455" s="9" t="str">
        <f t="shared" si="36"/>
        <v/>
      </c>
      <c r="I455" s="9" t="str">
        <f t="shared" si="37"/>
        <v/>
      </c>
    </row>
    <row r="456" spans="2:9" x14ac:dyDescent="0.45">
      <c r="B456" s="9">
        <f t="shared" si="40"/>
        <v>451</v>
      </c>
      <c r="C456" s="9" t="e">
        <f t="shared" si="38"/>
        <v>#N/A</v>
      </c>
      <c r="D456" s="22" t="e">
        <f>INDEX(entities[Custom Attributes],MATCH('cust-code'!C456,entities[custom entity '#],0))</f>
        <v>#N/A</v>
      </c>
      <c r="E456" s="22" t="e">
        <f t="shared" si="39"/>
        <v>#N/A</v>
      </c>
      <c r="F456" s="9" t="e">
        <f>IF(E456&gt;0,"",
INDEX(entities[entity_id],MATCH('cust-code'!C456,entities[custom entity '#],0))&amp;":")</f>
        <v>#N/A</v>
      </c>
      <c r="G456" s="9" t="e">
        <f>IF(E456=0,"",
INDEX(entities[[line 1]:[line 4]],MATCH('cust-code'!C456,entities[custom entity '#],0),'cust-code'!E456))</f>
        <v>#N/A</v>
      </c>
      <c r="H456" s="9" t="str">
        <f t="shared" ref="H456:H505" si="41">_xlfn.IFNA(  F456&amp;G456,  "")</f>
        <v/>
      </c>
      <c r="I456" s="9" t="str">
        <f t="shared" ref="I456:I505" si="42">IF(AND(NOT(ISNA(D455)),ISNA(D456)),"END","")</f>
        <v/>
      </c>
    </row>
    <row r="457" spans="2:9" x14ac:dyDescent="0.45">
      <c r="B457" s="9">
        <f t="shared" si="40"/>
        <v>452</v>
      </c>
      <c r="C457" s="9" t="e">
        <f t="shared" si="38"/>
        <v>#N/A</v>
      </c>
      <c r="D457" s="22" t="e">
        <f>INDEX(entities[Custom Attributes],MATCH('cust-code'!C457,entities[custom entity '#],0))</f>
        <v>#N/A</v>
      </c>
      <c r="E457" s="22" t="e">
        <f t="shared" si="39"/>
        <v>#N/A</v>
      </c>
      <c r="F457" s="9" t="e">
        <f>IF(E457&gt;0,"",
INDEX(entities[entity_id],MATCH('cust-code'!C457,entities[custom entity '#],0))&amp;":")</f>
        <v>#N/A</v>
      </c>
      <c r="G457" s="9" t="e">
        <f>IF(E457=0,"",
INDEX(entities[[line 1]:[line 4]],MATCH('cust-code'!C457,entities[custom entity '#],0),'cust-code'!E457))</f>
        <v>#N/A</v>
      </c>
      <c r="H457" s="9" t="str">
        <f t="shared" si="41"/>
        <v/>
      </c>
      <c r="I457" s="9" t="str">
        <f t="shared" si="42"/>
        <v/>
      </c>
    </row>
    <row r="458" spans="2:9" x14ac:dyDescent="0.45">
      <c r="B458" s="9">
        <f t="shared" si="40"/>
        <v>453</v>
      </c>
      <c r="C458" s="9" t="e">
        <f t="shared" si="38"/>
        <v>#N/A</v>
      </c>
      <c r="D458" s="22" t="e">
        <f>INDEX(entities[Custom Attributes],MATCH('cust-code'!C458,entities[custom entity '#],0))</f>
        <v>#N/A</v>
      </c>
      <c r="E458" s="22" t="e">
        <f t="shared" si="39"/>
        <v>#N/A</v>
      </c>
      <c r="F458" s="9" t="e">
        <f>IF(E458&gt;0,"",
INDEX(entities[entity_id],MATCH('cust-code'!C458,entities[custom entity '#],0))&amp;":")</f>
        <v>#N/A</v>
      </c>
      <c r="G458" s="9" t="e">
        <f>IF(E458=0,"",
INDEX(entities[[line 1]:[line 4]],MATCH('cust-code'!C458,entities[custom entity '#],0),'cust-code'!E458))</f>
        <v>#N/A</v>
      </c>
      <c r="H458" s="9" t="str">
        <f t="shared" si="41"/>
        <v/>
      </c>
      <c r="I458" s="9" t="str">
        <f t="shared" si="42"/>
        <v/>
      </c>
    </row>
    <row r="459" spans="2:9" x14ac:dyDescent="0.45">
      <c r="B459" s="9">
        <f t="shared" si="40"/>
        <v>454</v>
      </c>
      <c r="C459" s="9" t="e">
        <f t="shared" si="38"/>
        <v>#N/A</v>
      </c>
      <c r="D459" s="22" t="e">
        <f>INDEX(entities[Custom Attributes],MATCH('cust-code'!C459,entities[custom entity '#],0))</f>
        <v>#N/A</v>
      </c>
      <c r="E459" s="22" t="e">
        <f t="shared" si="39"/>
        <v>#N/A</v>
      </c>
      <c r="F459" s="9" t="e">
        <f>IF(E459&gt;0,"",
INDEX(entities[entity_id],MATCH('cust-code'!C459,entities[custom entity '#],0))&amp;":")</f>
        <v>#N/A</v>
      </c>
      <c r="G459" s="9" t="e">
        <f>IF(E459=0,"",
INDEX(entities[[line 1]:[line 4]],MATCH('cust-code'!C459,entities[custom entity '#],0),'cust-code'!E459))</f>
        <v>#N/A</v>
      </c>
      <c r="H459" s="9" t="str">
        <f t="shared" si="41"/>
        <v/>
      </c>
      <c r="I459" s="9" t="str">
        <f t="shared" si="42"/>
        <v/>
      </c>
    </row>
    <row r="460" spans="2:9" x14ac:dyDescent="0.45">
      <c r="B460" s="9">
        <f t="shared" si="40"/>
        <v>455</v>
      </c>
      <c r="C460" s="9" t="e">
        <f t="shared" si="38"/>
        <v>#N/A</v>
      </c>
      <c r="D460" s="22" t="e">
        <f>INDEX(entities[Custom Attributes],MATCH('cust-code'!C460,entities[custom entity '#],0))</f>
        <v>#N/A</v>
      </c>
      <c r="E460" s="22" t="e">
        <f t="shared" si="39"/>
        <v>#N/A</v>
      </c>
      <c r="F460" s="9" t="e">
        <f>IF(E460&gt;0,"",
INDEX(entities[entity_id],MATCH('cust-code'!C460,entities[custom entity '#],0))&amp;":")</f>
        <v>#N/A</v>
      </c>
      <c r="G460" s="9" t="e">
        <f>IF(E460=0,"",
INDEX(entities[[line 1]:[line 4]],MATCH('cust-code'!C460,entities[custom entity '#],0),'cust-code'!E460))</f>
        <v>#N/A</v>
      </c>
      <c r="H460" s="9" t="str">
        <f t="shared" si="41"/>
        <v/>
      </c>
      <c r="I460" s="9" t="str">
        <f t="shared" si="42"/>
        <v/>
      </c>
    </row>
    <row r="461" spans="2:9" x14ac:dyDescent="0.45">
      <c r="B461" s="9">
        <f t="shared" si="40"/>
        <v>456</v>
      </c>
      <c r="C461" s="9" t="e">
        <f t="shared" si="38"/>
        <v>#N/A</v>
      </c>
      <c r="D461" s="22" t="e">
        <f>INDEX(entities[Custom Attributes],MATCH('cust-code'!C461,entities[custom entity '#],0))</f>
        <v>#N/A</v>
      </c>
      <c r="E461" s="22" t="e">
        <f t="shared" si="39"/>
        <v>#N/A</v>
      </c>
      <c r="F461" s="9" t="e">
        <f>IF(E461&gt;0,"",
INDEX(entities[entity_id],MATCH('cust-code'!C461,entities[custom entity '#],0))&amp;":")</f>
        <v>#N/A</v>
      </c>
      <c r="G461" s="9" t="e">
        <f>IF(E461=0,"",
INDEX(entities[[line 1]:[line 4]],MATCH('cust-code'!C461,entities[custom entity '#],0),'cust-code'!E461))</f>
        <v>#N/A</v>
      </c>
      <c r="H461" s="9" t="str">
        <f t="shared" si="41"/>
        <v/>
      </c>
      <c r="I461" s="9" t="str">
        <f t="shared" si="42"/>
        <v/>
      </c>
    </row>
    <row r="462" spans="2:9" x14ac:dyDescent="0.45">
      <c r="B462" s="9">
        <f t="shared" si="40"/>
        <v>457</v>
      </c>
      <c r="C462" s="9" t="e">
        <f t="shared" ref="C462:C505" si="43">IF(E462=0,C461+1,C461)</f>
        <v>#N/A</v>
      </c>
      <c r="D462" s="22" t="e">
        <f>INDEX(entities[Custom Attributes],MATCH('cust-code'!C462,entities[custom entity '#],0))</f>
        <v>#N/A</v>
      </c>
      <c r="E462" s="22" t="e">
        <f t="shared" ref="E462:E505" si="44">IF(E461=D461,0,E461+1)</f>
        <v>#N/A</v>
      </c>
      <c r="F462" s="9" t="e">
        <f>IF(E462&gt;0,"",
INDEX(entities[entity_id],MATCH('cust-code'!C462,entities[custom entity '#],0))&amp;":")</f>
        <v>#N/A</v>
      </c>
      <c r="G462" s="9" t="e">
        <f>IF(E462=0,"",
INDEX(entities[[line 1]:[line 4]],MATCH('cust-code'!C462,entities[custom entity '#],0),'cust-code'!E462))</f>
        <v>#N/A</v>
      </c>
      <c r="H462" s="9" t="str">
        <f t="shared" si="41"/>
        <v/>
      </c>
      <c r="I462" s="9" t="str">
        <f t="shared" si="42"/>
        <v/>
      </c>
    </row>
    <row r="463" spans="2:9" x14ac:dyDescent="0.45">
      <c r="B463" s="9">
        <f t="shared" si="40"/>
        <v>458</v>
      </c>
      <c r="C463" s="9" t="e">
        <f t="shared" si="43"/>
        <v>#N/A</v>
      </c>
      <c r="D463" s="22" t="e">
        <f>INDEX(entities[Custom Attributes],MATCH('cust-code'!C463,entities[custom entity '#],0))</f>
        <v>#N/A</v>
      </c>
      <c r="E463" s="22" t="e">
        <f t="shared" si="44"/>
        <v>#N/A</v>
      </c>
      <c r="F463" s="9" t="e">
        <f>IF(E463&gt;0,"",
INDEX(entities[entity_id],MATCH('cust-code'!C463,entities[custom entity '#],0))&amp;":")</f>
        <v>#N/A</v>
      </c>
      <c r="G463" s="9" t="e">
        <f>IF(E463=0,"",
INDEX(entities[[line 1]:[line 4]],MATCH('cust-code'!C463,entities[custom entity '#],0),'cust-code'!E463))</f>
        <v>#N/A</v>
      </c>
      <c r="H463" s="9" t="str">
        <f t="shared" si="41"/>
        <v/>
      </c>
      <c r="I463" s="9" t="str">
        <f t="shared" si="42"/>
        <v/>
      </c>
    </row>
    <row r="464" spans="2:9" x14ac:dyDescent="0.45">
      <c r="B464" s="9">
        <f t="shared" si="40"/>
        <v>459</v>
      </c>
      <c r="C464" s="9" t="e">
        <f t="shared" si="43"/>
        <v>#N/A</v>
      </c>
      <c r="D464" s="22" t="e">
        <f>INDEX(entities[Custom Attributes],MATCH('cust-code'!C464,entities[custom entity '#],0))</f>
        <v>#N/A</v>
      </c>
      <c r="E464" s="22" t="e">
        <f t="shared" si="44"/>
        <v>#N/A</v>
      </c>
      <c r="F464" s="9" t="e">
        <f>IF(E464&gt;0,"",
INDEX(entities[entity_id],MATCH('cust-code'!C464,entities[custom entity '#],0))&amp;":")</f>
        <v>#N/A</v>
      </c>
      <c r="G464" s="9" t="e">
        <f>IF(E464=0,"",
INDEX(entities[[line 1]:[line 4]],MATCH('cust-code'!C464,entities[custom entity '#],0),'cust-code'!E464))</f>
        <v>#N/A</v>
      </c>
      <c r="H464" s="9" t="str">
        <f t="shared" si="41"/>
        <v/>
      </c>
      <c r="I464" s="9" t="str">
        <f t="shared" si="42"/>
        <v/>
      </c>
    </row>
    <row r="465" spans="2:9" x14ac:dyDescent="0.45">
      <c r="B465" s="9">
        <f t="shared" si="40"/>
        <v>460</v>
      </c>
      <c r="C465" s="9" t="e">
        <f t="shared" si="43"/>
        <v>#N/A</v>
      </c>
      <c r="D465" s="22" t="e">
        <f>INDEX(entities[Custom Attributes],MATCH('cust-code'!C465,entities[custom entity '#],0))</f>
        <v>#N/A</v>
      </c>
      <c r="E465" s="22" t="e">
        <f t="shared" si="44"/>
        <v>#N/A</v>
      </c>
      <c r="F465" s="9" t="e">
        <f>IF(E465&gt;0,"",
INDEX(entities[entity_id],MATCH('cust-code'!C465,entities[custom entity '#],0))&amp;":")</f>
        <v>#N/A</v>
      </c>
      <c r="G465" s="9" t="e">
        <f>IF(E465=0,"",
INDEX(entities[[line 1]:[line 4]],MATCH('cust-code'!C465,entities[custom entity '#],0),'cust-code'!E465))</f>
        <v>#N/A</v>
      </c>
      <c r="H465" s="9" t="str">
        <f t="shared" si="41"/>
        <v/>
      </c>
      <c r="I465" s="9" t="str">
        <f t="shared" si="42"/>
        <v/>
      </c>
    </row>
    <row r="466" spans="2:9" x14ac:dyDescent="0.45">
      <c r="B466" s="9">
        <f t="shared" si="40"/>
        <v>461</v>
      </c>
      <c r="C466" s="9" t="e">
        <f t="shared" si="43"/>
        <v>#N/A</v>
      </c>
      <c r="D466" s="22" t="e">
        <f>INDEX(entities[Custom Attributes],MATCH('cust-code'!C466,entities[custom entity '#],0))</f>
        <v>#N/A</v>
      </c>
      <c r="E466" s="22" t="e">
        <f t="shared" si="44"/>
        <v>#N/A</v>
      </c>
      <c r="F466" s="9" t="e">
        <f>IF(E466&gt;0,"",
INDEX(entities[entity_id],MATCH('cust-code'!C466,entities[custom entity '#],0))&amp;":")</f>
        <v>#N/A</v>
      </c>
      <c r="G466" s="9" t="e">
        <f>IF(E466=0,"",
INDEX(entities[[line 1]:[line 4]],MATCH('cust-code'!C466,entities[custom entity '#],0),'cust-code'!E466))</f>
        <v>#N/A</v>
      </c>
      <c r="H466" s="9" t="str">
        <f t="shared" si="41"/>
        <v/>
      </c>
      <c r="I466" s="9" t="str">
        <f t="shared" si="42"/>
        <v/>
      </c>
    </row>
    <row r="467" spans="2:9" x14ac:dyDescent="0.45">
      <c r="B467" s="9">
        <f t="shared" si="40"/>
        <v>462</v>
      </c>
      <c r="C467" s="9" t="e">
        <f t="shared" si="43"/>
        <v>#N/A</v>
      </c>
      <c r="D467" s="22" t="e">
        <f>INDEX(entities[Custom Attributes],MATCH('cust-code'!C467,entities[custom entity '#],0))</f>
        <v>#N/A</v>
      </c>
      <c r="E467" s="22" t="e">
        <f t="shared" si="44"/>
        <v>#N/A</v>
      </c>
      <c r="F467" s="9" t="e">
        <f>IF(E467&gt;0,"",
INDEX(entities[entity_id],MATCH('cust-code'!C467,entities[custom entity '#],0))&amp;":")</f>
        <v>#N/A</v>
      </c>
      <c r="G467" s="9" t="e">
        <f>IF(E467=0,"",
INDEX(entities[[line 1]:[line 4]],MATCH('cust-code'!C467,entities[custom entity '#],0),'cust-code'!E467))</f>
        <v>#N/A</v>
      </c>
      <c r="H467" s="9" t="str">
        <f t="shared" si="41"/>
        <v/>
      </c>
      <c r="I467" s="9" t="str">
        <f t="shared" si="42"/>
        <v/>
      </c>
    </row>
    <row r="468" spans="2:9" x14ac:dyDescent="0.45">
      <c r="B468" s="9">
        <f t="shared" si="40"/>
        <v>463</v>
      </c>
      <c r="C468" s="9" t="e">
        <f t="shared" si="43"/>
        <v>#N/A</v>
      </c>
      <c r="D468" s="22" t="e">
        <f>INDEX(entities[Custom Attributes],MATCH('cust-code'!C468,entities[custom entity '#],0))</f>
        <v>#N/A</v>
      </c>
      <c r="E468" s="22" t="e">
        <f t="shared" si="44"/>
        <v>#N/A</v>
      </c>
      <c r="F468" s="9" t="e">
        <f>IF(E468&gt;0,"",
INDEX(entities[entity_id],MATCH('cust-code'!C468,entities[custom entity '#],0))&amp;":")</f>
        <v>#N/A</v>
      </c>
      <c r="G468" s="9" t="e">
        <f>IF(E468=0,"",
INDEX(entities[[line 1]:[line 4]],MATCH('cust-code'!C468,entities[custom entity '#],0),'cust-code'!E468))</f>
        <v>#N/A</v>
      </c>
      <c r="H468" s="9" t="str">
        <f t="shared" si="41"/>
        <v/>
      </c>
      <c r="I468" s="9" t="str">
        <f t="shared" si="42"/>
        <v/>
      </c>
    </row>
    <row r="469" spans="2:9" x14ac:dyDescent="0.45">
      <c r="B469" s="9">
        <f t="shared" si="40"/>
        <v>464</v>
      </c>
      <c r="C469" s="9" t="e">
        <f t="shared" si="43"/>
        <v>#N/A</v>
      </c>
      <c r="D469" s="22" t="e">
        <f>INDEX(entities[Custom Attributes],MATCH('cust-code'!C469,entities[custom entity '#],0))</f>
        <v>#N/A</v>
      </c>
      <c r="E469" s="22" t="e">
        <f t="shared" si="44"/>
        <v>#N/A</v>
      </c>
      <c r="F469" s="9" t="e">
        <f>IF(E469&gt;0,"",
INDEX(entities[entity_id],MATCH('cust-code'!C469,entities[custom entity '#],0))&amp;":")</f>
        <v>#N/A</v>
      </c>
      <c r="G469" s="9" t="e">
        <f>IF(E469=0,"",
INDEX(entities[[line 1]:[line 4]],MATCH('cust-code'!C469,entities[custom entity '#],0),'cust-code'!E469))</f>
        <v>#N/A</v>
      </c>
      <c r="H469" s="9" t="str">
        <f t="shared" si="41"/>
        <v/>
      </c>
      <c r="I469" s="9" t="str">
        <f t="shared" si="42"/>
        <v/>
      </c>
    </row>
    <row r="470" spans="2:9" x14ac:dyDescent="0.45">
      <c r="B470" s="9">
        <f t="shared" si="40"/>
        <v>465</v>
      </c>
      <c r="C470" s="9" t="e">
        <f t="shared" si="43"/>
        <v>#N/A</v>
      </c>
      <c r="D470" s="22" t="e">
        <f>INDEX(entities[Custom Attributes],MATCH('cust-code'!C470,entities[custom entity '#],0))</f>
        <v>#N/A</v>
      </c>
      <c r="E470" s="22" t="e">
        <f t="shared" si="44"/>
        <v>#N/A</v>
      </c>
      <c r="F470" s="9" t="e">
        <f>IF(E470&gt;0,"",
INDEX(entities[entity_id],MATCH('cust-code'!C470,entities[custom entity '#],0))&amp;":")</f>
        <v>#N/A</v>
      </c>
      <c r="G470" s="9" t="e">
        <f>IF(E470=0,"",
INDEX(entities[[line 1]:[line 4]],MATCH('cust-code'!C470,entities[custom entity '#],0),'cust-code'!E470))</f>
        <v>#N/A</v>
      </c>
      <c r="H470" s="9" t="str">
        <f t="shared" si="41"/>
        <v/>
      </c>
      <c r="I470" s="9" t="str">
        <f t="shared" si="42"/>
        <v/>
      </c>
    </row>
    <row r="471" spans="2:9" x14ac:dyDescent="0.45">
      <c r="B471" s="9">
        <f t="shared" si="40"/>
        <v>466</v>
      </c>
      <c r="C471" s="9" t="e">
        <f t="shared" si="43"/>
        <v>#N/A</v>
      </c>
      <c r="D471" s="22" t="e">
        <f>INDEX(entities[Custom Attributes],MATCH('cust-code'!C471,entities[custom entity '#],0))</f>
        <v>#N/A</v>
      </c>
      <c r="E471" s="22" t="e">
        <f t="shared" si="44"/>
        <v>#N/A</v>
      </c>
      <c r="F471" s="9" t="e">
        <f>IF(E471&gt;0,"",
INDEX(entities[entity_id],MATCH('cust-code'!C471,entities[custom entity '#],0))&amp;":")</f>
        <v>#N/A</v>
      </c>
      <c r="G471" s="9" t="e">
        <f>IF(E471=0,"",
INDEX(entities[[line 1]:[line 4]],MATCH('cust-code'!C471,entities[custom entity '#],0),'cust-code'!E471))</f>
        <v>#N/A</v>
      </c>
      <c r="H471" s="9" t="str">
        <f t="shared" si="41"/>
        <v/>
      </c>
      <c r="I471" s="9" t="str">
        <f t="shared" si="42"/>
        <v/>
      </c>
    </row>
    <row r="472" spans="2:9" x14ac:dyDescent="0.45">
      <c r="B472" s="9">
        <f t="shared" si="40"/>
        <v>467</v>
      </c>
      <c r="C472" s="9" t="e">
        <f t="shared" si="43"/>
        <v>#N/A</v>
      </c>
      <c r="D472" s="22" t="e">
        <f>INDEX(entities[Custom Attributes],MATCH('cust-code'!C472,entities[custom entity '#],0))</f>
        <v>#N/A</v>
      </c>
      <c r="E472" s="22" t="e">
        <f t="shared" si="44"/>
        <v>#N/A</v>
      </c>
      <c r="F472" s="9" t="e">
        <f>IF(E472&gt;0,"",
INDEX(entities[entity_id],MATCH('cust-code'!C472,entities[custom entity '#],0))&amp;":")</f>
        <v>#N/A</v>
      </c>
      <c r="G472" s="9" t="e">
        <f>IF(E472=0,"",
INDEX(entities[[line 1]:[line 4]],MATCH('cust-code'!C472,entities[custom entity '#],0),'cust-code'!E472))</f>
        <v>#N/A</v>
      </c>
      <c r="H472" s="9" t="str">
        <f t="shared" si="41"/>
        <v/>
      </c>
      <c r="I472" s="9" t="str">
        <f t="shared" si="42"/>
        <v/>
      </c>
    </row>
    <row r="473" spans="2:9" x14ac:dyDescent="0.45">
      <c r="B473" s="9">
        <f t="shared" si="40"/>
        <v>468</v>
      </c>
      <c r="C473" s="9" t="e">
        <f t="shared" si="43"/>
        <v>#N/A</v>
      </c>
      <c r="D473" s="22" t="e">
        <f>INDEX(entities[Custom Attributes],MATCH('cust-code'!C473,entities[custom entity '#],0))</f>
        <v>#N/A</v>
      </c>
      <c r="E473" s="22" t="e">
        <f t="shared" si="44"/>
        <v>#N/A</v>
      </c>
      <c r="F473" s="9" t="e">
        <f>IF(E473&gt;0,"",
INDEX(entities[entity_id],MATCH('cust-code'!C473,entities[custom entity '#],0))&amp;":")</f>
        <v>#N/A</v>
      </c>
      <c r="G473" s="9" t="e">
        <f>IF(E473=0,"",
INDEX(entities[[line 1]:[line 4]],MATCH('cust-code'!C473,entities[custom entity '#],0),'cust-code'!E473))</f>
        <v>#N/A</v>
      </c>
      <c r="H473" s="9" t="str">
        <f t="shared" si="41"/>
        <v/>
      </c>
      <c r="I473" s="9" t="str">
        <f t="shared" si="42"/>
        <v/>
      </c>
    </row>
    <row r="474" spans="2:9" x14ac:dyDescent="0.45">
      <c r="B474" s="9">
        <f t="shared" si="40"/>
        <v>469</v>
      </c>
      <c r="C474" s="9" t="e">
        <f t="shared" si="43"/>
        <v>#N/A</v>
      </c>
      <c r="D474" s="22" t="e">
        <f>INDEX(entities[Custom Attributes],MATCH('cust-code'!C474,entities[custom entity '#],0))</f>
        <v>#N/A</v>
      </c>
      <c r="E474" s="22" t="e">
        <f t="shared" si="44"/>
        <v>#N/A</v>
      </c>
      <c r="F474" s="9" t="e">
        <f>IF(E474&gt;0,"",
INDEX(entities[entity_id],MATCH('cust-code'!C474,entities[custom entity '#],0))&amp;":")</f>
        <v>#N/A</v>
      </c>
      <c r="G474" s="9" t="e">
        <f>IF(E474=0,"",
INDEX(entities[[line 1]:[line 4]],MATCH('cust-code'!C474,entities[custom entity '#],0),'cust-code'!E474))</f>
        <v>#N/A</v>
      </c>
      <c r="H474" s="9" t="str">
        <f t="shared" si="41"/>
        <v/>
      </c>
      <c r="I474" s="9" t="str">
        <f t="shared" si="42"/>
        <v/>
      </c>
    </row>
    <row r="475" spans="2:9" x14ac:dyDescent="0.45">
      <c r="B475" s="9">
        <f t="shared" si="40"/>
        <v>470</v>
      </c>
      <c r="C475" s="9" t="e">
        <f t="shared" si="43"/>
        <v>#N/A</v>
      </c>
      <c r="D475" s="22" t="e">
        <f>INDEX(entities[Custom Attributes],MATCH('cust-code'!C475,entities[custom entity '#],0))</f>
        <v>#N/A</v>
      </c>
      <c r="E475" s="22" t="e">
        <f t="shared" si="44"/>
        <v>#N/A</v>
      </c>
      <c r="F475" s="9" t="e">
        <f>IF(E475&gt;0,"",
INDEX(entities[entity_id],MATCH('cust-code'!C475,entities[custom entity '#],0))&amp;":")</f>
        <v>#N/A</v>
      </c>
      <c r="G475" s="9" t="e">
        <f>IF(E475=0,"",
INDEX(entities[[line 1]:[line 4]],MATCH('cust-code'!C475,entities[custom entity '#],0),'cust-code'!E475))</f>
        <v>#N/A</v>
      </c>
      <c r="H475" s="9" t="str">
        <f t="shared" si="41"/>
        <v/>
      </c>
      <c r="I475" s="9" t="str">
        <f t="shared" si="42"/>
        <v/>
      </c>
    </row>
    <row r="476" spans="2:9" x14ac:dyDescent="0.45">
      <c r="B476" s="9">
        <f t="shared" si="40"/>
        <v>471</v>
      </c>
      <c r="C476" s="9" t="e">
        <f t="shared" si="43"/>
        <v>#N/A</v>
      </c>
      <c r="D476" s="22" t="e">
        <f>INDEX(entities[Custom Attributes],MATCH('cust-code'!C476,entities[custom entity '#],0))</f>
        <v>#N/A</v>
      </c>
      <c r="E476" s="22" t="e">
        <f t="shared" si="44"/>
        <v>#N/A</v>
      </c>
      <c r="F476" s="9" t="e">
        <f>IF(E476&gt;0,"",
INDEX(entities[entity_id],MATCH('cust-code'!C476,entities[custom entity '#],0))&amp;":")</f>
        <v>#N/A</v>
      </c>
      <c r="G476" s="9" t="e">
        <f>IF(E476=0,"",
INDEX(entities[[line 1]:[line 4]],MATCH('cust-code'!C476,entities[custom entity '#],0),'cust-code'!E476))</f>
        <v>#N/A</v>
      </c>
      <c r="H476" s="9" t="str">
        <f t="shared" si="41"/>
        <v/>
      </c>
      <c r="I476" s="9" t="str">
        <f t="shared" si="42"/>
        <v/>
      </c>
    </row>
    <row r="477" spans="2:9" x14ac:dyDescent="0.45">
      <c r="B477" s="9">
        <f t="shared" si="40"/>
        <v>472</v>
      </c>
      <c r="C477" s="9" t="e">
        <f t="shared" si="43"/>
        <v>#N/A</v>
      </c>
      <c r="D477" s="22" t="e">
        <f>INDEX(entities[Custom Attributes],MATCH('cust-code'!C477,entities[custom entity '#],0))</f>
        <v>#N/A</v>
      </c>
      <c r="E477" s="22" t="e">
        <f t="shared" si="44"/>
        <v>#N/A</v>
      </c>
      <c r="F477" s="9" t="e">
        <f>IF(E477&gt;0,"",
INDEX(entities[entity_id],MATCH('cust-code'!C477,entities[custom entity '#],0))&amp;":")</f>
        <v>#N/A</v>
      </c>
      <c r="G477" s="9" t="e">
        <f>IF(E477=0,"",
INDEX(entities[[line 1]:[line 4]],MATCH('cust-code'!C477,entities[custom entity '#],0),'cust-code'!E477))</f>
        <v>#N/A</v>
      </c>
      <c r="H477" s="9" t="str">
        <f t="shared" si="41"/>
        <v/>
      </c>
      <c r="I477" s="9" t="str">
        <f t="shared" si="42"/>
        <v/>
      </c>
    </row>
    <row r="478" spans="2:9" x14ac:dyDescent="0.45">
      <c r="B478" s="9">
        <f t="shared" si="40"/>
        <v>473</v>
      </c>
      <c r="C478" s="9" t="e">
        <f t="shared" si="43"/>
        <v>#N/A</v>
      </c>
      <c r="D478" s="22" t="e">
        <f>INDEX(entities[Custom Attributes],MATCH('cust-code'!C478,entities[custom entity '#],0))</f>
        <v>#N/A</v>
      </c>
      <c r="E478" s="22" t="e">
        <f t="shared" si="44"/>
        <v>#N/A</v>
      </c>
      <c r="F478" s="9" t="e">
        <f>IF(E478&gt;0,"",
INDEX(entities[entity_id],MATCH('cust-code'!C478,entities[custom entity '#],0))&amp;":")</f>
        <v>#N/A</v>
      </c>
      <c r="G478" s="9" t="e">
        <f>IF(E478=0,"",
INDEX(entities[[line 1]:[line 4]],MATCH('cust-code'!C478,entities[custom entity '#],0),'cust-code'!E478))</f>
        <v>#N/A</v>
      </c>
      <c r="H478" s="9" t="str">
        <f t="shared" si="41"/>
        <v/>
      </c>
      <c r="I478" s="9" t="str">
        <f t="shared" si="42"/>
        <v/>
      </c>
    </row>
    <row r="479" spans="2:9" x14ac:dyDescent="0.45">
      <c r="B479" s="9">
        <f t="shared" si="40"/>
        <v>474</v>
      </c>
      <c r="C479" s="9" t="e">
        <f t="shared" si="43"/>
        <v>#N/A</v>
      </c>
      <c r="D479" s="22" t="e">
        <f>INDEX(entities[Custom Attributes],MATCH('cust-code'!C479,entities[custom entity '#],0))</f>
        <v>#N/A</v>
      </c>
      <c r="E479" s="22" t="e">
        <f t="shared" si="44"/>
        <v>#N/A</v>
      </c>
      <c r="F479" s="9" t="e">
        <f>IF(E479&gt;0,"",
INDEX(entities[entity_id],MATCH('cust-code'!C479,entities[custom entity '#],0))&amp;":")</f>
        <v>#N/A</v>
      </c>
      <c r="G479" s="9" t="e">
        <f>IF(E479=0,"",
INDEX(entities[[line 1]:[line 4]],MATCH('cust-code'!C479,entities[custom entity '#],0),'cust-code'!E479))</f>
        <v>#N/A</v>
      </c>
      <c r="H479" s="9" t="str">
        <f t="shared" si="41"/>
        <v/>
      </c>
      <c r="I479" s="9" t="str">
        <f t="shared" si="42"/>
        <v/>
      </c>
    </row>
    <row r="480" spans="2:9" x14ac:dyDescent="0.45">
      <c r="B480" s="9">
        <f t="shared" si="40"/>
        <v>475</v>
      </c>
      <c r="C480" s="9" t="e">
        <f t="shared" si="43"/>
        <v>#N/A</v>
      </c>
      <c r="D480" s="22" t="e">
        <f>INDEX(entities[Custom Attributes],MATCH('cust-code'!C480,entities[custom entity '#],0))</f>
        <v>#N/A</v>
      </c>
      <c r="E480" s="22" t="e">
        <f t="shared" si="44"/>
        <v>#N/A</v>
      </c>
      <c r="F480" s="9" t="e">
        <f>IF(E480&gt;0,"",
INDEX(entities[entity_id],MATCH('cust-code'!C480,entities[custom entity '#],0))&amp;":")</f>
        <v>#N/A</v>
      </c>
      <c r="G480" s="9" t="e">
        <f>IF(E480=0,"",
INDEX(entities[[line 1]:[line 4]],MATCH('cust-code'!C480,entities[custom entity '#],0),'cust-code'!E480))</f>
        <v>#N/A</v>
      </c>
      <c r="H480" s="9" t="str">
        <f t="shared" si="41"/>
        <v/>
      </c>
      <c r="I480" s="9" t="str">
        <f t="shared" si="42"/>
        <v/>
      </c>
    </row>
    <row r="481" spans="2:9" x14ac:dyDescent="0.45">
      <c r="B481" s="9">
        <f t="shared" si="40"/>
        <v>476</v>
      </c>
      <c r="C481" s="9" t="e">
        <f t="shared" si="43"/>
        <v>#N/A</v>
      </c>
      <c r="D481" s="22" t="e">
        <f>INDEX(entities[Custom Attributes],MATCH('cust-code'!C481,entities[custom entity '#],0))</f>
        <v>#N/A</v>
      </c>
      <c r="E481" s="22" t="e">
        <f t="shared" si="44"/>
        <v>#N/A</v>
      </c>
      <c r="F481" s="9" t="e">
        <f>IF(E481&gt;0,"",
INDEX(entities[entity_id],MATCH('cust-code'!C481,entities[custom entity '#],0))&amp;":")</f>
        <v>#N/A</v>
      </c>
      <c r="G481" s="9" t="e">
        <f>IF(E481=0,"",
INDEX(entities[[line 1]:[line 4]],MATCH('cust-code'!C481,entities[custom entity '#],0),'cust-code'!E481))</f>
        <v>#N/A</v>
      </c>
      <c r="H481" s="9" t="str">
        <f t="shared" si="41"/>
        <v/>
      </c>
      <c r="I481" s="9" t="str">
        <f t="shared" si="42"/>
        <v/>
      </c>
    </row>
    <row r="482" spans="2:9" x14ac:dyDescent="0.45">
      <c r="B482" s="9">
        <f t="shared" si="40"/>
        <v>477</v>
      </c>
      <c r="C482" s="9" t="e">
        <f t="shared" si="43"/>
        <v>#N/A</v>
      </c>
      <c r="D482" s="22" t="e">
        <f>INDEX(entities[Custom Attributes],MATCH('cust-code'!C482,entities[custom entity '#],0))</f>
        <v>#N/A</v>
      </c>
      <c r="E482" s="22" t="e">
        <f t="shared" si="44"/>
        <v>#N/A</v>
      </c>
      <c r="F482" s="9" t="e">
        <f>IF(E482&gt;0,"",
INDEX(entities[entity_id],MATCH('cust-code'!C482,entities[custom entity '#],0))&amp;":")</f>
        <v>#N/A</v>
      </c>
      <c r="G482" s="9" t="e">
        <f>IF(E482=0,"",
INDEX(entities[[line 1]:[line 4]],MATCH('cust-code'!C482,entities[custom entity '#],0),'cust-code'!E482))</f>
        <v>#N/A</v>
      </c>
      <c r="H482" s="9" t="str">
        <f t="shared" si="41"/>
        <v/>
      </c>
      <c r="I482" s="9" t="str">
        <f t="shared" si="42"/>
        <v/>
      </c>
    </row>
    <row r="483" spans="2:9" x14ac:dyDescent="0.45">
      <c r="B483" s="9">
        <f t="shared" si="40"/>
        <v>478</v>
      </c>
      <c r="C483" s="9" t="e">
        <f t="shared" si="43"/>
        <v>#N/A</v>
      </c>
      <c r="D483" s="22" t="e">
        <f>INDEX(entities[Custom Attributes],MATCH('cust-code'!C483,entities[custom entity '#],0))</f>
        <v>#N/A</v>
      </c>
      <c r="E483" s="22" t="e">
        <f t="shared" si="44"/>
        <v>#N/A</v>
      </c>
      <c r="F483" s="9" t="e">
        <f>IF(E483&gt;0,"",
INDEX(entities[entity_id],MATCH('cust-code'!C483,entities[custom entity '#],0))&amp;":")</f>
        <v>#N/A</v>
      </c>
      <c r="G483" s="9" t="e">
        <f>IF(E483=0,"",
INDEX(entities[[line 1]:[line 4]],MATCH('cust-code'!C483,entities[custom entity '#],0),'cust-code'!E483))</f>
        <v>#N/A</v>
      </c>
      <c r="H483" s="9" t="str">
        <f t="shared" si="41"/>
        <v/>
      </c>
      <c r="I483" s="9" t="str">
        <f t="shared" si="42"/>
        <v/>
      </c>
    </row>
    <row r="484" spans="2:9" x14ac:dyDescent="0.45">
      <c r="B484" s="9">
        <f t="shared" si="40"/>
        <v>479</v>
      </c>
      <c r="C484" s="9" t="e">
        <f t="shared" si="43"/>
        <v>#N/A</v>
      </c>
      <c r="D484" s="22" t="e">
        <f>INDEX(entities[Custom Attributes],MATCH('cust-code'!C484,entities[custom entity '#],0))</f>
        <v>#N/A</v>
      </c>
      <c r="E484" s="22" t="e">
        <f t="shared" si="44"/>
        <v>#N/A</v>
      </c>
      <c r="F484" s="9" t="e">
        <f>IF(E484&gt;0,"",
INDEX(entities[entity_id],MATCH('cust-code'!C484,entities[custom entity '#],0))&amp;":")</f>
        <v>#N/A</v>
      </c>
      <c r="G484" s="9" t="e">
        <f>IF(E484=0,"",
INDEX(entities[[line 1]:[line 4]],MATCH('cust-code'!C484,entities[custom entity '#],0),'cust-code'!E484))</f>
        <v>#N/A</v>
      </c>
      <c r="H484" s="9" t="str">
        <f t="shared" si="41"/>
        <v/>
      </c>
      <c r="I484" s="9" t="str">
        <f t="shared" si="42"/>
        <v/>
      </c>
    </row>
    <row r="485" spans="2:9" x14ac:dyDescent="0.45">
      <c r="B485" s="9">
        <f t="shared" si="40"/>
        <v>480</v>
      </c>
      <c r="C485" s="9" t="e">
        <f t="shared" si="43"/>
        <v>#N/A</v>
      </c>
      <c r="D485" s="22" t="e">
        <f>INDEX(entities[Custom Attributes],MATCH('cust-code'!C485,entities[custom entity '#],0))</f>
        <v>#N/A</v>
      </c>
      <c r="E485" s="22" t="e">
        <f t="shared" si="44"/>
        <v>#N/A</v>
      </c>
      <c r="F485" s="9" t="e">
        <f>IF(E485&gt;0,"",
INDEX(entities[entity_id],MATCH('cust-code'!C485,entities[custom entity '#],0))&amp;":")</f>
        <v>#N/A</v>
      </c>
      <c r="G485" s="9" t="e">
        <f>IF(E485=0,"",
INDEX(entities[[line 1]:[line 4]],MATCH('cust-code'!C485,entities[custom entity '#],0),'cust-code'!E485))</f>
        <v>#N/A</v>
      </c>
      <c r="H485" s="9" t="str">
        <f t="shared" si="41"/>
        <v/>
      </c>
      <c r="I485" s="9" t="str">
        <f t="shared" si="42"/>
        <v/>
      </c>
    </row>
    <row r="486" spans="2:9" x14ac:dyDescent="0.45">
      <c r="B486" s="9">
        <f t="shared" si="40"/>
        <v>481</v>
      </c>
      <c r="C486" s="9" t="e">
        <f t="shared" si="43"/>
        <v>#N/A</v>
      </c>
      <c r="D486" s="22" t="e">
        <f>INDEX(entities[Custom Attributes],MATCH('cust-code'!C486,entities[custom entity '#],0))</f>
        <v>#N/A</v>
      </c>
      <c r="E486" s="22" t="e">
        <f t="shared" si="44"/>
        <v>#N/A</v>
      </c>
      <c r="F486" s="9" t="e">
        <f>IF(E486&gt;0,"",
INDEX(entities[entity_id],MATCH('cust-code'!C486,entities[custom entity '#],0))&amp;":")</f>
        <v>#N/A</v>
      </c>
      <c r="G486" s="9" t="e">
        <f>IF(E486=0,"",
INDEX(entities[[line 1]:[line 4]],MATCH('cust-code'!C486,entities[custom entity '#],0),'cust-code'!E486))</f>
        <v>#N/A</v>
      </c>
      <c r="H486" s="9" t="str">
        <f t="shared" si="41"/>
        <v/>
      </c>
      <c r="I486" s="9" t="str">
        <f t="shared" si="42"/>
        <v/>
      </c>
    </row>
    <row r="487" spans="2:9" x14ac:dyDescent="0.45">
      <c r="B487" s="9">
        <f t="shared" si="40"/>
        <v>482</v>
      </c>
      <c r="C487" s="9" t="e">
        <f t="shared" si="43"/>
        <v>#N/A</v>
      </c>
      <c r="D487" s="22" t="e">
        <f>INDEX(entities[Custom Attributes],MATCH('cust-code'!C487,entities[custom entity '#],0))</f>
        <v>#N/A</v>
      </c>
      <c r="E487" s="22" t="e">
        <f t="shared" si="44"/>
        <v>#N/A</v>
      </c>
      <c r="F487" s="9" t="e">
        <f>IF(E487&gt;0,"",
INDEX(entities[entity_id],MATCH('cust-code'!C487,entities[custom entity '#],0))&amp;":")</f>
        <v>#N/A</v>
      </c>
      <c r="G487" s="9" t="e">
        <f>IF(E487=0,"",
INDEX(entities[[line 1]:[line 4]],MATCH('cust-code'!C487,entities[custom entity '#],0),'cust-code'!E487))</f>
        <v>#N/A</v>
      </c>
      <c r="H487" s="9" t="str">
        <f t="shared" si="41"/>
        <v/>
      </c>
      <c r="I487" s="9" t="str">
        <f t="shared" si="42"/>
        <v/>
      </c>
    </row>
    <row r="488" spans="2:9" x14ac:dyDescent="0.45">
      <c r="B488" s="9">
        <f t="shared" si="40"/>
        <v>483</v>
      </c>
      <c r="C488" s="9" t="e">
        <f t="shared" si="43"/>
        <v>#N/A</v>
      </c>
      <c r="D488" s="22" t="e">
        <f>INDEX(entities[Custom Attributes],MATCH('cust-code'!C488,entities[custom entity '#],0))</f>
        <v>#N/A</v>
      </c>
      <c r="E488" s="22" t="e">
        <f t="shared" si="44"/>
        <v>#N/A</v>
      </c>
      <c r="F488" s="9" t="e">
        <f>IF(E488&gt;0,"",
INDEX(entities[entity_id],MATCH('cust-code'!C488,entities[custom entity '#],0))&amp;":")</f>
        <v>#N/A</v>
      </c>
      <c r="G488" s="9" t="e">
        <f>IF(E488=0,"",
INDEX(entities[[line 1]:[line 4]],MATCH('cust-code'!C488,entities[custom entity '#],0),'cust-code'!E488))</f>
        <v>#N/A</v>
      </c>
      <c r="H488" s="9" t="str">
        <f t="shared" si="41"/>
        <v/>
      </c>
      <c r="I488" s="9" t="str">
        <f t="shared" si="42"/>
        <v/>
      </c>
    </row>
    <row r="489" spans="2:9" x14ac:dyDescent="0.45">
      <c r="B489" s="9">
        <f t="shared" si="40"/>
        <v>484</v>
      </c>
      <c r="C489" s="9" t="e">
        <f t="shared" si="43"/>
        <v>#N/A</v>
      </c>
      <c r="D489" s="22" t="e">
        <f>INDEX(entities[Custom Attributes],MATCH('cust-code'!C489,entities[custom entity '#],0))</f>
        <v>#N/A</v>
      </c>
      <c r="E489" s="22" t="e">
        <f t="shared" si="44"/>
        <v>#N/A</v>
      </c>
      <c r="F489" s="9" t="e">
        <f>IF(E489&gt;0,"",
INDEX(entities[entity_id],MATCH('cust-code'!C489,entities[custom entity '#],0))&amp;":")</f>
        <v>#N/A</v>
      </c>
      <c r="G489" s="9" t="e">
        <f>IF(E489=0,"",
INDEX(entities[[line 1]:[line 4]],MATCH('cust-code'!C489,entities[custom entity '#],0),'cust-code'!E489))</f>
        <v>#N/A</v>
      </c>
      <c r="H489" s="9" t="str">
        <f t="shared" si="41"/>
        <v/>
      </c>
      <c r="I489" s="9" t="str">
        <f t="shared" si="42"/>
        <v/>
      </c>
    </row>
    <row r="490" spans="2:9" x14ac:dyDescent="0.45">
      <c r="B490" s="9">
        <f t="shared" si="40"/>
        <v>485</v>
      </c>
      <c r="C490" s="9" t="e">
        <f t="shared" si="43"/>
        <v>#N/A</v>
      </c>
      <c r="D490" s="22" t="e">
        <f>INDEX(entities[Custom Attributes],MATCH('cust-code'!C490,entities[custom entity '#],0))</f>
        <v>#N/A</v>
      </c>
      <c r="E490" s="22" t="e">
        <f t="shared" si="44"/>
        <v>#N/A</v>
      </c>
      <c r="F490" s="9" t="e">
        <f>IF(E490&gt;0,"",
INDEX(entities[entity_id],MATCH('cust-code'!C490,entities[custom entity '#],0))&amp;":")</f>
        <v>#N/A</v>
      </c>
      <c r="G490" s="9" t="e">
        <f>IF(E490=0,"",
INDEX(entities[[line 1]:[line 4]],MATCH('cust-code'!C490,entities[custom entity '#],0),'cust-code'!E490))</f>
        <v>#N/A</v>
      </c>
      <c r="H490" s="9" t="str">
        <f t="shared" si="41"/>
        <v/>
      </c>
      <c r="I490" s="9" t="str">
        <f t="shared" si="42"/>
        <v/>
      </c>
    </row>
    <row r="491" spans="2:9" x14ac:dyDescent="0.45">
      <c r="B491" s="9">
        <f t="shared" si="40"/>
        <v>486</v>
      </c>
      <c r="C491" s="9" t="e">
        <f t="shared" si="43"/>
        <v>#N/A</v>
      </c>
      <c r="D491" s="22" t="e">
        <f>INDEX(entities[Custom Attributes],MATCH('cust-code'!C491,entities[custom entity '#],0))</f>
        <v>#N/A</v>
      </c>
      <c r="E491" s="22" t="e">
        <f t="shared" si="44"/>
        <v>#N/A</v>
      </c>
      <c r="F491" s="9" t="e">
        <f>IF(E491&gt;0,"",
INDEX(entities[entity_id],MATCH('cust-code'!C491,entities[custom entity '#],0))&amp;":")</f>
        <v>#N/A</v>
      </c>
      <c r="G491" s="9" t="e">
        <f>IF(E491=0,"",
INDEX(entities[[line 1]:[line 4]],MATCH('cust-code'!C491,entities[custom entity '#],0),'cust-code'!E491))</f>
        <v>#N/A</v>
      </c>
      <c r="H491" s="9" t="str">
        <f t="shared" si="41"/>
        <v/>
      </c>
      <c r="I491" s="9" t="str">
        <f t="shared" si="42"/>
        <v/>
      </c>
    </row>
    <row r="492" spans="2:9" x14ac:dyDescent="0.45">
      <c r="B492" s="9">
        <f t="shared" si="40"/>
        <v>487</v>
      </c>
      <c r="C492" s="9" t="e">
        <f t="shared" si="43"/>
        <v>#N/A</v>
      </c>
      <c r="D492" s="22" t="e">
        <f>INDEX(entities[Custom Attributes],MATCH('cust-code'!C492,entities[custom entity '#],0))</f>
        <v>#N/A</v>
      </c>
      <c r="E492" s="22" t="e">
        <f t="shared" si="44"/>
        <v>#N/A</v>
      </c>
      <c r="F492" s="9" t="e">
        <f>IF(E492&gt;0,"",
INDEX(entities[entity_id],MATCH('cust-code'!C492,entities[custom entity '#],0))&amp;":")</f>
        <v>#N/A</v>
      </c>
      <c r="G492" s="9" t="e">
        <f>IF(E492=0,"",
INDEX(entities[[line 1]:[line 4]],MATCH('cust-code'!C492,entities[custom entity '#],0),'cust-code'!E492))</f>
        <v>#N/A</v>
      </c>
      <c r="H492" s="9" t="str">
        <f t="shared" si="41"/>
        <v/>
      </c>
      <c r="I492" s="9" t="str">
        <f t="shared" si="42"/>
        <v/>
      </c>
    </row>
    <row r="493" spans="2:9" x14ac:dyDescent="0.45">
      <c r="B493" s="9">
        <f t="shared" si="40"/>
        <v>488</v>
      </c>
      <c r="C493" s="9" t="e">
        <f t="shared" si="43"/>
        <v>#N/A</v>
      </c>
      <c r="D493" s="22" t="e">
        <f>INDEX(entities[Custom Attributes],MATCH('cust-code'!C493,entities[custom entity '#],0))</f>
        <v>#N/A</v>
      </c>
      <c r="E493" s="22" t="e">
        <f t="shared" si="44"/>
        <v>#N/A</v>
      </c>
      <c r="F493" s="9" t="e">
        <f>IF(E493&gt;0,"",
INDEX(entities[entity_id],MATCH('cust-code'!C493,entities[custom entity '#],0))&amp;":")</f>
        <v>#N/A</v>
      </c>
      <c r="G493" s="9" t="e">
        <f>IF(E493=0,"",
INDEX(entities[[line 1]:[line 4]],MATCH('cust-code'!C493,entities[custom entity '#],0),'cust-code'!E493))</f>
        <v>#N/A</v>
      </c>
      <c r="H493" s="9" t="str">
        <f t="shared" si="41"/>
        <v/>
      </c>
      <c r="I493" s="9" t="str">
        <f t="shared" si="42"/>
        <v/>
      </c>
    </row>
    <row r="494" spans="2:9" x14ac:dyDescent="0.45">
      <c r="B494" s="9">
        <f t="shared" si="40"/>
        <v>489</v>
      </c>
      <c r="C494" s="9" t="e">
        <f t="shared" si="43"/>
        <v>#N/A</v>
      </c>
      <c r="D494" s="22" t="e">
        <f>INDEX(entities[Custom Attributes],MATCH('cust-code'!C494,entities[custom entity '#],0))</f>
        <v>#N/A</v>
      </c>
      <c r="E494" s="22" t="e">
        <f t="shared" si="44"/>
        <v>#N/A</v>
      </c>
      <c r="F494" s="9" t="e">
        <f>IF(E494&gt;0,"",
INDEX(entities[entity_id],MATCH('cust-code'!C494,entities[custom entity '#],0))&amp;":")</f>
        <v>#N/A</v>
      </c>
      <c r="G494" s="9" t="e">
        <f>IF(E494=0,"",
INDEX(entities[[line 1]:[line 4]],MATCH('cust-code'!C494,entities[custom entity '#],0),'cust-code'!E494))</f>
        <v>#N/A</v>
      </c>
      <c r="H494" s="9" t="str">
        <f t="shared" si="41"/>
        <v/>
      </c>
      <c r="I494" s="9" t="str">
        <f t="shared" si="42"/>
        <v/>
      </c>
    </row>
    <row r="495" spans="2:9" x14ac:dyDescent="0.45">
      <c r="B495" s="9">
        <f t="shared" si="40"/>
        <v>490</v>
      </c>
      <c r="C495" s="9" t="e">
        <f t="shared" si="43"/>
        <v>#N/A</v>
      </c>
      <c r="D495" s="22" t="e">
        <f>INDEX(entities[Custom Attributes],MATCH('cust-code'!C495,entities[custom entity '#],0))</f>
        <v>#N/A</v>
      </c>
      <c r="E495" s="22" t="e">
        <f t="shared" si="44"/>
        <v>#N/A</v>
      </c>
      <c r="F495" s="9" t="e">
        <f>IF(E495&gt;0,"",
INDEX(entities[entity_id],MATCH('cust-code'!C495,entities[custom entity '#],0))&amp;":")</f>
        <v>#N/A</v>
      </c>
      <c r="G495" s="9" t="e">
        <f>IF(E495=0,"",
INDEX(entities[[line 1]:[line 4]],MATCH('cust-code'!C495,entities[custom entity '#],0),'cust-code'!E495))</f>
        <v>#N/A</v>
      </c>
      <c r="H495" s="9" t="str">
        <f t="shared" si="41"/>
        <v/>
      </c>
      <c r="I495" s="9" t="str">
        <f t="shared" si="42"/>
        <v/>
      </c>
    </row>
    <row r="496" spans="2:9" x14ac:dyDescent="0.45">
      <c r="B496" s="9">
        <f t="shared" si="40"/>
        <v>491</v>
      </c>
      <c r="C496" s="9" t="e">
        <f t="shared" si="43"/>
        <v>#N/A</v>
      </c>
      <c r="D496" s="22" t="e">
        <f>INDEX(entities[Custom Attributes],MATCH('cust-code'!C496,entities[custom entity '#],0))</f>
        <v>#N/A</v>
      </c>
      <c r="E496" s="22" t="e">
        <f t="shared" si="44"/>
        <v>#N/A</v>
      </c>
      <c r="F496" s="9" t="e">
        <f>IF(E496&gt;0,"",
INDEX(entities[entity_id],MATCH('cust-code'!C496,entities[custom entity '#],0))&amp;":")</f>
        <v>#N/A</v>
      </c>
      <c r="G496" s="9" t="e">
        <f>IF(E496=0,"",
INDEX(entities[[line 1]:[line 4]],MATCH('cust-code'!C496,entities[custom entity '#],0),'cust-code'!E496))</f>
        <v>#N/A</v>
      </c>
      <c r="H496" s="9" t="str">
        <f t="shared" si="41"/>
        <v/>
      </c>
      <c r="I496" s="9" t="str">
        <f t="shared" si="42"/>
        <v/>
      </c>
    </row>
    <row r="497" spans="2:9" x14ac:dyDescent="0.45">
      <c r="B497" s="9">
        <f t="shared" si="40"/>
        <v>492</v>
      </c>
      <c r="C497" s="9" t="e">
        <f t="shared" si="43"/>
        <v>#N/A</v>
      </c>
      <c r="D497" s="22" t="e">
        <f>INDEX(entities[Custom Attributes],MATCH('cust-code'!C497,entities[custom entity '#],0))</f>
        <v>#N/A</v>
      </c>
      <c r="E497" s="22" t="e">
        <f t="shared" si="44"/>
        <v>#N/A</v>
      </c>
      <c r="F497" s="9" t="e">
        <f>IF(E497&gt;0,"",
INDEX(entities[entity_id],MATCH('cust-code'!C497,entities[custom entity '#],0))&amp;":")</f>
        <v>#N/A</v>
      </c>
      <c r="G497" s="9" t="e">
        <f>IF(E497=0,"",
INDEX(entities[[line 1]:[line 4]],MATCH('cust-code'!C497,entities[custom entity '#],0),'cust-code'!E497))</f>
        <v>#N/A</v>
      </c>
      <c r="H497" s="9" t="str">
        <f t="shared" si="41"/>
        <v/>
      </c>
      <c r="I497" s="9" t="str">
        <f t="shared" si="42"/>
        <v/>
      </c>
    </row>
    <row r="498" spans="2:9" x14ac:dyDescent="0.45">
      <c r="B498" s="9">
        <f t="shared" si="40"/>
        <v>493</v>
      </c>
      <c r="C498" s="9" t="e">
        <f t="shared" si="43"/>
        <v>#N/A</v>
      </c>
      <c r="D498" s="22" t="e">
        <f>INDEX(entities[Custom Attributes],MATCH('cust-code'!C498,entities[custom entity '#],0))</f>
        <v>#N/A</v>
      </c>
      <c r="E498" s="22" t="e">
        <f t="shared" si="44"/>
        <v>#N/A</v>
      </c>
      <c r="F498" s="9" t="e">
        <f>IF(E498&gt;0,"",
INDEX(entities[entity_id],MATCH('cust-code'!C498,entities[custom entity '#],0))&amp;":")</f>
        <v>#N/A</v>
      </c>
      <c r="G498" s="9" t="e">
        <f>IF(E498=0,"",
INDEX(entities[[line 1]:[line 4]],MATCH('cust-code'!C498,entities[custom entity '#],0),'cust-code'!E498))</f>
        <v>#N/A</v>
      </c>
      <c r="H498" s="9" t="str">
        <f t="shared" si="41"/>
        <v/>
      </c>
      <c r="I498" s="9" t="str">
        <f t="shared" si="42"/>
        <v/>
      </c>
    </row>
    <row r="499" spans="2:9" x14ac:dyDescent="0.45">
      <c r="B499" s="9">
        <f t="shared" si="40"/>
        <v>494</v>
      </c>
      <c r="C499" s="9" t="e">
        <f t="shared" si="43"/>
        <v>#N/A</v>
      </c>
      <c r="D499" s="22" t="e">
        <f>INDEX(entities[Custom Attributes],MATCH('cust-code'!C499,entities[custom entity '#],0))</f>
        <v>#N/A</v>
      </c>
      <c r="E499" s="22" t="e">
        <f t="shared" si="44"/>
        <v>#N/A</v>
      </c>
      <c r="F499" s="9" t="e">
        <f>IF(E499&gt;0,"",
INDEX(entities[entity_id],MATCH('cust-code'!C499,entities[custom entity '#],0))&amp;":")</f>
        <v>#N/A</v>
      </c>
      <c r="G499" s="9" t="e">
        <f>IF(E499=0,"",
INDEX(entities[[line 1]:[line 4]],MATCH('cust-code'!C499,entities[custom entity '#],0),'cust-code'!E499))</f>
        <v>#N/A</v>
      </c>
      <c r="H499" s="9" t="str">
        <f t="shared" si="41"/>
        <v/>
      </c>
      <c r="I499" s="9" t="str">
        <f t="shared" si="42"/>
        <v/>
      </c>
    </row>
    <row r="500" spans="2:9" x14ac:dyDescent="0.45">
      <c r="B500" s="9">
        <f t="shared" si="40"/>
        <v>495</v>
      </c>
      <c r="C500" s="9" t="e">
        <f t="shared" si="43"/>
        <v>#N/A</v>
      </c>
      <c r="D500" s="22" t="e">
        <f>INDEX(entities[Custom Attributes],MATCH('cust-code'!C500,entities[custom entity '#],0))</f>
        <v>#N/A</v>
      </c>
      <c r="E500" s="22" t="e">
        <f t="shared" si="44"/>
        <v>#N/A</v>
      </c>
      <c r="F500" s="9" t="e">
        <f>IF(E500&gt;0,"",
INDEX(entities[entity_id],MATCH('cust-code'!C500,entities[custom entity '#],0))&amp;":")</f>
        <v>#N/A</v>
      </c>
      <c r="G500" s="9" t="e">
        <f>IF(E500=0,"",
INDEX(entities[[line 1]:[line 4]],MATCH('cust-code'!C500,entities[custom entity '#],0),'cust-code'!E500))</f>
        <v>#N/A</v>
      </c>
      <c r="H500" s="9" t="str">
        <f t="shared" si="41"/>
        <v/>
      </c>
      <c r="I500" s="9" t="str">
        <f t="shared" si="42"/>
        <v/>
      </c>
    </row>
    <row r="501" spans="2:9" x14ac:dyDescent="0.45">
      <c r="B501" s="9">
        <f t="shared" si="40"/>
        <v>496</v>
      </c>
      <c r="C501" s="9" t="e">
        <f t="shared" si="43"/>
        <v>#N/A</v>
      </c>
      <c r="D501" s="22" t="e">
        <f>INDEX(entities[Custom Attributes],MATCH('cust-code'!C501,entities[custom entity '#],0))</f>
        <v>#N/A</v>
      </c>
      <c r="E501" s="22" t="e">
        <f t="shared" si="44"/>
        <v>#N/A</v>
      </c>
      <c r="F501" s="9" t="e">
        <f>IF(E501&gt;0,"",
INDEX(entities[entity_id],MATCH('cust-code'!C501,entities[custom entity '#],0))&amp;":")</f>
        <v>#N/A</v>
      </c>
      <c r="G501" s="9" t="e">
        <f>IF(E501=0,"",
INDEX(entities[[line 1]:[line 4]],MATCH('cust-code'!C501,entities[custom entity '#],0),'cust-code'!E501))</f>
        <v>#N/A</v>
      </c>
      <c r="H501" s="9" t="str">
        <f t="shared" si="41"/>
        <v/>
      </c>
      <c r="I501" s="9" t="str">
        <f t="shared" si="42"/>
        <v/>
      </c>
    </row>
    <row r="502" spans="2:9" x14ac:dyDescent="0.45">
      <c r="B502" s="9">
        <f t="shared" si="40"/>
        <v>497</v>
      </c>
      <c r="C502" s="9" t="e">
        <f t="shared" si="43"/>
        <v>#N/A</v>
      </c>
      <c r="D502" s="22" t="e">
        <f>INDEX(entities[Custom Attributes],MATCH('cust-code'!C502,entities[custom entity '#],0))</f>
        <v>#N/A</v>
      </c>
      <c r="E502" s="22" t="e">
        <f t="shared" si="44"/>
        <v>#N/A</v>
      </c>
      <c r="F502" s="9" t="e">
        <f>IF(E502&gt;0,"",
INDEX(entities[entity_id],MATCH('cust-code'!C502,entities[custom entity '#],0))&amp;":")</f>
        <v>#N/A</v>
      </c>
      <c r="G502" s="9" t="e">
        <f>IF(E502=0,"",
INDEX(entities[[line 1]:[line 4]],MATCH('cust-code'!C502,entities[custom entity '#],0),'cust-code'!E502))</f>
        <v>#N/A</v>
      </c>
      <c r="H502" s="9" t="str">
        <f t="shared" si="41"/>
        <v/>
      </c>
      <c r="I502" s="9" t="str">
        <f t="shared" si="42"/>
        <v/>
      </c>
    </row>
    <row r="503" spans="2:9" x14ac:dyDescent="0.45">
      <c r="B503" s="9">
        <f t="shared" si="40"/>
        <v>498</v>
      </c>
      <c r="C503" s="9" t="e">
        <f t="shared" si="43"/>
        <v>#N/A</v>
      </c>
      <c r="D503" s="22" t="e">
        <f>INDEX(entities[Custom Attributes],MATCH('cust-code'!C503,entities[custom entity '#],0))</f>
        <v>#N/A</v>
      </c>
      <c r="E503" s="22" t="e">
        <f t="shared" si="44"/>
        <v>#N/A</v>
      </c>
      <c r="F503" s="9" t="e">
        <f>IF(E503&gt;0,"",
INDEX(entities[entity_id],MATCH('cust-code'!C503,entities[custom entity '#],0))&amp;":")</f>
        <v>#N/A</v>
      </c>
      <c r="G503" s="9" t="e">
        <f>IF(E503=0,"",
INDEX(entities[[line 1]:[line 4]],MATCH('cust-code'!C503,entities[custom entity '#],0),'cust-code'!E503))</f>
        <v>#N/A</v>
      </c>
      <c r="H503" s="9" t="str">
        <f t="shared" si="41"/>
        <v/>
      </c>
      <c r="I503" s="9" t="str">
        <f t="shared" si="42"/>
        <v/>
      </c>
    </row>
    <row r="504" spans="2:9" x14ac:dyDescent="0.45">
      <c r="B504" s="9">
        <f t="shared" si="40"/>
        <v>499</v>
      </c>
      <c r="C504" s="9" t="e">
        <f t="shared" si="43"/>
        <v>#N/A</v>
      </c>
      <c r="D504" s="22" t="e">
        <f>INDEX(entities[Custom Attributes],MATCH('cust-code'!C504,entities[custom entity '#],0))</f>
        <v>#N/A</v>
      </c>
      <c r="E504" s="22" t="e">
        <f t="shared" si="44"/>
        <v>#N/A</v>
      </c>
      <c r="F504" s="9" t="e">
        <f>IF(E504&gt;0,"",
INDEX(entities[entity_id],MATCH('cust-code'!C504,entities[custom entity '#],0))&amp;":")</f>
        <v>#N/A</v>
      </c>
      <c r="G504" s="9" t="e">
        <f>IF(E504=0,"",
INDEX(entities[[line 1]:[line 4]],MATCH('cust-code'!C504,entities[custom entity '#],0),'cust-code'!E504))</f>
        <v>#N/A</v>
      </c>
      <c r="H504" s="9" t="str">
        <f t="shared" si="41"/>
        <v/>
      </c>
      <c r="I504" s="9" t="str">
        <f t="shared" si="42"/>
        <v/>
      </c>
    </row>
    <row r="505" spans="2:9" x14ac:dyDescent="0.45">
      <c r="B505" s="9">
        <f t="shared" si="40"/>
        <v>500</v>
      </c>
      <c r="C505" s="9" t="e">
        <f t="shared" si="43"/>
        <v>#N/A</v>
      </c>
      <c r="D505" s="22" t="e">
        <f>INDEX(entities[Custom Attributes],MATCH('cust-code'!C505,entities[custom entity '#],0))</f>
        <v>#N/A</v>
      </c>
      <c r="E505" s="22" t="e">
        <f t="shared" si="44"/>
        <v>#N/A</v>
      </c>
      <c r="F505" s="9" t="e">
        <f>IF(E505&gt;0,"",
INDEX(entities[entity_id],MATCH('cust-code'!C505,entities[custom entity '#],0))&amp;":")</f>
        <v>#N/A</v>
      </c>
      <c r="G505" s="9" t="e">
        <f>IF(E505=0,"",
INDEX(entities[[line 1]:[line 4]],MATCH('cust-code'!C505,entities[custom entity '#],0),'cust-code'!E505))</f>
        <v>#N/A</v>
      </c>
      <c r="H505" s="9" t="str">
        <f t="shared" si="41"/>
        <v/>
      </c>
      <c r="I505" s="9" t="str">
        <f t="shared" si="42"/>
        <v/>
      </c>
    </row>
  </sheetData>
  <conditionalFormatting sqref="H6:H505">
    <cfRule type="expression" dxfId="12" priority="1">
      <formula>NOT(ISNA(D6))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005"/>
  <sheetViews>
    <sheetView showGridLines="0" zoomScaleNormal="100" workbookViewId="0">
      <selection activeCell="B5" sqref="B5"/>
    </sheetView>
  </sheetViews>
  <sheetFormatPr defaultRowHeight="14.25" outlineLevelCol="1" x14ac:dyDescent="0.45"/>
  <cols>
    <col min="1" max="1" width="2.3984375" customWidth="1"/>
    <col min="2" max="2" width="6.1328125" bestFit="1" customWidth="1"/>
    <col min="3" max="3" width="10" hidden="1" customWidth="1" outlineLevel="1"/>
    <col min="4" max="4" width="9.1328125" hidden="1" customWidth="1" outlineLevel="1"/>
    <col min="5" max="6" width="10" hidden="1" customWidth="1" outlineLevel="1"/>
    <col min="7" max="7" width="69.265625" bestFit="1" customWidth="1" collapsed="1"/>
    <col min="8" max="8" width="12.265625" bestFit="1" customWidth="1"/>
    <col min="10" max="12" width="9.1328125" customWidth="1"/>
  </cols>
  <sheetData>
    <row r="1" spans="1:8" ht="21" x14ac:dyDescent="0.65">
      <c r="A1" s="1" t="s">
        <v>692</v>
      </c>
    </row>
    <row r="2" spans="1:8" x14ac:dyDescent="0.45">
      <c r="C2" s="18"/>
    </row>
    <row r="3" spans="1:8" x14ac:dyDescent="0.45">
      <c r="A3" s="19" t="s">
        <v>693</v>
      </c>
    </row>
    <row r="5" spans="1:8" x14ac:dyDescent="0.45">
      <c r="B5" s="23" t="s">
        <v>62</v>
      </c>
      <c r="C5" s="23" t="s">
        <v>682</v>
      </c>
      <c r="D5" s="23" t="s">
        <v>683</v>
      </c>
      <c r="E5" s="23" t="s">
        <v>688</v>
      </c>
      <c r="F5" s="23" t="s">
        <v>689</v>
      </c>
      <c r="G5" s="23" t="s">
        <v>791</v>
      </c>
      <c r="H5" s="23" t="s">
        <v>680</v>
      </c>
    </row>
    <row r="6" spans="1:8" x14ac:dyDescent="0.45">
      <c r="B6" s="21">
        <v>1</v>
      </c>
      <c r="C6" s="21" t="s">
        <v>403</v>
      </c>
      <c r="D6" s="21"/>
      <c r="E6" s="9"/>
      <c r="F6" s="9"/>
      <c r="G6" s="21" t="s">
        <v>687</v>
      </c>
      <c r="H6" s="9"/>
    </row>
    <row r="7" spans="1:8" x14ac:dyDescent="0.45">
      <c r="B7" s="9">
        <f>B6+1</f>
        <v>2</v>
      </c>
      <c r="C7" s="9" t="str">
        <f>IF(D6=VLOOKUP(C6,Lookup!$P$5:$R$6,3,0),VLOOKUP(C6,Lookup!$P$5:$Q$6,2,0),C6)</f>
        <v>view</v>
      </c>
      <c r="D7" s="21">
        <v>1</v>
      </c>
      <c r="E7" s="9" t="str">
        <f>IF(C7=Lookup!$P$5,INDEX('view-code'!$P$3:$P$502,'group-code'!D7),"")</f>
        <v/>
      </c>
      <c r="F7" s="9" t="str">
        <f>IF(C7=Lookup!$P$6,INDEX('card-code'!$P$3:$P$502,'group-code'!D7),"")</f>
        <v/>
      </c>
      <c r="G7" s="9" t="str">
        <f>_xlfn.IFNA(  E7&amp;F7,  "")</f>
        <v/>
      </c>
      <c r="H7" s="9" t="str">
        <f>_xlfn.IFNA(IF(C7=Lookup!$Q$6,"END",""),"")</f>
        <v/>
      </c>
    </row>
    <row r="8" spans="1:8" x14ac:dyDescent="0.45">
      <c r="B8" s="9">
        <f t="shared" ref="B8:B71" si="0">B7+1</f>
        <v>3</v>
      </c>
      <c r="C8" s="9" t="str">
        <f>IF(D7=VLOOKUP(C7,Lookup!$P$5:$R$6,3,0),VLOOKUP(C7,Lookup!$P$5:$Q$6,2,0),C7)</f>
        <v>view</v>
      </c>
      <c r="D8" s="22">
        <f>IF(D7=VLOOKUP(C7,Lookup!$P$5:$R$6,3,0),1,D7+1)</f>
        <v>2</v>
      </c>
      <c r="E8" s="9" t="str">
        <f>IF(C8=Lookup!$P$5,INDEX('view-code'!$P$3:$P$502,'group-code'!D8),"")</f>
        <v>## View code</v>
      </c>
      <c r="F8" s="9" t="str">
        <f>IF(C8=Lookup!$P$6,INDEX('card-code'!$P$3:$P$502,'group-code'!D8),"")</f>
        <v/>
      </c>
      <c r="G8" s="9" t="str">
        <f t="shared" ref="G8:G71" si="1">_xlfn.IFNA(  E8&amp;F8,  "")</f>
        <v>## View code</v>
      </c>
      <c r="H8" s="9" t="str">
        <f>_xlfn.IFNA(IF(C8=Lookup!$Q$6,"END",""),"")</f>
        <v/>
      </c>
    </row>
    <row r="9" spans="1:8" x14ac:dyDescent="0.45">
      <c r="B9" s="9">
        <f t="shared" si="0"/>
        <v>4</v>
      </c>
      <c r="C9" s="9" t="str">
        <f>IF(D8=VLOOKUP(C8,Lookup!$P$5:$R$6,3,0),VLOOKUP(C8,Lookup!$P$5:$Q$6,2,0),C8)</f>
        <v>view</v>
      </c>
      <c r="D9" s="22">
        <f>IF(D8=VLOOKUP(C8,Lookup!$P$5:$R$6,3,0),1,D8+1)</f>
        <v>3</v>
      </c>
      <c r="E9" s="9" t="str">
        <f>IF(C9=Lookup!$P$5,INDEX('view-code'!$P$3:$P$502,'group-code'!D9),"")</f>
        <v/>
      </c>
      <c r="F9" s="9" t="str">
        <f>IF(C9=Lookup!$P$6,INDEX('card-code'!$P$3:$P$502,'group-code'!D9),"")</f>
        <v/>
      </c>
      <c r="G9" s="9" t="str">
        <f t="shared" si="1"/>
        <v/>
      </c>
      <c r="H9" s="9" t="str">
        <f>_xlfn.IFNA(IF(C9=Lookup!$Q$6,"END",""),"")</f>
        <v/>
      </c>
    </row>
    <row r="10" spans="1:8" x14ac:dyDescent="0.45">
      <c r="B10" s="9">
        <f t="shared" si="0"/>
        <v>5</v>
      </c>
      <c r="C10" s="9" t="str">
        <f>IF(D9=VLOOKUP(C9,Lookup!$P$5:$R$6,3,0),VLOOKUP(C9,Lookup!$P$5:$Q$6,2,0),C9)</f>
        <v>view</v>
      </c>
      <c r="D10" s="22">
        <f>IF(D9=VLOOKUP(C9,Lookup!$P$5:$R$6,3,0),1,D9+1)</f>
        <v>4</v>
      </c>
      <c r="E10" s="9" t="str">
        <f>IF(C10=Lookup!$P$5,INDEX('view-code'!$P$3:$P$502,'group-code'!D10),"")</f>
        <v>default_view:</v>
      </c>
      <c r="F10" s="9" t="str">
        <f>IF(C10=Lookup!$P$6,INDEX('card-code'!$P$3:$P$502,'group-code'!D10),"")</f>
        <v/>
      </c>
      <c r="G10" s="9" t="str">
        <f t="shared" si="1"/>
        <v>default_view:</v>
      </c>
      <c r="H10" s="9" t="str">
        <f>_xlfn.IFNA(IF(C10=Lookup!$Q$6,"END",""),"")</f>
        <v/>
      </c>
    </row>
    <row r="11" spans="1:8" x14ac:dyDescent="0.45">
      <c r="B11" s="9">
        <f t="shared" si="0"/>
        <v>6</v>
      </c>
      <c r="C11" s="9" t="str">
        <f>IF(D10=VLOOKUP(C10,Lookup!$P$5:$R$6,3,0),VLOOKUP(C10,Lookup!$P$5:$Q$6,2,0),C10)</f>
        <v>view</v>
      </c>
      <c r="D11" s="22">
        <f>IF(D10=VLOOKUP(C10,Lookup!$P$5:$R$6,3,0),1,D10+1)</f>
        <v>5</v>
      </c>
      <c r="E11" s="9" t="str">
        <f>IF(C11=Lookup!$P$5,INDEX('view-code'!$P$3:$P$502,'group-code'!D11),"")</f>
        <v xml:space="preserve">  view: yes</v>
      </c>
      <c r="F11" s="9" t="str">
        <f>IF(C11=Lookup!$P$6,INDEX('card-code'!$P$3:$P$502,'group-code'!D11),"")</f>
        <v/>
      </c>
      <c r="G11" s="9" t="str">
        <f t="shared" si="1"/>
        <v xml:space="preserve">  view: yes</v>
      </c>
      <c r="H11" s="9" t="str">
        <f>_xlfn.IFNA(IF(C11=Lookup!$Q$6,"END",""),"")</f>
        <v/>
      </c>
    </row>
    <row r="12" spans="1:8" x14ac:dyDescent="0.45">
      <c r="B12" s="9">
        <f t="shared" si="0"/>
        <v>7</v>
      </c>
      <c r="C12" s="9" t="str">
        <f>IF(D11=VLOOKUP(C11,Lookup!$P$5:$R$6,3,0),VLOOKUP(C11,Lookup!$P$5:$Q$6,2,0),C11)</f>
        <v>view</v>
      </c>
      <c r="D12" s="22">
        <f>IF(D11=VLOOKUP(C11,Lookup!$P$5:$R$6,3,0),1,D11+1)</f>
        <v>6</v>
      </c>
      <c r="E12" s="9" t="str">
        <f>IF(C12=Lookup!$P$5,INDEX('view-code'!$P$3:$P$502,'group-code'!D12),"")</f>
        <v xml:space="preserve">  entities:</v>
      </c>
      <c r="F12" s="9" t="str">
        <f>IF(C12=Lookup!$P$6,INDEX('card-code'!$P$3:$P$502,'group-code'!D12),"")</f>
        <v/>
      </c>
      <c r="G12" s="9" t="str">
        <f>_xlfn.IFNA(  E12&amp;F12,  "")</f>
        <v xml:space="preserve">  entities:</v>
      </c>
      <c r="H12" s="9" t="str">
        <f>_xlfn.IFNA(IF(C12=Lookup!$Q$6,"END",""),"")</f>
        <v/>
      </c>
    </row>
    <row r="13" spans="1:8" x14ac:dyDescent="0.45">
      <c r="B13" s="9">
        <f t="shared" si="0"/>
        <v>8</v>
      </c>
      <c r="C13" s="9" t="str">
        <f>IF(D12=VLOOKUP(C12,Lookup!$P$5:$R$6,3,0),VLOOKUP(C12,Lookup!$P$5:$Q$6,2,0),C12)</f>
        <v>view</v>
      </c>
      <c r="D13" s="22">
        <f>IF(D12=VLOOKUP(C12,Lookup!$P$5:$R$6,3,0),1,D12+1)</f>
        <v>7</v>
      </c>
      <c r="E13" s="9" t="str">
        <f>IF(C13=Lookup!$P$5,INDEX('view-code'!$P$3:$P$502,'group-code'!D13),"")</f>
        <v xml:space="preserve">    - group.living_room</v>
      </c>
      <c r="F13" s="9" t="str">
        <f>IF(C13=Lookup!$P$6,INDEX('card-code'!$P$3:$P$502,'group-code'!D13),"")</f>
        <v/>
      </c>
      <c r="G13" s="9" t="str">
        <f t="shared" si="1"/>
        <v xml:space="preserve">    - group.living_room</v>
      </c>
      <c r="H13" s="9" t="str">
        <f>_xlfn.IFNA(IF(C13=Lookup!$Q$6,"END",""),"")</f>
        <v/>
      </c>
    </row>
    <row r="14" spans="1:8" x14ac:dyDescent="0.45">
      <c r="B14" s="9">
        <f t="shared" si="0"/>
        <v>9</v>
      </c>
      <c r="C14" s="9" t="str">
        <f>IF(D13=VLOOKUP(C13,Lookup!$P$5:$R$6,3,0),VLOOKUP(C13,Lookup!$P$5:$Q$6,2,0),C13)</f>
        <v>view</v>
      </c>
      <c r="D14" s="22">
        <f>IF(D13=VLOOKUP(C13,Lookup!$P$5:$R$6,3,0),1,D13+1)</f>
        <v>8</v>
      </c>
      <c r="E14" s="9" t="str">
        <f>IF(C14=Lookup!$P$5,INDEX('view-code'!$P$3:$P$502,'group-code'!D14),"")</f>
        <v xml:space="preserve">    - group.bedroom</v>
      </c>
      <c r="F14" s="9" t="str">
        <f>IF(C14=Lookup!$P$6,INDEX('card-code'!$P$3:$P$502,'group-code'!D14),"")</f>
        <v/>
      </c>
      <c r="G14" s="9" t="str">
        <f t="shared" si="1"/>
        <v xml:space="preserve">    - group.bedroom</v>
      </c>
      <c r="H14" s="9" t="str">
        <f>_xlfn.IFNA(IF(C14=Lookup!$Q$6,"END",""),"")</f>
        <v/>
      </c>
    </row>
    <row r="15" spans="1:8" x14ac:dyDescent="0.45">
      <c r="B15" s="9">
        <f t="shared" si="0"/>
        <v>10</v>
      </c>
      <c r="C15" s="9" t="str">
        <f>IF(D14=VLOOKUP(C14,Lookup!$P$5:$R$6,3,0),VLOOKUP(C14,Lookup!$P$5:$Q$6,2,0),C14)</f>
        <v>view</v>
      </c>
      <c r="D15" s="22">
        <f>IF(D14=VLOOKUP(C14,Lookup!$P$5:$R$6,3,0),1,D14+1)</f>
        <v>9</v>
      </c>
      <c r="E15" s="9" t="str">
        <f>IF(C15=Lookup!$P$5,INDEX('view-code'!$P$3:$P$502,'group-code'!D15),"")</f>
        <v xml:space="preserve">    - group.alarm_clock</v>
      </c>
      <c r="F15" s="9" t="str">
        <f>IF(C15=Lookup!$P$6,INDEX('card-code'!$P$3:$P$502,'group-code'!D15),"")</f>
        <v/>
      </c>
      <c r="G15" s="9" t="str">
        <f t="shared" si="1"/>
        <v xml:space="preserve">    - group.alarm_clock</v>
      </c>
      <c r="H15" s="9" t="str">
        <f>_xlfn.IFNA(IF(C15=Lookup!$Q$6,"END",""),"")</f>
        <v/>
      </c>
    </row>
    <row r="16" spans="1:8" x14ac:dyDescent="0.45">
      <c r="B16" s="9">
        <f t="shared" si="0"/>
        <v>11</v>
      </c>
      <c r="C16" s="9" t="str">
        <f>IF(D15=VLOOKUP(C15,Lookup!$P$5:$R$6,3,0),VLOOKUP(C15,Lookup!$P$5:$Q$6,2,0),C15)</f>
        <v>view</v>
      </c>
      <c r="D16" s="22">
        <f>IF(D15=VLOOKUP(C15,Lookup!$P$5:$R$6,3,0),1,D15+1)</f>
        <v>10</v>
      </c>
      <c r="E16" s="9" t="str">
        <f>IF(C16=Lookup!$P$5,INDEX('view-code'!$P$3:$P$502,'group-code'!D16),"")</f>
        <v xml:space="preserve">    - group.status</v>
      </c>
      <c r="F16" s="9" t="str">
        <f>IF(C16=Lookup!$P$6,INDEX('card-code'!$P$3:$P$502,'group-code'!D16),"")</f>
        <v/>
      </c>
      <c r="G16" s="9" t="str">
        <f t="shared" si="1"/>
        <v xml:space="preserve">    - group.status</v>
      </c>
      <c r="H16" s="9" t="str">
        <f>_xlfn.IFNA(IF(C16=Lookup!$Q$6,"END",""),"")</f>
        <v/>
      </c>
    </row>
    <row r="17" spans="2:8" x14ac:dyDescent="0.45">
      <c r="B17" s="9">
        <f t="shared" si="0"/>
        <v>12</v>
      </c>
      <c r="C17" s="9" t="str">
        <f>IF(D16=VLOOKUP(C16,Lookup!$P$5:$R$6,3,0),VLOOKUP(C16,Lookup!$P$5:$Q$6,2,0),C16)</f>
        <v>view</v>
      </c>
      <c r="D17" s="22">
        <f>IF(D16=VLOOKUP(C16,Lookup!$P$5:$R$6,3,0),1,D16+1)</f>
        <v>11</v>
      </c>
      <c r="E17" s="9" t="str">
        <f>IF(C17=Lookup!$P$5,INDEX('view-code'!$P$3:$P$502,'group-code'!D17),"")</f>
        <v xml:space="preserve">    - media_player.living_room_tv</v>
      </c>
      <c r="F17" s="9" t="str">
        <f>IF(C17=Lookup!$P$6,INDEX('card-code'!$P$3:$P$502,'group-code'!D17),"")</f>
        <v/>
      </c>
      <c r="G17" s="9" t="str">
        <f t="shared" si="1"/>
        <v xml:space="preserve">    - media_player.living_room_tv</v>
      </c>
      <c r="H17" s="9" t="str">
        <f>_xlfn.IFNA(IF(C17=Lookup!$Q$6,"END",""),"")</f>
        <v/>
      </c>
    </row>
    <row r="18" spans="2:8" x14ac:dyDescent="0.45">
      <c r="B18" s="9">
        <f t="shared" si="0"/>
        <v>13</v>
      </c>
      <c r="C18" s="9" t="str">
        <f>IF(D17=VLOOKUP(C17,Lookup!$P$5:$R$6,3,0),VLOOKUP(C17,Lookup!$P$5:$Q$6,2,0),C17)</f>
        <v>view</v>
      </c>
      <c r="D18" s="22">
        <f>IF(D17=VLOOKUP(C17,Lookup!$P$5:$R$6,3,0),1,D17+1)</f>
        <v>12</v>
      </c>
      <c r="E18" s="9" t="str">
        <f>IF(C18=Lookup!$P$5,INDEX('view-code'!$P$3:$P$502,'group-code'!D18),"")</f>
        <v/>
      </c>
      <c r="F18" s="9" t="str">
        <f>IF(C18=Lookup!$P$6,INDEX('card-code'!$P$3:$P$502,'group-code'!D18),"")</f>
        <v/>
      </c>
      <c r="G18" s="9" t="str">
        <f t="shared" si="1"/>
        <v/>
      </c>
      <c r="H18" s="9" t="str">
        <f>_xlfn.IFNA(IF(C18=Lookup!$Q$6,"END",""),"")</f>
        <v/>
      </c>
    </row>
    <row r="19" spans="2:8" x14ac:dyDescent="0.45">
      <c r="B19" s="9">
        <f t="shared" si="0"/>
        <v>14</v>
      </c>
      <c r="C19" s="9" t="str">
        <f>IF(D18=VLOOKUP(C18,Lookup!$P$5:$R$6,3,0),VLOOKUP(C18,Lookup!$P$5:$Q$6,2,0),C18)</f>
        <v>view</v>
      </c>
      <c r="D19" s="22">
        <f>IF(D18=VLOOKUP(C18,Lookup!$P$5:$R$6,3,0),1,D18+1)</f>
        <v>13</v>
      </c>
      <c r="E19" s="9" t="str">
        <f>IF(C19=Lookup!$P$5,INDEX('view-code'!$P$3:$P$502,'group-code'!D19),"")</f>
        <v>bedroom_view:</v>
      </c>
      <c r="F19" s="9" t="str">
        <f>IF(C19=Lookup!$P$6,INDEX('card-code'!$P$3:$P$502,'group-code'!D19),"")</f>
        <v/>
      </c>
      <c r="G19" s="9" t="str">
        <f t="shared" si="1"/>
        <v>bedroom_view:</v>
      </c>
      <c r="H19" s="9" t="str">
        <f>_xlfn.IFNA(IF(C19=Lookup!$Q$6,"END",""),"")</f>
        <v/>
      </c>
    </row>
    <row r="20" spans="2:8" x14ac:dyDescent="0.45">
      <c r="B20" s="9">
        <f t="shared" si="0"/>
        <v>15</v>
      </c>
      <c r="C20" s="9" t="str">
        <f>IF(D19=VLOOKUP(C19,Lookup!$P$5:$R$6,3,0),VLOOKUP(C19,Lookup!$P$5:$Q$6,2,0),C19)</f>
        <v>view</v>
      </c>
      <c r="D20" s="22">
        <f>IF(D19=VLOOKUP(C19,Lookup!$P$5:$R$6,3,0),1,D19+1)</f>
        <v>14</v>
      </c>
      <c r="E20" s="9" t="str">
        <f>IF(C20=Lookup!$P$5,INDEX('view-code'!$P$3:$P$502,'group-code'!D20),"")</f>
        <v xml:space="preserve">  view: yes</v>
      </c>
      <c r="F20" s="9" t="str">
        <f>IF(C20=Lookup!$P$6,INDEX('card-code'!$P$3:$P$502,'group-code'!D20),"")</f>
        <v/>
      </c>
      <c r="G20" s="9" t="str">
        <f t="shared" si="1"/>
        <v xml:space="preserve">  view: yes</v>
      </c>
      <c r="H20" s="9" t="str">
        <f>_xlfn.IFNA(IF(C20=Lookup!$Q$6,"END",""),"")</f>
        <v/>
      </c>
    </row>
    <row r="21" spans="2:8" x14ac:dyDescent="0.45">
      <c r="B21" s="9">
        <f t="shared" si="0"/>
        <v>16</v>
      </c>
      <c r="C21" s="9" t="str">
        <f>IF(D20=VLOOKUP(C20,Lookup!$P$5:$R$6,3,0),VLOOKUP(C20,Lookup!$P$5:$Q$6,2,0),C20)</f>
        <v>view</v>
      </c>
      <c r="D21" s="22">
        <f>IF(D20=VLOOKUP(C20,Lookup!$P$5:$R$6,3,0),1,D20+1)</f>
        <v>15</v>
      </c>
      <c r="E21" s="9" t="str">
        <f>IF(C21=Lookup!$P$5,INDEX('view-code'!$P$3:$P$502,'group-code'!D21),"")</f>
        <v xml:space="preserve">  name: "Bedroom"</v>
      </c>
      <c r="F21" s="9" t="str">
        <f>IF(C21=Lookup!$P$6,INDEX('card-code'!$P$3:$P$502,'group-code'!D21),"")</f>
        <v/>
      </c>
      <c r="G21" s="9" t="str">
        <f t="shared" si="1"/>
        <v xml:space="preserve">  name: "Bedroom"</v>
      </c>
      <c r="H21" s="9" t="str">
        <f>_xlfn.IFNA(IF(C21=Lookup!$Q$6,"END",""),"")</f>
        <v/>
      </c>
    </row>
    <row r="22" spans="2:8" x14ac:dyDescent="0.45">
      <c r="B22" s="9">
        <f t="shared" si="0"/>
        <v>17</v>
      </c>
      <c r="C22" s="9" t="str">
        <f>IF(D21=VLOOKUP(C21,Lookup!$P$5:$R$6,3,0),VLOOKUP(C21,Lookup!$P$5:$Q$6,2,0),C21)</f>
        <v>view</v>
      </c>
      <c r="D22" s="22">
        <f>IF(D21=VLOOKUP(C21,Lookup!$P$5:$R$6,3,0),1,D21+1)</f>
        <v>16</v>
      </c>
      <c r="E22" s="9" t="str">
        <f>IF(C22=Lookup!$P$5,INDEX('view-code'!$P$3:$P$502,'group-code'!D22),"")</f>
        <v xml:space="preserve">  icon: mdi:hotel</v>
      </c>
      <c r="F22" s="9" t="str">
        <f>IF(C22=Lookup!$P$6,INDEX('card-code'!$P$3:$P$502,'group-code'!D22),"")</f>
        <v/>
      </c>
      <c r="G22" s="9" t="str">
        <f t="shared" si="1"/>
        <v xml:space="preserve">  icon: mdi:hotel</v>
      </c>
      <c r="H22" s="9" t="str">
        <f>_xlfn.IFNA(IF(C22=Lookup!$Q$6,"END",""),"")</f>
        <v/>
      </c>
    </row>
    <row r="23" spans="2:8" x14ac:dyDescent="0.45">
      <c r="B23" s="9">
        <f t="shared" si="0"/>
        <v>18</v>
      </c>
      <c r="C23" s="9" t="str">
        <f>IF(D22=VLOOKUP(C22,Lookup!$P$5:$R$6,3,0),VLOOKUP(C22,Lookup!$P$5:$Q$6,2,0),C22)</f>
        <v>view</v>
      </c>
      <c r="D23" s="22">
        <f>IF(D22=VLOOKUP(C22,Lookup!$P$5:$R$6,3,0),1,D22+1)</f>
        <v>17</v>
      </c>
      <c r="E23" s="9" t="str">
        <f>IF(C23=Lookup!$P$5,INDEX('view-code'!$P$3:$P$502,'group-code'!D23),"")</f>
        <v xml:space="preserve">  entities:</v>
      </c>
      <c r="F23" s="9" t="str">
        <f>IF(C23=Lookup!$P$6,INDEX('card-code'!$P$3:$P$502,'group-code'!D23),"")</f>
        <v/>
      </c>
      <c r="G23" s="9" t="str">
        <f t="shared" si="1"/>
        <v xml:space="preserve">  entities:</v>
      </c>
      <c r="H23" s="9" t="str">
        <f>_xlfn.IFNA(IF(C23=Lookup!$Q$6,"END",""),"")</f>
        <v/>
      </c>
    </row>
    <row r="24" spans="2:8" x14ac:dyDescent="0.45">
      <c r="B24" s="9">
        <f t="shared" si="0"/>
        <v>19</v>
      </c>
      <c r="C24" s="9" t="str">
        <f>IF(D23=VLOOKUP(C23,Lookup!$P$5:$R$6,3,0),VLOOKUP(C23,Lookup!$P$5:$Q$6,2,0),C23)</f>
        <v>view</v>
      </c>
      <c r="D24" s="22">
        <f>IF(D23=VLOOKUP(C23,Lookup!$P$5:$R$6,3,0),1,D23+1)</f>
        <v>18</v>
      </c>
      <c r="E24" s="9" t="str">
        <f>IF(C24=Lookup!$P$5,INDEX('view-code'!$P$3:$P$502,'group-code'!D24),"")</f>
        <v xml:space="preserve">    - group.bedroom</v>
      </c>
      <c r="F24" s="9" t="str">
        <f>IF(C24=Lookup!$P$6,INDEX('card-code'!$P$3:$P$502,'group-code'!D24),"")</f>
        <v/>
      </c>
      <c r="G24" s="9" t="str">
        <f t="shared" si="1"/>
        <v xml:space="preserve">    - group.bedroom</v>
      </c>
      <c r="H24" s="9" t="str">
        <f>_xlfn.IFNA(IF(C24=Lookup!$Q$6,"END",""),"")</f>
        <v/>
      </c>
    </row>
    <row r="25" spans="2:8" x14ac:dyDescent="0.45">
      <c r="B25" s="9">
        <f t="shared" si="0"/>
        <v>20</v>
      </c>
      <c r="C25" s="9" t="str">
        <f>IF(D24=VLOOKUP(C24,Lookup!$P$5:$R$6,3,0),VLOOKUP(C24,Lookup!$P$5:$Q$6,2,0),C24)</f>
        <v>view</v>
      </c>
      <c r="D25" s="22">
        <f>IF(D24=VLOOKUP(C24,Lookup!$P$5:$R$6,3,0),1,D24+1)</f>
        <v>19</v>
      </c>
      <c r="E25" s="9" t="str">
        <f>IF(C25=Lookup!$P$5,INDEX('view-code'!$P$3:$P$502,'group-code'!D25),"")</f>
        <v xml:space="preserve">    - group.alarm_clock</v>
      </c>
      <c r="F25" s="9" t="str">
        <f>IF(C25=Lookup!$P$6,INDEX('card-code'!$P$3:$P$502,'group-code'!D25),"")</f>
        <v/>
      </c>
      <c r="G25" s="9" t="str">
        <f t="shared" si="1"/>
        <v xml:space="preserve">    - group.alarm_clock</v>
      </c>
      <c r="H25" s="9" t="str">
        <f>_xlfn.IFNA(IF(C25=Lookup!$Q$6,"END",""),"")</f>
        <v/>
      </c>
    </row>
    <row r="26" spans="2:8" x14ac:dyDescent="0.45">
      <c r="B26" s="9">
        <f t="shared" si="0"/>
        <v>21</v>
      </c>
      <c r="C26" s="9" t="str">
        <f>IF(D25=VLOOKUP(C25,Lookup!$P$5:$R$6,3,0),VLOOKUP(C25,Lookup!$P$5:$Q$6,2,0),C25)</f>
        <v>view</v>
      </c>
      <c r="D26" s="22">
        <f>IF(D25=VLOOKUP(C25,Lookup!$P$5:$R$6,3,0),1,D25+1)</f>
        <v>20</v>
      </c>
      <c r="E26" s="9" t="str">
        <f>IF(C26=Lookup!$P$5,INDEX('view-code'!$P$3:$P$502,'group-code'!D26),"")</f>
        <v xml:space="preserve">    - group.bedroom_devices</v>
      </c>
      <c r="F26" s="9" t="str">
        <f>IF(C26=Lookup!$P$6,INDEX('card-code'!$P$3:$P$502,'group-code'!D26),"")</f>
        <v/>
      </c>
      <c r="G26" s="9" t="str">
        <f t="shared" si="1"/>
        <v xml:space="preserve">    - group.bedroom_devices</v>
      </c>
      <c r="H26" s="9" t="str">
        <f>_xlfn.IFNA(IF(C26=Lookup!$Q$6,"END",""),"")</f>
        <v/>
      </c>
    </row>
    <row r="27" spans="2:8" x14ac:dyDescent="0.45">
      <c r="B27" s="9">
        <f t="shared" si="0"/>
        <v>22</v>
      </c>
      <c r="C27" s="9" t="str">
        <f>IF(D26=VLOOKUP(C26,Lookup!$P$5:$R$6,3,0),VLOOKUP(C26,Lookup!$P$5:$Q$6,2,0),C26)</f>
        <v>view</v>
      </c>
      <c r="D27" s="22">
        <f>IF(D26=VLOOKUP(C26,Lookup!$P$5:$R$6,3,0),1,D26+1)</f>
        <v>21</v>
      </c>
      <c r="E27" s="9" t="str">
        <f>IF(C27=Lookup!$P$5,INDEX('view-code'!$P$3:$P$502,'group-code'!D27),"")</f>
        <v/>
      </c>
      <c r="F27" s="9" t="str">
        <f>IF(C27=Lookup!$P$6,INDEX('card-code'!$P$3:$P$502,'group-code'!D27),"")</f>
        <v/>
      </c>
      <c r="G27" s="9" t="str">
        <f t="shared" si="1"/>
        <v/>
      </c>
      <c r="H27" s="9" t="str">
        <f>_xlfn.IFNA(IF(C27=Lookup!$Q$6,"END",""),"")</f>
        <v/>
      </c>
    </row>
    <row r="28" spans="2:8" x14ac:dyDescent="0.45">
      <c r="B28" s="9">
        <f t="shared" si="0"/>
        <v>23</v>
      </c>
      <c r="C28" s="9" t="str">
        <f>IF(D27=VLOOKUP(C27,Lookup!$P$5:$R$6,3,0),VLOOKUP(C27,Lookup!$P$5:$Q$6,2,0),C27)</f>
        <v>view</v>
      </c>
      <c r="D28" s="22">
        <f>IF(D27=VLOOKUP(C27,Lookup!$P$5:$R$6,3,0),1,D27+1)</f>
        <v>22</v>
      </c>
      <c r="E28" s="9" t="str">
        <f>IF(C28=Lookup!$P$5,INDEX('view-code'!$P$3:$P$502,'group-code'!D28),"")</f>
        <v>living_room_view:</v>
      </c>
      <c r="F28" s="9" t="str">
        <f>IF(C28=Lookup!$P$6,INDEX('card-code'!$P$3:$P$502,'group-code'!D28),"")</f>
        <v/>
      </c>
      <c r="G28" s="9" t="str">
        <f t="shared" si="1"/>
        <v>living_room_view:</v>
      </c>
      <c r="H28" s="9" t="str">
        <f>_xlfn.IFNA(IF(C28=Lookup!$Q$6,"END",""),"")</f>
        <v/>
      </c>
    </row>
    <row r="29" spans="2:8" x14ac:dyDescent="0.45">
      <c r="B29" s="9">
        <f t="shared" si="0"/>
        <v>24</v>
      </c>
      <c r="C29" s="9" t="str">
        <f>IF(D28=VLOOKUP(C28,Lookup!$P$5:$R$6,3,0),VLOOKUP(C28,Lookup!$P$5:$Q$6,2,0),C28)</f>
        <v>view</v>
      </c>
      <c r="D29" s="22">
        <f>IF(D28=VLOOKUP(C28,Lookup!$P$5:$R$6,3,0),1,D28+1)</f>
        <v>23</v>
      </c>
      <c r="E29" s="9" t="str">
        <f>IF(C29=Lookup!$P$5,INDEX('view-code'!$P$3:$P$502,'group-code'!D29),"")</f>
        <v xml:space="preserve">  view: yes</v>
      </c>
      <c r="F29" s="9" t="str">
        <f>IF(C29=Lookup!$P$6,INDEX('card-code'!$P$3:$P$502,'group-code'!D29),"")</f>
        <v/>
      </c>
      <c r="G29" s="9" t="str">
        <f t="shared" si="1"/>
        <v xml:space="preserve">  view: yes</v>
      </c>
      <c r="H29" s="9" t="str">
        <f>_xlfn.IFNA(IF(C29=Lookup!$Q$6,"END",""),"")</f>
        <v/>
      </c>
    </row>
    <row r="30" spans="2:8" x14ac:dyDescent="0.45">
      <c r="B30" s="9">
        <f t="shared" si="0"/>
        <v>25</v>
      </c>
      <c r="C30" s="9" t="str">
        <f>IF(D29=VLOOKUP(C29,Lookup!$P$5:$R$6,3,0),VLOOKUP(C29,Lookup!$P$5:$Q$6,2,0),C29)</f>
        <v>view</v>
      </c>
      <c r="D30" s="22">
        <f>IF(D29=VLOOKUP(C29,Lookup!$P$5:$R$6,3,0),1,D29+1)</f>
        <v>24</v>
      </c>
      <c r="E30" s="9" t="str">
        <f>IF(C30=Lookup!$P$5,INDEX('view-code'!$P$3:$P$502,'group-code'!D30),"")</f>
        <v xml:space="preserve">  name: "Living Room"</v>
      </c>
      <c r="F30" s="9" t="str">
        <f>IF(C30=Lookup!$P$6,INDEX('card-code'!$P$3:$P$502,'group-code'!D30),"")</f>
        <v/>
      </c>
      <c r="G30" s="9" t="str">
        <f t="shared" si="1"/>
        <v xml:space="preserve">  name: "Living Room"</v>
      </c>
      <c r="H30" s="9" t="str">
        <f>_xlfn.IFNA(IF(C30=Lookup!$Q$6,"END",""),"")</f>
        <v/>
      </c>
    </row>
    <row r="31" spans="2:8" x14ac:dyDescent="0.45">
      <c r="B31" s="9">
        <f t="shared" si="0"/>
        <v>26</v>
      </c>
      <c r="C31" s="9" t="str">
        <f>IF(D30=VLOOKUP(C30,Lookup!$P$5:$R$6,3,0),VLOOKUP(C30,Lookup!$P$5:$Q$6,2,0),C30)</f>
        <v>view</v>
      </c>
      <c r="D31" s="22">
        <f>IF(D30=VLOOKUP(C30,Lookup!$P$5:$R$6,3,0),1,D30+1)</f>
        <v>25</v>
      </c>
      <c r="E31" s="9" t="str">
        <f>IF(C31=Lookup!$P$5,INDEX('view-code'!$P$3:$P$502,'group-code'!D31),"")</f>
        <v xml:space="preserve">  icon: mdi:sofa</v>
      </c>
      <c r="F31" s="9" t="str">
        <f>IF(C31=Lookup!$P$6,INDEX('card-code'!$P$3:$P$502,'group-code'!D31),"")</f>
        <v/>
      </c>
      <c r="G31" s="9" t="str">
        <f t="shared" si="1"/>
        <v xml:space="preserve">  icon: mdi:sofa</v>
      </c>
      <c r="H31" s="9" t="str">
        <f>_xlfn.IFNA(IF(C31=Lookup!$Q$6,"END",""),"")</f>
        <v/>
      </c>
    </row>
    <row r="32" spans="2:8" x14ac:dyDescent="0.45">
      <c r="B32" s="9">
        <f t="shared" si="0"/>
        <v>27</v>
      </c>
      <c r="C32" s="9" t="str">
        <f>IF(D31=VLOOKUP(C31,Lookup!$P$5:$R$6,3,0),VLOOKUP(C31,Lookup!$P$5:$Q$6,2,0),C31)</f>
        <v>view</v>
      </c>
      <c r="D32" s="22">
        <f>IF(D31=VLOOKUP(C31,Lookup!$P$5:$R$6,3,0),1,D31+1)</f>
        <v>26</v>
      </c>
      <c r="E32" s="9" t="str">
        <f>IF(C32=Lookup!$P$5,INDEX('view-code'!$P$3:$P$502,'group-code'!D32),"")</f>
        <v xml:space="preserve">  entities:</v>
      </c>
      <c r="F32" s="9" t="str">
        <f>IF(C32=Lookup!$P$6,INDEX('card-code'!$P$3:$P$502,'group-code'!D32),"")</f>
        <v/>
      </c>
      <c r="G32" s="9" t="str">
        <f t="shared" si="1"/>
        <v xml:space="preserve">  entities:</v>
      </c>
      <c r="H32" s="9" t="str">
        <f>_xlfn.IFNA(IF(C32=Lookup!$Q$6,"END",""),"")</f>
        <v/>
      </c>
    </row>
    <row r="33" spans="2:8" x14ac:dyDescent="0.45">
      <c r="B33" s="9">
        <f t="shared" si="0"/>
        <v>28</v>
      </c>
      <c r="C33" s="9" t="str">
        <f>IF(D32=VLOOKUP(C32,Lookup!$P$5:$R$6,3,0),VLOOKUP(C32,Lookup!$P$5:$Q$6,2,0),C32)</f>
        <v>view</v>
      </c>
      <c r="D33" s="22">
        <f>IF(D32=VLOOKUP(C32,Lookup!$P$5:$R$6,3,0),1,D32+1)</f>
        <v>27</v>
      </c>
      <c r="E33" s="9" t="str">
        <f>IF(C33=Lookup!$P$5,INDEX('view-code'!$P$3:$P$502,'group-code'!D33),"")</f>
        <v xml:space="preserve">    - group.living_room</v>
      </c>
      <c r="F33" s="9" t="str">
        <f>IF(C33=Lookup!$P$6,INDEX('card-code'!$P$3:$P$502,'group-code'!D33),"")</f>
        <v/>
      </c>
      <c r="G33" s="9" t="str">
        <f t="shared" si="1"/>
        <v xml:space="preserve">    - group.living_room</v>
      </c>
      <c r="H33" s="9" t="str">
        <f>_xlfn.IFNA(IF(C33=Lookup!$Q$6,"END",""),"")</f>
        <v/>
      </c>
    </row>
    <row r="34" spans="2:8" x14ac:dyDescent="0.45">
      <c r="B34" s="9">
        <f t="shared" si="0"/>
        <v>29</v>
      </c>
      <c r="C34" s="9" t="str">
        <f>IF(D33=VLOOKUP(C33,Lookup!$P$5:$R$6,3,0),VLOOKUP(C33,Lookup!$P$5:$Q$6,2,0),C33)</f>
        <v>view</v>
      </c>
      <c r="D34" s="22">
        <f>IF(D33=VLOOKUP(C33,Lookup!$P$5:$R$6,3,0),1,D33+1)</f>
        <v>28</v>
      </c>
      <c r="E34" s="9" t="str">
        <f>IF(C34=Lookup!$P$5,INDEX('view-code'!$P$3:$P$502,'group-code'!D34),"")</f>
        <v xml:space="preserve">    - media_player.living_room_tv</v>
      </c>
      <c r="F34" s="9" t="str">
        <f>IF(C34=Lookup!$P$6,INDEX('card-code'!$P$3:$P$502,'group-code'!D34),"")</f>
        <v/>
      </c>
      <c r="G34" s="9" t="str">
        <f t="shared" si="1"/>
        <v xml:space="preserve">    - media_player.living_room_tv</v>
      </c>
      <c r="H34" s="9" t="str">
        <f>_xlfn.IFNA(IF(C34=Lookup!$Q$6,"END",""),"")</f>
        <v/>
      </c>
    </row>
    <row r="35" spans="2:8" x14ac:dyDescent="0.45">
      <c r="B35" s="9">
        <f t="shared" si="0"/>
        <v>30</v>
      </c>
      <c r="C35" s="9" t="str">
        <f>IF(D34=VLOOKUP(C34,Lookup!$P$5:$R$6,3,0),VLOOKUP(C34,Lookup!$P$5:$Q$6,2,0),C34)</f>
        <v>view</v>
      </c>
      <c r="D35" s="22">
        <f>IF(D34=VLOOKUP(C34,Lookup!$P$5:$R$6,3,0),1,D34+1)</f>
        <v>29</v>
      </c>
      <c r="E35" s="9" t="str">
        <f>IF(C35=Lookup!$P$5,INDEX('view-code'!$P$3:$P$502,'group-code'!D35),"")</f>
        <v/>
      </c>
      <c r="F35" s="9" t="str">
        <f>IF(C35=Lookup!$P$6,INDEX('card-code'!$P$3:$P$502,'group-code'!D35),"")</f>
        <v/>
      </c>
      <c r="G35" s="9" t="str">
        <f t="shared" si="1"/>
        <v/>
      </c>
      <c r="H35" s="9" t="str">
        <f>_xlfn.IFNA(IF(C35=Lookup!$Q$6,"END",""),"")</f>
        <v/>
      </c>
    </row>
    <row r="36" spans="2:8" x14ac:dyDescent="0.45">
      <c r="B36" s="9">
        <f t="shared" si="0"/>
        <v>31</v>
      </c>
      <c r="C36" s="9" t="str">
        <f>IF(D35=VLOOKUP(C35,Lookup!$P$5:$R$6,3,0),VLOOKUP(C35,Lookup!$P$5:$Q$6,2,0),C35)</f>
        <v>view</v>
      </c>
      <c r="D36" s="22">
        <f>IF(D35=VLOOKUP(C35,Lookup!$P$5:$R$6,3,0),1,D35+1)</f>
        <v>30</v>
      </c>
      <c r="E36" s="9" t="str">
        <f>IF(C36=Lookup!$P$5,INDEX('view-code'!$P$3:$P$502,'group-code'!D36),"")</f>
        <v>environment_view:</v>
      </c>
      <c r="F36" s="9" t="str">
        <f>IF(C36=Lookup!$P$6,INDEX('card-code'!$P$3:$P$502,'group-code'!D36),"")</f>
        <v/>
      </c>
      <c r="G36" s="9" t="str">
        <f t="shared" si="1"/>
        <v>environment_view:</v>
      </c>
      <c r="H36" s="9" t="str">
        <f>_xlfn.IFNA(IF(C36=Lookup!$Q$6,"END",""),"")</f>
        <v/>
      </c>
    </row>
    <row r="37" spans="2:8" x14ac:dyDescent="0.45">
      <c r="B37" s="9">
        <f t="shared" si="0"/>
        <v>32</v>
      </c>
      <c r="C37" s="9" t="str">
        <f>IF(D36=VLOOKUP(C36,Lookup!$P$5:$R$6,3,0),VLOOKUP(C36,Lookup!$P$5:$Q$6,2,0),C36)</f>
        <v>view</v>
      </c>
      <c r="D37" s="22">
        <f>IF(D36=VLOOKUP(C36,Lookup!$P$5:$R$6,3,0),1,D36+1)</f>
        <v>31</v>
      </c>
      <c r="E37" s="9" t="str">
        <f>IF(C37=Lookup!$P$5,INDEX('view-code'!$P$3:$P$502,'group-code'!D37),"")</f>
        <v xml:space="preserve">  view: yes</v>
      </c>
      <c r="F37" s="9" t="str">
        <f>IF(C37=Lookup!$P$6,INDEX('card-code'!$P$3:$P$502,'group-code'!D37),"")</f>
        <v/>
      </c>
      <c r="G37" s="9" t="str">
        <f t="shared" si="1"/>
        <v xml:space="preserve">  view: yes</v>
      </c>
      <c r="H37" s="9" t="str">
        <f>_xlfn.IFNA(IF(C37=Lookup!$Q$6,"END",""),"")</f>
        <v/>
      </c>
    </row>
    <row r="38" spans="2:8" x14ac:dyDescent="0.45">
      <c r="B38" s="9">
        <f t="shared" si="0"/>
        <v>33</v>
      </c>
      <c r="C38" s="9" t="str">
        <f>IF(D37=VLOOKUP(C37,Lookup!$P$5:$R$6,3,0),VLOOKUP(C37,Lookup!$P$5:$Q$6,2,0),C37)</f>
        <v>view</v>
      </c>
      <c r="D38" s="22">
        <f>IF(D37=VLOOKUP(C37,Lookup!$P$5:$R$6,3,0),1,D37+1)</f>
        <v>32</v>
      </c>
      <c r="E38" s="9" t="str">
        <f>IF(C38=Lookup!$P$5,INDEX('view-code'!$P$3:$P$502,'group-code'!D38),"")</f>
        <v xml:space="preserve">  name: "Environment"</v>
      </c>
      <c r="F38" s="9" t="str">
        <f>IF(C38=Lookup!$P$6,INDEX('card-code'!$P$3:$P$502,'group-code'!D38),"")</f>
        <v/>
      </c>
      <c r="G38" s="9" t="str">
        <f t="shared" si="1"/>
        <v xml:space="preserve">  name: "Environment"</v>
      </c>
      <c r="H38" s="9" t="str">
        <f>_xlfn.IFNA(IF(C38=Lookup!$Q$6,"END",""),"")</f>
        <v/>
      </c>
    </row>
    <row r="39" spans="2:8" x14ac:dyDescent="0.45">
      <c r="B39" s="9">
        <f t="shared" si="0"/>
        <v>34</v>
      </c>
      <c r="C39" s="9" t="str">
        <f>IF(D38=VLOOKUP(C38,Lookup!$P$5:$R$6,3,0),VLOOKUP(C38,Lookup!$P$5:$Q$6,2,0),C38)</f>
        <v>view</v>
      </c>
      <c r="D39" s="22">
        <f>IF(D38=VLOOKUP(C38,Lookup!$P$5:$R$6,3,0),1,D38+1)</f>
        <v>33</v>
      </c>
      <c r="E39" s="9" t="str">
        <f>IF(C39=Lookup!$P$5,INDEX('view-code'!$P$3:$P$502,'group-code'!D39),"")</f>
        <v xml:space="preserve">  icon: mdi:thermometer</v>
      </c>
      <c r="F39" s="9" t="str">
        <f>IF(C39=Lookup!$P$6,INDEX('card-code'!$P$3:$P$502,'group-code'!D39),"")</f>
        <v/>
      </c>
      <c r="G39" s="9" t="str">
        <f t="shared" si="1"/>
        <v xml:space="preserve">  icon: mdi:thermometer</v>
      </c>
      <c r="H39" s="9" t="str">
        <f>_xlfn.IFNA(IF(C39=Lookup!$Q$6,"END",""),"")</f>
        <v/>
      </c>
    </row>
    <row r="40" spans="2:8" x14ac:dyDescent="0.45">
      <c r="B40" s="9">
        <f t="shared" si="0"/>
        <v>35</v>
      </c>
      <c r="C40" s="9" t="str">
        <f>IF(D39=VLOOKUP(C39,Lookup!$P$5:$R$6,3,0),VLOOKUP(C39,Lookup!$P$5:$Q$6,2,0),C39)</f>
        <v>view</v>
      </c>
      <c r="D40" s="22">
        <f>IF(D39=VLOOKUP(C39,Lookup!$P$5:$R$6,3,0),1,D39+1)</f>
        <v>34</v>
      </c>
      <c r="E40" s="9" t="str">
        <f>IF(C40=Lookup!$P$5,INDEX('view-code'!$P$3:$P$502,'group-code'!D40),"")</f>
        <v xml:space="preserve">  entities:</v>
      </c>
      <c r="F40" s="9" t="str">
        <f>IF(C40=Lookup!$P$6,INDEX('card-code'!$P$3:$P$502,'group-code'!D40),"")</f>
        <v/>
      </c>
      <c r="G40" s="9" t="str">
        <f t="shared" si="1"/>
        <v xml:space="preserve">  entities:</v>
      </c>
      <c r="H40" s="9" t="str">
        <f>_xlfn.IFNA(IF(C40=Lookup!$Q$6,"END",""),"")</f>
        <v/>
      </c>
    </row>
    <row r="41" spans="2:8" x14ac:dyDescent="0.45">
      <c r="B41" s="9">
        <f t="shared" si="0"/>
        <v>36</v>
      </c>
      <c r="C41" s="9" t="str">
        <f>IF(D40=VLOOKUP(C40,Lookup!$P$5:$R$6,3,0),VLOOKUP(C40,Lookup!$P$5:$Q$6,2,0),C40)</f>
        <v>view</v>
      </c>
      <c r="D41" s="22">
        <f>IF(D40=VLOOKUP(C40,Lookup!$P$5:$R$6,3,0),1,D40+1)</f>
        <v>35</v>
      </c>
      <c r="E41" s="9" t="str">
        <f>IF(C41=Lookup!$P$5,INDEX('view-code'!$P$3:$P$502,'group-code'!D41),"")</f>
        <v xml:space="preserve">    - group.environment</v>
      </c>
      <c r="F41" s="9" t="str">
        <f>IF(C41=Lookup!$P$6,INDEX('card-code'!$P$3:$P$502,'group-code'!D41),"")</f>
        <v/>
      </c>
      <c r="G41" s="9" t="str">
        <f t="shared" si="1"/>
        <v xml:space="preserve">    - group.environment</v>
      </c>
      <c r="H41" s="9" t="str">
        <f>_xlfn.IFNA(IF(C41=Lookup!$Q$6,"END",""),"")</f>
        <v/>
      </c>
    </row>
    <row r="42" spans="2:8" x14ac:dyDescent="0.45">
      <c r="B42" s="9">
        <f t="shared" si="0"/>
        <v>37</v>
      </c>
      <c r="C42" s="9" t="str">
        <f>IF(D41=VLOOKUP(C41,Lookup!$P$5:$R$6,3,0),VLOOKUP(C41,Lookup!$P$5:$Q$6,2,0),C41)</f>
        <v>view</v>
      </c>
      <c r="D42" s="22">
        <f>IF(D41=VLOOKUP(C41,Lookup!$P$5:$R$6,3,0),1,D41+1)</f>
        <v>36</v>
      </c>
      <c r="E42" s="9" t="str">
        <f>IF(C42=Lookup!$P$5,INDEX('view-code'!$P$3:$P$502,'group-code'!D42),"")</f>
        <v xml:space="preserve">    - group.environment_living_room</v>
      </c>
      <c r="F42" s="9" t="str">
        <f>IF(C42=Lookup!$P$6,INDEX('card-code'!$P$3:$P$502,'group-code'!D42),"")</f>
        <v/>
      </c>
      <c r="G42" s="9" t="str">
        <f t="shared" si="1"/>
        <v xml:space="preserve">    - group.environment_living_room</v>
      </c>
      <c r="H42" s="9" t="str">
        <f>_xlfn.IFNA(IF(C42=Lookup!$Q$6,"END",""),"")</f>
        <v/>
      </c>
    </row>
    <row r="43" spans="2:8" x14ac:dyDescent="0.45">
      <c r="B43" s="9">
        <f t="shared" si="0"/>
        <v>38</v>
      </c>
      <c r="C43" s="9" t="str">
        <f>IF(D42=VLOOKUP(C42,Lookup!$P$5:$R$6,3,0),VLOOKUP(C42,Lookup!$P$5:$Q$6,2,0),C42)</f>
        <v>view</v>
      </c>
      <c r="D43" s="22">
        <f>IF(D42=VLOOKUP(C42,Lookup!$P$5:$R$6,3,0),1,D42+1)</f>
        <v>37</v>
      </c>
      <c r="E43" s="9" t="str">
        <f>IF(C43=Lookup!$P$5,INDEX('view-code'!$P$3:$P$502,'group-code'!D43),"")</f>
        <v/>
      </c>
      <c r="F43" s="9" t="str">
        <f>IF(C43=Lookup!$P$6,INDEX('card-code'!$P$3:$P$502,'group-code'!D43),"")</f>
        <v/>
      </c>
      <c r="G43" s="9" t="str">
        <f t="shared" si="1"/>
        <v/>
      </c>
      <c r="H43" s="9" t="str">
        <f>_xlfn.IFNA(IF(C43=Lookup!$Q$6,"END",""),"")</f>
        <v/>
      </c>
    </row>
    <row r="44" spans="2:8" x14ac:dyDescent="0.45">
      <c r="B44" s="9">
        <f t="shared" si="0"/>
        <v>39</v>
      </c>
      <c r="C44" s="9" t="str">
        <f>IF(D43=VLOOKUP(C43,Lookup!$P$5:$R$6,3,0),VLOOKUP(C43,Lookup!$P$5:$Q$6,2,0),C43)</f>
        <v>view</v>
      </c>
      <c r="D44" s="22">
        <f>IF(D43=VLOOKUP(C43,Lookup!$P$5:$R$6,3,0),1,D43+1)</f>
        <v>38</v>
      </c>
      <c r="E44" s="9" t="str">
        <f>IF(C44=Lookup!$P$5,INDEX('view-code'!$P$3:$P$502,'group-code'!D44),"")</f>
        <v>network_view:</v>
      </c>
      <c r="F44" s="9" t="str">
        <f>IF(C44=Lookup!$P$6,INDEX('card-code'!$P$3:$P$502,'group-code'!D44),"")</f>
        <v/>
      </c>
      <c r="G44" s="9" t="str">
        <f t="shared" si="1"/>
        <v>network_view:</v>
      </c>
      <c r="H44" s="9" t="str">
        <f>_xlfn.IFNA(IF(C44=Lookup!$Q$6,"END",""),"")</f>
        <v/>
      </c>
    </row>
    <row r="45" spans="2:8" x14ac:dyDescent="0.45">
      <c r="B45" s="9">
        <f t="shared" si="0"/>
        <v>40</v>
      </c>
      <c r="C45" s="9" t="str">
        <f>IF(D44=VLOOKUP(C44,Lookup!$P$5:$R$6,3,0),VLOOKUP(C44,Lookup!$P$5:$Q$6,2,0),C44)</f>
        <v>view</v>
      </c>
      <c r="D45" s="22">
        <f>IF(D44=VLOOKUP(C44,Lookup!$P$5:$R$6,3,0),1,D44+1)</f>
        <v>39</v>
      </c>
      <c r="E45" s="9" t="str">
        <f>IF(C45=Lookup!$P$5,INDEX('view-code'!$P$3:$P$502,'group-code'!D45),"")</f>
        <v xml:space="preserve">  view: yes</v>
      </c>
      <c r="F45" s="9" t="str">
        <f>IF(C45=Lookup!$P$6,INDEX('card-code'!$P$3:$P$502,'group-code'!D45),"")</f>
        <v/>
      </c>
      <c r="G45" s="9" t="str">
        <f t="shared" si="1"/>
        <v xml:space="preserve">  view: yes</v>
      </c>
      <c r="H45" s="9" t="str">
        <f>_xlfn.IFNA(IF(C45=Lookup!$Q$6,"END",""),"")</f>
        <v/>
      </c>
    </row>
    <row r="46" spans="2:8" x14ac:dyDescent="0.45">
      <c r="B46" s="9">
        <f t="shared" si="0"/>
        <v>41</v>
      </c>
      <c r="C46" s="9" t="str">
        <f>IF(D45=VLOOKUP(C45,Lookup!$P$5:$R$6,3,0),VLOOKUP(C45,Lookup!$P$5:$Q$6,2,0),C45)</f>
        <v>view</v>
      </c>
      <c r="D46" s="22">
        <f>IF(D45=VLOOKUP(C45,Lookup!$P$5:$R$6,3,0),1,D45+1)</f>
        <v>40</v>
      </c>
      <c r="E46" s="9" t="str">
        <f>IF(C46=Lookup!$P$5,INDEX('view-code'!$P$3:$P$502,'group-code'!D46),"")</f>
        <v xml:space="preserve">  name: "Network"</v>
      </c>
      <c r="F46" s="9" t="str">
        <f>IF(C46=Lookup!$P$6,INDEX('card-code'!$P$3:$P$502,'group-code'!D46),"")</f>
        <v/>
      </c>
      <c r="G46" s="9" t="str">
        <f t="shared" si="1"/>
        <v xml:space="preserve">  name: "Network"</v>
      </c>
      <c r="H46" s="9" t="str">
        <f>_xlfn.IFNA(IF(C46=Lookup!$Q$6,"END",""),"")</f>
        <v/>
      </c>
    </row>
    <row r="47" spans="2:8" x14ac:dyDescent="0.45">
      <c r="B47" s="9">
        <f t="shared" si="0"/>
        <v>42</v>
      </c>
      <c r="C47" s="9" t="str">
        <f>IF(D46=VLOOKUP(C46,Lookup!$P$5:$R$6,3,0),VLOOKUP(C46,Lookup!$P$5:$Q$6,2,0),C46)</f>
        <v>view</v>
      </c>
      <c r="D47" s="22">
        <f>IF(D46=VLOOKUP(C46,Lookup!$P$5:$R$6,3,0),1,D46+1)</f>
        <v>41</v>
      </c>
      <c r="E47" s="9" t="str">
        <f>IF(C47=Lookup!$P$5,INDEX('view-code'!$P$3:$P$502,'group-code'!D47),"")</f>
        <v xml:space="preserve">  icon: mdi:access-point-network</v>
      </c>
      <c r="F47" s="9" t="str">
        <f>IF(C47=Lookup!$P$6,INDEX('card-code'!$P$3:$P$502,'group-code'!D47),"")</f>
        <v/>
      </c>
      <c r="G47" s="9" t="str">
        <f t="shared" si="1"/>
        <v xml:space="preserve">  icon: mdi:access-point-network</v>
      </c>
      <c r="H47" s="9" t="str">
        <f>_xlfn.IFNA(IF(C47=Lookup!$Q$6,"END",""),"")</f>
        <v/>
      </c>
    </row>
    <row r="48" spans="2:8" x14ac:dyDescent="0.45">
      <c r="B48" s="9">
        <f t="shared" si="0"/>
        <v>43</v>
      </c>
      <c r="C48" s="9" t="str">
        <f>IF(D47=VLOOKUP(C47,Lookup!$P$5:$R$6,3,0),VLOOKUP(C47,Lookup!$P$5:$Q$6,2,0),C47)</f>
        <v>view</v>
      </c>
      <c r="D48" s="22">
        <f>IF(D47=VLOOKUP(C47,Lookup!$P$5:$R$6,3,0),1,D47+1)</f>
        <v>42</v>
      </c>
      <c r="E48" s="9" t="str">
        <f>IF(C48=Lookup!$P$5,INDEX('view-code'!$P$3:$P$502,'group-code'!D48),"")</f>
        <v xml:space="preserve">  entities:</v>
      </c>
      <c r="F48" s="9" t="str">
        <f>IF(C48=Lookup!$P$6,INDEX('card-code'!$P$3:$P$502,'group-code'!D48),"")</f>
        <v/>
      </c>
      <c r="G48" s="9" t="str">
        <f t="shared" si="1"/>
        <v xml:space="preserve">  entities:</v>
      </c>
      <c r="H48" s="9" t="str">
        <f>_xlfn.IFNA(IF(C48=Lookup!$Q$6,"END",""),"")</f>
        <v/>
      </c>
    </row>
    <row r="49" spans="2:8" x14ac:dyDescent="0.45">
      <c r="B49" s="9">
        <f t="shared" si="0"/>
        <v>44</v>
      </c>
      <c r="C49" s="9" t="str">
        <f>IF(D48=VLOOKUP(C48,Lookup!$P$5:$R$6,3,0),VLOOKUP(C48,Lookup!$P$5:$Q$6,2,0),C48)</f>
        <v>view</v>
      </c>
      <c r="D49" s="22">
        <f>IF(D48=VLOOKUP(C48,Lookup!$P$5:$R$6,3,0),1,D48+1)</f>
        <v>43</v>
      </c>
      <c r="E49" s="9" t="str">
        <f>IF(C49=Lookup!$P$5,INDEX('view-code'!$P$3:$P$502,'group-code'!D49),"")</f>
        <v xml:space="preserve">    - group.status</v>
      </c>
      <c r="F49" s="9" t="str">
        <f>IF(C49=Lookup!$P$6,INDEX('card-code'!$P$3:$P$502,'group-code'!D49),"")</f>
        <v/>
      </c>
      <c r="G49" s="9" t="str">
        <f t="shared" si="1"/>
        <v xml:space="preserve">    - group.status</v>
      </c>
      <c r="H49" s="9" t="str">
        <f>_xlfn.IFNA(IF(C49=Lookup!$Q$6,"END",""),"")</f>
        <v/>
      </c>
    </row>
    <row r="50" spans="2:8" x14ac:dyDescent="0.45">
      <c r="B50" s="9">
        <f t="shared" si="0"/>
        <v>45</v>
      </c>
      <c r="C50" s="9" t="str">
        <f>IF(D49=VLOOKUP(C49,Lookup!$P$5:$R$6,3,0),VLOOKUP(C49,Lookup!$P$5:$Q$6,2,0),C49)</f>
        <v>view</v>
      </c>
      <c r="D50" s="22">
        <f>IF(D49=VLOOKUP(C49,Lookup!$P$5:$R$6,3,0),1,D49+1)</f>
        <v>44</v>
      </c>
      <c r="E50" s="9" t="str">
        <f>IF(C50=Lookup!$P$5,INDEX('view-code'!$P$3:$P$502,'group-code'!D50),"")</f>
        <v xml:space="preserve">    - group.phones</v>
      </c>
      <c r="F50" s="9" t="str">
        <f>IF(C50=Lookup!$P$6,INDEX('card-code'!$P$3:$P$502,'group-code'!D50),"")</f>
        <v/>
      </c>
      <c r="G50" s="9" t="str">
        <f t="shared" si="1"/>
        <v xml:space="preserve">    - group.phones</v>
      </c>
      <c r="H50" s="9" t="str">
        <f>_xlfn.IFNA(IF(C50=Lookup!$Q$6,"END",""),"")</f>
        <v/>
      </c>
    </row>
    <row r="51" spans="2:8" x14ac:dyDescent="0.45">
      <c r="B51" s="9">
        <f t="shared" si="0"/>
        <v>46</v>
      </c>
      <c r="C51" s="9" t="str">
        <f>IF(D50=VLOOKUP(C50,Lookup!$P$5:$R$6,3,0),VLOOKUP(C50,Lookup!$P$5:$Q$6,2,0),C50)</f>
        <v>view</v>
      </c>
      <c r="D51" s="22">
        <f>IF(D50=VLOOKUP(C50,Lookup!$P$5:$R$6,3,0),1,D50+1)</f>
        <v>45</v>
      </c>
      <c r="E51" s="9" t="str">
        <f>IF(C51=Lookup!$P$5,INDEX('view-code'!$P$3:$P$502,'group-code'!D51),"")</f>
        <v xml:space="preserve">    - group.personal_devices</v>
      </c>
      <c r="F51" s="9" t="str">
        <f>IF(C51=Lookup!$P$6,INDEX('card-code'!$P$3:$P$502,'group-code'!D51),"")</f>
        <v/>
      </c>
      <c r="G51" s="9" t="str">
        <f t="shared" si="1"/>
        <v xml:space="preserve">    - group.personal_devices</v>
      </c>
      <c r="H51" s="9" t="str">
        <f>_xlfn.IFNA(IF(C51=Lookup!$Q$6,"END",""),"")</f>
        <v/>
      </c>
    </row>
    <row r="52" spans="2:8" x14ac:dyDescent="0.45">
      <c r="B52" s="9">
        <f t="shared" si="0"/>
        <v>47</v>
      </c>
      <c r="C52" s="9" t="str">
        <f>IF(D51=VLOOKUP(C51,Lookup!$P$5:$R$6,3,0),VLOOKUP(C51,Lookup!$P$5:$Q$6,2,0),C51)</f>
        <v>view</v>
      </c>
      <c r="D52" s="22">
        <f>IF(D51=VLOOKUP(C51,Lookup!$P$5:$R$6,3,0),1,D51+1)</f>
        <v>46</v>
      </c>
      <c r="E52" s="9" t="str">
        <f>IF(C52=Lookup!$P$5,INDEX('view-code'!$P$3:$P$502,'group-code'!D52),"")</f>
        <v xml:space="preserve">    - group.iot_devices</v>
      </c>
      <c r="F52" s="9" t="str">
        <f>IF(C52=Lookup!$P$6,INDEX('card-code'!$P$3:$P$502,'group-code'!D52),"")</f>
        <v/>
      </c>
      <c r="G52" s="9" t="str">
        <f t="shared" si="1"/>
        <v xml:space="preserve">    - group.iot_devices</v>
      </c>
      <c r="H52" s="9" t="str">
        <f>_xlfn.IFNA(IF(C52=Lookup!$Q$6,"END",""),"")</f>
        <v/>
      </c>
    </row>
    <row r="53" spans="2:8" x14ac:dyDescent="0.45">
      <c r="B53" s="9">
        <f t="shared" si="0"/>
        <v>48</v>
      </c>
      <c r="C53" s="9" t="str">
        <f>IF(D52=VLOOKUP(C52,Lookup!$P$5:$R$6,3,0),VLOOKUP(C52,Lookup!$P$5:$Q$6,2,0),C52)</f>
        <v>view</v>
      </c>
      <c r="D53" s="22">
        <f>IF(D52=VLOOKUP(C52,Lookup!$P$5:$R$6,3,0),1,D52+1)</f>
        <v>47</v>
      </c>
      <c r="E53" s="9" t="str">
        <f>IF(C53=Lookup!$P$5,INDEX('view-code'!$P$3:$P$502,'group-code'!D53),"")</f>
        <v xml:space="preserve">    - group.network</v>
      </c>
      <c r="F53" s="9" t="str">
        <f>IF(C53=Lookup!$P$6,INDEX('card-code'!$P$3:$P$502,'group-code'!D53),"")</f>
        <v/>
      </c>
      <c r="G53" s="9" t="str">
        <f t="shared" si="1"/>
        <v xml:space="preserve">    - group.network</v>
      </c>
      <c r="H53" s="9" t="str">
        <f>_xlfn.IFNA(IF(C53=Lookup!$Q$6,"END",""),"")</f>
        <v/>
      </c>
    </row>
    <row r="54" spans="2:8" x14ac:dyDescent="0.45">
      <c r="B54" s="9">
        <f t="shared" si="0"/>
        <v>49</v>
      </c>
      <c r="C54" s="9" t="str">
        <f>IF(D53=VLOOKUP(C53,Lookup!$P$5:$R$6,3,0),VLOOKUP(C53,Lookup!$P$5:$Q$6,2,0),C53)</f>
        <v>view</v>
      </c>
      <c r="D54" s="22">
        <f>IF(D53=VLOOKUP(C53,Lookup!$P$5:$R$6,3,0),1,D53+1)</f>
        <v>48</v>
      </c>
      <c r="E54" s="9" t="str">
        <f>IF(C54=Lookup!$P$5,INDEX('view-code'!$P$3:$P$502,'group-code'!D54),"")</f>
        <v xml:space="preserve">    - group.host_device</v>
      </c>
      <c r="F54" s="9" t="str">
        <f>IF(C54=Lookup!$P$6,INDEX('card-code'!$P$3:$P$502,'group-code'!D54),"")</f>
        <v/>
      </c>
      <c r="G54" s="9" t="str">
        <f t="shared" si="1"/>
        <v xml:space="preserve">    - group.host_device</v>
      </c>
      <c r="H54" s="9" t="str">
        <f>_xlfn.IFNA(IF(C54=Lookup!$Q$6,"END",""),"")</f>
        <v/>
      </c>
    </row>
    <row r="55" spans="2:8" x14ac:dyDescent="0.45">
      <c r="B55" s="9">
        <f t="shared" si="0"/>
        <v>50</v>
      </c>
      <c r="C55" s="9" t="str">
        <f>IF(D54=VLOOKUP(C54,Lookup!$P$5:$R$6,3,0),VLOOKUP(C54,Lookup!$P$5:$Q$6,2,0),C54)</f>
        <v>card</v>
      </c>
      <c r="D55" s="22">
        <f>IF(D54=VLOOKUP(C54,Lookup!$P$5:$R$6,3,0),1,D54+1)</f>
        <v>1</v>
      </c>
      <c r="E55" s="9" t="str">
        <f>IF(C55=Lookup!$P$5,INDEX('view-code'!$P$3:$P$502,'group-code'!D55),"")</f>
        <v/>
      </c>
      <c r="F55" s="9" t="str">
        <f>IF(C55=Lookup!$P$6,INDEX('card-code'!$P$3:$P$502,'group-code'!D55),"")</f>
        <v/>
      </c>
      <c r="G55" s="9" t="str">
        <f t="shared" si="1"/>
        <v/>
      </c>
      <c r="H55" s="9" t="str">
        <f>_xlfn.IFNA(IF(C55=Lookup!$Q$6,"END",""),"")</f>
        <v/>
      </c>
    </row>
    <row r="56" spans="2:8" x14ac:dyDescent="0.45">
      <c r="B56" s="9">
        <f t="shared" si="0"/>
        <v>51</v>
      </c>
      <c r="C56" s="9" t="str">
        <f>IF(D55=VLOOKUP(C55,Lookup!$P$5:$R$6,3,0),VLOOKUP(C55,Lookup!$P$5:$Q$6,2,0),C55)</f>
        <v>card</v>
      </c>
      <c r="D56" s="22">
        <f>IF(D55=VLOOKUP(C55,Lookup!$P$5:$R$6,3,0),1,D55+1)</f>
        <v>2</v>
      </c>
      <c r="E56" s="9" t="str">
        <f>IF(C56=Lookup!$P$5,INDEX('view-code'!$P$3:$P$502,'group-code'!D56),"")</f>
        <v/>
      </c>
      <c r="F56" s="9" t="str">
        <f>IF(C56=Lookup!$P$6,INDEX('card-code'!$P$3:$P$502,'group-code'!D56),"")</f>
        <v>## Card code</v>
      </c>
      <c r="G56" s="9" t="str">
        <f t="shared" si="1"/>
        <v>## Card code</v>
      </c>
      <c r="H56" s="9" t="str">
        <f>_xlfn.IFNA(IF(C56=Lookup!$Q$6,"END",""),"")</f>
        <v/>
      </c>
    </row>
    <row r="57" spans="2:8" x14ac:dyDescent="0.45">
      <c r="B57" s="9">
        <f t="shared" si="0"/>
        <v>52</v>
      </c>
      <c r="C57" s="9" t="str">
        <f>IF(D56=VLOOKUP(C56,Lookup!$P$5:$R$6,3,0),VLOOKUP(C56,Lookup!$P$5:$Q$6,2,0),C56)</f>
        <v>card</v>
      </c>
      <c r="D57" s="22">
        <f>IF(D56=VLOOKUP(C56,Lookup!$P$5:$R$6,3,0),1,D56+1)</f>
        <v>3</v>
      </c>
      <c r="E57" s="9" t="str">
        <f>IF(C57=Lookup!$P$5,INDEX('view-code'!$P$3:$P$502,'group-code'!D57),"")</f>
        <v/>
      </c>
      <c r="F57" s="9" t="str">
        <f>IF(C57=Lookup!$P$6,INDEX('card-code'!$P$3:$P$502,'group-code'!D57),"")</f>
        <v/>
      </c>
      <c r="G57" s="9" t="str">
        <f t="shared" si="1"/>
        <v/>
      </c>
      <c r="H57" s="9" t="str">
        <f>_xlfn.IFNA(IF(C57=Lookup!$Q$6,"END",""),"")</f>
        <v/>
      </c>
    </row>
    <row r="58" spans="2:8" x14ac:dyDescent="0.45">
      <c r="B58" s="9">
        <f t="shared" si="0"/>
        <v>53</v>
      </c>
      <c r="C58" s="9" t="str">
        <f>IF(D57=VLOOKUP(C57,Lookup!$P$5:$R$6,3,0),VLOOKUP(C57,Lookup!$P$5:$Q$6,2,0),C57)</f>
        <v>card</v>
      </c>
      <c r="D58" s="22">
        <f>IF(D57=VLOOKUP(C57,Lookup!$P$5:$R$6,3,0),1,D57+1)</f>
        <v>4</v>
      </c>
      <c r="E58" s="9" t="str">
        <f>IF(C58=Lookup!$P$5,INDEX('view-code'!$P$3:$P$502,'group-code'!D58),"")</f>
        <v/>
      </c>
      <c r="F58" s="9" t="str">
        <f>IF(C58=Lookup!$P$6,INDEX('card-code'!$P$3:$P$502,'group-code'!D58),"")</f>
        <v>automation_almclk:</v>
      </c>
      <c r="G58" s="9" t="str">
        <f t="shared" si="1"/>
        <v>automation_almclk:</v>
      </c>
      <c r="H58" s="9" t="str">
        <f>_xlfn.IFNA(IF(C58=Lookup!$Q$6,"END",""),"")</f>
        <v/>
      </c>
    </row>
    <row r="59" spans="2:8" x14ac:dyDescent="0.45">
      <c r="B59" s="9">
        <f t="shared" si="0"/>
        <v>54</v>
      </c>
      <c r="C59" s="9" t="str">
        <f>IF(D58=VLOOKUP(C58,Lookup!$P$5:$R$6,3,0),VLOOKUP(C58,Lookup!$P$5:$Q$6,2,0),C58)</f>
        <v>card</v>
      </c>
      <c r="D59" s="22">
        <f>IF(D58=VLOOKUP(C58,Lookup!$P$5:$R$6,3,0),1,D58+1)</f>
        <v>5</v>
      </c>
      <c r="E59" s="9" t="str">
        <f>IF(C59=Lookup!$P$5,INDEX('view-code'!$P$3:$P$502,'group-code'!D59),"")</f>
        <v/>
      </c>
      <c r="F59" s="9" t="str">
        <f>IF(C59=Lookup!$P$6,INDEX('card-code'!$P$3:$P$502,'group-code'!D59),"")</f>
        <v xml:space="preserve">  name: "Automation || Alarm Clock"</v>
      </c>
      <c r="G59" s="9" t="str">
        <f t="shared" si="1"/>
        <v xml:space="preserve">  name: "Automation || Alarm Clock"</v>
      </c>
      <c r="H59" s="9" t="str">
        <f>_xlfn.IFNA(IF(C59=Lookup!$Q$6,"END",""),"")</f>
        <v/>
      </c>
    </row>
    <row r="60" spans="2:8" x14ac:dyDescent="0.45">
      <c r="B60" s="9">
        <f t="shared" si="0"/>
        <v>55</v>
      </c>
      <c r="C60" s="9" t="str">
        <f>IF(D59=VLOOKUP(C59,Lookup!$P$5:$R$6,3,0),VLOOKUP(C59,Lookup!$P$5:$Q$6,2,0),C59)</f>
        <v>card</v>
      </c>
      <c r="D60" s="22">
        <f>IF(D59=VLOOKUP(C59,Lookup!$P$5:$R$6,3,0),1,D59+1)</f>
        <v>6</v>
      </c>
      <c r="E60" s="9" t="str">
        <f>IF(C60=Lookup!$P$5,INDEX('view-code'!$P$3:$P$502,'group-code'!D60),"")</f>
        <v/>
      </c>
      <c r="F60" s="9" t="str">
        <f>IF(C60=Lookup!$P$6,INDEX('card-code'!$P$3:$P$502,'group-code'!D60),"")</f>
        <v xml:space="preserve">  entities:</v>
      </c>
      <c r="G60" s="9" t="str">
        <f t="shared" si="1"/>
        <v xml:space="preserve">  entities:</v>
      </c>
      <c r="H60" s="9" t="str">
        <f>_xlfn.IFNA(IF(C60=Lookup!$Q$6,"END",""),"")</f>
        <v/>
      </c>
    </row>
    <row r="61" spans="2:8" x14ac:dyDescent="0.45">
      <c r="B61" s="9">
        <f t="shared" si="0"/>
        <v>56</v>
      </c>
      <c r="C61" s="9" t="str">
        <f>IF(D60=VLOOKUP(C60,Lookup!$P$5:$R$6,3,0),VLOOKUP(C60,Lookup!$P$5:$Q$6,2,0),C60)</f>
        <v>card</v>
      </c>
      <c r="D61" s="22">
        <f>IF(D60=VLOOKUP(C60,Lookup!$P$5:$R$6,3,0),1,D60+1)</f>
        <v>7</v>
      </c>
      <c r="E61" s="9" t="str">
        <f>IF(C61=Lookup!$P$5,INDEX('view-code'!$P$3:$P$502,'group-code'!D61),"")</f>
        <v/>
      </c>
      <c r="F61" s="9" t="str">
        <f>IF(C61=Lookup!$P$6,INDEX('card-code'!$P$3:$P$502,'group-code'!D61),"")</f>
        <v xml:space="preserve">    - automation.almclk_wake_up_script_triggered_by_alarm_clock</v>
      </c>
      <c r="G61" s="9" t="str">
        <f t="shared" si="1"/>
        <v xml:space="preserve">    - automation.almclk_wake_up_script_triggered_by_alarm_clock</v>
      </c>
      <c r="H61" s="9" t="str">
        <f>_xlfn.IFNA(IF(C61=Lookup!$Q$6,"END",""),"")</f>
        <v/>
      </c>
    </row>
    <row r="62" spans="2:8" x14ac:dyDescent="0.45">
      <c r="B62" s="9">
        <f t="shared" si="0"/>
        <v>57</v>
      </c>
      <c r="C62" s="9" t="str">
        <f>IF(D61=VLOOKUP(C61,Lookup!$P$5:$R$6,3,0),VLOOKUP(C61,Lookup!$P$5:$Q$6,2,0),C61)</f>
        <v>card</v>
      </c>
      <c r="D62" s="22">
        <f>IF(D61=VLOOKUP(C61,Lookup!$P$5:$R$6,3,0),1,D61+1)</f>
        <v>8</v>
      </c>
      <c r="E62" s="9" t="str">
        <f>IF(C62=Lookup!$P$5,INDEX('view-code'!$P$3:$P$502,'group-code'!D62),"")</f>
        <v/>
      </c>
      <c r="F62" s="9" t="str">
        <f>IF(C62=Lookup!$P$6,INDEX('card-code'!$P$3:$P$502,'group-code'!D62),"")</f>
        <v/>
      </c>
      <c r="G62" s="9" t="str">
        <f t="shared" si="1"/>
        <v/>
      </c>
      <c r="H62" s="9" t="str">
        <f>_xlfn.IFNA(IF(C62=Lookup!$Q$6,"END",""),"")</f>
        <v/>
      </c>
    </row>
    <row r="63" spans="2:8" x14ac:dyDescent="0.45">
      <c r="B63" s="9">
        <f t="shared" si="0"/>
        <v>58</v>
      </c>
      <c r="C63" s="9" t="str">
        <f>IF(D62=VLOOKUP(C62,Lookup!$P$5:$R$6,3,0),VLOOKUP(C62,Lookup!$P$5:$Q$6,2,0),C62)</f>
        <v>card</v>
      </c>
      <c r="D63" s="22">
        <f>IF(D62=VLOOKUP(C62,Lookup!$P$5:$R$6,3,0),1,D62+1)</f>
        <v>9</v>
      </c>
      <c r="E63" s="9" t="str">
        <f>IF(C63=Lookup!$P$5,INDEX('view-code'!$P$3:$P$502,'group-code'!D63),"")</f>
        <v/>
      </c>
      <c r="F63" s="9" t="str">
        <f>IF(C63=Lookup!$P$6,INDEX('card-code'!$P$3:$P$502,'group-code'!D63),"")</f>
        <v>automation_locaway:</v>
      </c>
      <c r="G63" s="9" t="str">
        <f t="shared" si="1"/>
        <v>automation_locaway:</v>
      </c>
      <c r="H63" s="9" t="str">
        <f>_xlfn.IFNA(IF(C63=Lookup!$Q$6,"END",""),"")</f>
        <v/>
      </c>
    </row>
    <row r="64" spans="2:8" x14ac:dyDescent="0.45">
      <c r="B64" s="9">
        <f t="shared" si="0"/>
        <v>59</v>
      </c>
      <c r="C64" s="9" t="str">
        <f>IF(D63=VLOOKUP(C63,Lookup!$P$5:$R$6,3,0),VLOOKUP(C63,Lookup!$P$5:$Q$6,2,0),C63)</f>
        <v>card</v>
      </c>
      <c r="D64" s="22">
        <f>IF(D63=VLOOKUP(C63,Lookup!$P$5:$R$6,3,0),1,D63+1)</f>
        <v>10</v>
      </c>
      <c r="E64" s="9" t="str">
        <f>IF(C64=Lookup!$P$5,INDEX('view-code'!$P$3:$P$502,'group-code'!D64),"")</f>
        <v/>
      </c>
      <c r="F64" s="9" t="str">
        <f>IF(C64=Lookup!$P$6,INDEX('card-code'!$P$3:$P$502,'group-code'!D64),"")</f>
        <v xml:space="preserve">  name: "Automation || Away"</v>
      </c>
      <c r="G64" s="9" t="str">
        <f t="shared" si="1"/>
        <v xml:space="preserve">  name: "Automation || Away"</v>
      </c>
      <c r="H64" s="9" t="str">
        <f>_xlfn.IFNA(IF(C64=Lookup!$Q$6,"END",""),"")</f>
        <v/>
      </c>
    </row>
    <row r="65" spans="2:8" x14ac:dyDescent="0.45">
      <c r="B65" s="9">
        <f t="shared" si="0"/>
        <v>60</v>
      </c>
      <c r="C65" s="9" t="str">
        <f>IF(D64=VLOOKUP(C64,Lookup!$P$5:$R$6,3,0),VLOOKUP(C64,Lookup!$P$5:$Q$6,2,0),C64)</f>
        <v>card</v>
      </c>
      <c r="D65" s="22">
        <f>IF(D64=VLOOKUP(C64,Lookup!$P$5:$R$6,3,0),1,D64+1)</f>
        <v>11</v>
      </c>
      <c r="E65" s="9" t="str">
        <f>IF(C65=Lookup!$P$5,INDEX('view-code'!$P$3:$P$502,'group-code'!D65),"")</f>
        <v/>
      </c>
      <c r="F65" s="9" t="str">
        <f>IF(C65=Lookup!$P$6,INDEX('card-code'!$P$3:$P$502,'group-code'!D65),"")</f>
        <v xml:space="preserve">  entities:</v>
      </c>
      <c r="G65" s="9" t="str">
        <f t="shared" si="1"/>
        <v xml:space="preserve">  entities:</v>
      </c>
      <c r="H65" s="9" t="str">
        <f>_xlfn.IFNA(IF(C65=Lookup!$Q$6,"END",""),"")</f>
        <v/>
      </c>
    </row>
    <row r="66" spans="2:8" x14ac:dyDescent="0.45">
      <c r="B66" s="9">
        <f t="shared" si="0"/>
        <v>61</v>
      </c>
      <c r="C66" s="9" t="str">
        <f>IF(D65=VLOOKUP(C65,Lookup!$P$5:$R$6,3,0),VLOOKUP(C65,Lookup!$P$5:$Q$6,2,0),C65)</f>
        <v>card</v>
      </c>
      <c r="D66" s="22">
        <f>IF(D65=VLOOKUP(C65,Lookup!$P$5:$R$6,3,0),1,D65+1)</f>
        <v>12</v>
      </c>
      <c r="E66" s="9" t="str">
        <f>IF(C66=Lookup!$P$5,INDEX('view-code'!$P$3:$P$502,'group-code'!D66),"")</f>
        <v/>
      </c>
      <c r="F66" s="9" t="str">
        <f>IF(C66=Lookup!$P$6,INDEX('card-code'!$P$3:$P$502,'group-code'!D66),"")</f>
        <v xml:space="preserve">    - automation.locaway_devices_in_bedroom_off_when_at_the_computer</v>
      </c>
      <c r="G66" s="9" t="str">
        <f t="shared" si="1"/>
        <v xml:space="preserve">    - automation.locaway_devices_in_bedroom_off_when_at_the_computer</v>
      </c>
      <c r="H66" s="9" t="str">
        <f>_xlfn.IFNA(IF(C66=Lookup!$Q$6,"END",""),"")</f>
        <v/>
      </c>
    </row>
    <row r="67" spans="2:8" x14ac:dyDescent="0.45">
      <c r="B67" s="9">
        <f t="shared" si="0"/>
        <v>62</v>
      </c>
      <c r="C67" s="9" t="str">
        <f>IF(D66=VLOOKUP(C66,Lookup!$P$5:$R$6,3,0),VLOOKUP(C66,Lookup!$P$5:$Q$6,2,0),C66)</f>
        <v>card</v>
      </c>
      <c r="D67" s="22">
        <f>IF(D66=VLOOKUP(C66,Lookup!$P$5:$R$6,3,0),1,D66+1)</f>
        <v>13</v>
      </c>
      <c r="E67" s="9" t="str">
        <f>IF(C67=Lookup!$P$5,INDEX('view-code'!$P$3:$P$502,'group-code'!D67),"")</f>
        <v/>
      </c>
      <c r="F67" s="9" t="str">
        <f>IF(C67=Lookup!$P$6,INDEX('card-code'!$P$3:$P$502,'group-code'!D67),"")</f>
        <v xml:space="preserve">    - automation.locaway_devices_off_when_away</v>
      </c>
      <c r="G67" s="9" t="str">
        <f t="shared" si="1"/>
        <v xml:space="preserve">    - automation.locaway_devices_off_when_away</v>
      </c>
      <c r="H67" s="9" t="str">
        <f>_xlfn.IFNA(IF(C67=Lookup!$Q$6,"END",""),"")</f>
        <v/>
      </c>
    </row>
    <row r="68" spans="2:8" x14ac:dyDescent="0.45">
      <c r="B68" s="9">
        <f t="shared" si="0"/>
        <v>63</v>
      </c>
      <c r="C68" s="9" t="str">
        <f>IF(D67=VLOOKUP(C67,Lookup!$P$5:$R$6,3,0),VLOOKUP(C67,Lookup!$P$5:$Q$6,2,0),C67)</f>
        <v>card</v>
      </c>
      <c r="D68" s="22">
        <f>IF(D67=VLOOKUP(C67,Lookup!$P$5:$R$6,3,0),1,D67+1)</f>
        <v>14</v>
      </c>
      <c r="E68" s="9" t="str">
        <f>IF(C68=Lookup!$P$5,INDEX('view-code'!$P$3:$P$502,'group-code'!D68),"")</f>
        <v/>
      </c>
      <c r="F68" s="9" t="str">
        <f>IF(C68=Lookup!$P$6,INDEX('card-code'!$P$3:$P$502,'group-code'!D68),"")</f>
        <v xml:space="preserve">    - automation.locaway_devices_on_desk_off_when_leave_the_computer</v>
      </c>
      <c r="G68" s="9" t="str">
        <f t="shared" si="1"/>
        <v xml:space="preserve">    - automation.locaway_devices_on_desk_off_when_leave_the_computer</v>
      </c>
      <c r="H68" s="9" t="str">
        <f>_xlfn.IFNA(IF(C68=Lookup!$Q$6,"END",""),"")</f>
        <v/>
      </c>
    </row>
    <row r="69" spans="2:8" x14ac:dyDescent="0.45">
      <c r="B69" s="9">
        <f t="shared" si="0"/>
        <v>64</v>
      </c>
      <c r="C69" s="9" t="str">
        <f>IF(D68=VLOOKUP(C68,Lookup!$P$5:$R$6,3,0),VLOOKUP(C68,Lookup!$P$5:$Q$6,2,0),C68)</f>
        <v>card</v>
      </c>
      <c r="D69" s="22">
        <f>IF(D68=VLOOKUP(C68,Lookup!$P$5:$R$6,3,0),1,D68+1)</f>
        <v>15</v>
      </c>
      <c r="E69" s="9" t="str">
        <f>IF(C69=Lookup!$P$5,INDEX('view-code'!$P$3:$P$502,'group-code'!D69),"")</f>
        <v/>
      </c>
      <c r="F69" s="9" t="str">
        <f>IF(C69=Lookup!$P$6,INDEX('card-code'!$P$3:$P$502,'group-code'!D69),"")</f>
        <v/>
      </c>
      <c r="G69" s="9" t="str">
        <f t="shared" si="1"/>
        <v/>
      </c>
      <c r="H69" s="9" t="str">
        <f>_xlfn.IFNA(IF(C69=Lookup!$Q$6,"END",""),"")</f>
        <v/>
      </c>
    </row>
    <row r="70" spans="2:8" x14ac:dyDescent="0.45">
      <c r="B70" s="9">
        <f t="shared" si="0"/>
        <v>65</v>
      </c>
      <c r="C70" s="9" t="str">
        <f>IF(D69=VLOOKUP(C69,Lookup!$P$5:$R$6,3,0),VLOOKUP(C69,Lookup!$P$5:$Q$6,2,0),C69)</f>
        <v>card</v>
      </c>
      <c r="D70" s="22">
        <f>IF(D69=VLOOKUP(C69,Lookup!$P$5:$R$6,3,0),1,D69+1)</f>
        <v>16</v>
      </c>
      <c r="E70" s="9" t="str">
        <f>IF(C70=Lookup!$P$5,INDEX('view-code'!$P$3:$P$502,'group-code'!D70),"")</f>
        <v/>
      </c>
      <c r="F70" s="9" t="str">
        <f>IF(C70=Lookup!$P$6,INDEX('card-code'!$P$3:$P$502,'group-code'!D70),"")</f>
        <v>automation_not:</v>
      </c>
      <c r="G70" s="9" t="str">
        <f t="shared" si="1"/>
        <v>automation_not:</v>
      </c>
      <c r="H70" s="9" t="str">
        <f>_xlfn.IFNA(IF(C70=Lookup!$Q$6,"END",""),"")</f>
        <v/>
      </c>
    </row>
    <row r="71" spans="2:8" x14ac:dyDescent="0.45">
      <c r="B71" s="9">
        <f t="shared" si="0"/>
        <v>66</v>
      </c>
      <c r="C71" s="9" t="str">
        <f>IF(D70=VLOOKUP(C70,Lookup!$P$5:$R$6,3,0),VLOOKUP(C70,Lookup!$P$5:$Q$6,2,0),C70)</f>
        <v>card</v>
      </c>
      <c r="D71" s="22">
        <f>IF(D70=VLOOKUP(C70,Lookup!$P$5:$R$6,3,0),1,D70+1)</f>
        <v>17</v>
      </c>
      <c r="E71" s="9" t="str">
        <f>IF(C71=Lookup!$P$5,INDEX('view-code'!$P$3:$P$502,'group-code'!D71),"")</f>
        <v/>
      </c>
      <c r="F71" s="9" t="str">
        <f>IF(C71=Lookup!$P$6,INDEX('card-code'!$P$3:$P$502,'group-code'!D71),"")</f>
        <v xml:space="preserve">  name: "Automation || Notifications"</v>
      </c>
      <c r="G71" s="9" t="str">
        <f t="shared" si="1"/>
        <v xml:space="preserve">  name: "Automation || Notifications"</v>
      </c>
      <c r="H71" s="9" t="str">
        <f>_xlfn.IFNA(IF(C71=Lookup!$Q$6,"END",""),"")</f>
        <v/>
      </c>
    </row>
    <row r="72" spans="2:8" x14ac:dyDescent="0.45">
      <c r="B72" s="9">
        <f t="shared" ref="B72:B135" si="2">B71+1</f>
        <v>67</v>
      </c>
      <c r="C72" s="9" t="str">
        <f>IF(D71=VLOOKUP(C71,Lookup!$P$5:$R$6,3,0),VLOOKUP(C71,Lookup!$P$5:$Q$6,2,0),C71)</f>
        <v>card</v>
      </c>
      <c r="D72" s="22">
        <f>IF(D71=VLOOKUP(C71,Lookup!$P$5:$R$6,3,0),1,D71+1)</f>
        <v>18</v>
      </c>
      <c r="E72" s="9" t="str">
        <f>IF(C72=Lookup!$P$5,INDEX('view-code'!$P$3:$P$502,'group-code'!D72),"")</f>
        <v/>
      </c>
      <c r="F72" s="9" t="str">
        <f>IF(C72=Lookup!$P$6,INDEX('card-code'!$P$3:$P$502,'group-code'!D72),"")</f>
        <v xml:space="preserve">  entities:</v>
      </c>
      <c r="G72" s="9" t="str">
        <f t="shared" ref="G72:G135" si="3">_xlfn.IFNA(  E72&amp;F72,  "")</f>
        <v xml:space="preserve">  entities:</v>
      </c>
      <c r="H72" s="9" t="str">
        <f>_xlfn.IFNA(IF(C72=Lookup!$Q$6,"END",""),"")</f>
        <v/>
      </c>
    </row>
    <row r="73" spans="2:8" x14ac:dyDescent="0.45">
      <c r="B73" s="9">
        <f t="shared" si="2"/>
        <v>68</v>
      </c>
      <c r="C73" s="9" t="str">
        <f>IF(D72=VLOOKUP(C72,Lookup!$P$5:$R$6,3,0),VLOOKUP(C72,Lookup!$P$5:$Q$6,2,0),C72)</f>
        <v>card</v>
      </c>
      <c r="D73" s="22">
        <f>IF(D72=VLOOKUP(C72,Lookup!$P$5:$R$6,3,0),1,D72+1)</f>
        <v>19</v>
      </c>
      <c r="E73" s="9" t="str">
        <f>IF(C73=Lookup!$P$5,INDEX('view-code'!$P$3:$P$502,'group-code'!D73),"")</f>
        <v/>
      </c>
      <c r="F73" s="9" t="str">
        <f>IF(C73=Lookup!$P$6,INDEX('card-code'!$P$3:$P$502,'group-code'!D73),"")</f>
        <v xml:space="preserve">    - automation.not_notification_when_humvee_left_on</v>
      </c>
      <c r="G73" s="9" t="str">
        <f t="shared" si="3"/>
        <v xml:space="preserve">    - automation.not_notification_when_humvee_left_on</v>
      </c>
      <c r="H73" s="9" t="str">
        <f>_xlfn.IFNA(IF(C73=Lookup!$Q$6,"END",""),"")</f>
        <v/>
      </c>
    </row>
    <row r="74" spans="2:8" x14ac:dyDescent="0.45">
      <c r="B74" s="9">
        <f t="shared" si="2"/>
        <v>69</v>
      </c>
      <c r="C74" s="9" t="str">
        <f>IF(D73=VLOOKUP(C73,Lookup!$P$5:$R$6,3,0),VLOOKUP(C73,Lookup!$P$5:$Q$6,2,0),C73)</f>
        <v>card</v>
      </c>
      <c r="D74" s="22">
        <f>IF(D73=VLOOKUP(C73,Lookup!$P$5:$R$6,3,0),1,D73+1)</f>
        <v>20</v>
      </c>
      <c r="E74" s="9" t="str">
        <f>IF(C74=Lookup!$P$5,INDEX('view-code'!$P$3:$P$502,'group-code'!D74),"")</f>
        <v/>
      </c>
      <c r="F74" s="9" t="str">
        <f>IF(C74=Lookup!$P$6,INDEX('card-code'!$P$3:$P$502,'group-code'!D74),"")</f>
        <v xml:space="preserve">    - automation.not_notification_when_multisensor_battery_is_low</v>
      </c>
      <c r="G74" s="9" t="str">
        <f t="shared" si="3"/>
        <v xml:space="preserve">    - automation.not_notification_when_multisensor_battery_is_low</v>
      </c>
      <c r="H74" s="9" t="str">
        <f>_xlfn.IFNA(IF(C74=Lookup!$Q$6,"END",""),"")</f>
        <v/>
      </c>
    </row>
    <row r="75" spans="2:8" x14ac:dyDescent="0.45">
      <c r="B75" s="9">
        <f t="shared" si="2"/>
        <v>70</v>
      </c>
      <c r="C75" s="9" t="str">
        <f>IF(D74=VLOOKUP(C74,Lookup!$P$5:$R$6,3,0),VLOOKUP(C74,Lookup!$P$5:$Q$6,2,0),C74)</f>
        <v>card</v>
      </c>
      <c r="D75" s="22">
        <f>IF(D74=VLOOKUP(C74,Lookup!$P$5:$R$6,3,0),1,D74+1)</f>
        <v>21</v>
      </c>
      <c r="E75" s="9" t="str">
        <f>IF(C75=Lookup!$P$5,INDEX('view-code'!$P$3:$P$502,'group-code'!D75),"")</f>
        <v/>
      </c>
      <c r="F75" s="9" t="str">
        <f>IF(C75=Lookup!$P$6,INDEX('card-code'!$P$3:$P$502,'group-code'!D75),"")</f>
        <v xml:space="preserve">    - automation.not_notification_when_tank_turns_off</v>
      </c>
      <c r="G75" s="9" t="str">
        <f t="shared" si="3"/>
        <v xml:space="preserve">    - automation.not_notification_when_tank_turns_off</v>
      </c>
      <c r="H75" s="9" t="str">
        <f>_xlfn.IFNA(IF(C75=Lookup!$Q$6,"END",""),"")</f>
        <v/>
      </c>
    </row>
    <row r="76" spans="2:8" x14ac:dyDescent="0.45">
      <c r="B76" s="9">
        <f t="shared" si="2"/>
        <v>71</v>
      </c>
      <c r="C76" s="9" t="str">
        <f>IF(D75=VLOOKUP(C75,Lookup!$P$5:$R$6,3,0),VLOOKUP(C75,Lookup!$P$5:$Q$6,2,0),C75)</f>
        <v>card</v>
      </c>
      <c r="D76" s="22">
        <f>IF(D75=VLOOKUP(C75,Lookup!$P$5:$R$6,3,0),1,D75+1)</f>
        <v>22</v>
      </c>
      <c r="E76" s="9" t="str">
        <f>IF(C76=Lookup!$P$5,INDEX('view-code'!$P$3:$P$502,'group-code'!D76),"")</f>
        <v/>
      </c>
      <c r="F76" s="9" t="str">
        <f>IF(C76=Lookup!$P$6,INDEX('card-code'!$P$3:$P$502,'group-code'!D76),"")</f>
        <v xml:space="preserve">    - automation.not_speed_test_record</v>
      </c>
      <c r="G76" s="9" t="str">
        <f t="shared" si="3"/>
        <v xml:space="preserve">    - automation.not_speed_test_record</v>
      </c>
      <c r="H76" s="9" t="str">
        <f>_xlfn.IFNA(IF(C76=Lookup!$Q$6,"END",""),"")</f>
        <v/>
      </c>
    </row>
    <row r="77" spans="2:8" x14ac:dyDescent="0.45">
      <c r="B77" s="9">
        <f t="shared" si="2"/>
        <v>72</v>
      </c>
      <c r="C77" s="9" t="str">
        <f>IF(D76=VLOOKUP(C76,Lookup!$P$5:$R$6,3,0),VLOOKUP(C76,Lookup!$P$5:$Q$6,2,0),C76)</f>
        <v>card</v>
      </c>
      <c r="D77" s="22">
        <f>IF(D76=VLOOKUP(C76,Lookup!$P$5:$R$6,3,0),1,D76+1)</f>
        <v>23</v>
      </c>
      <c r="E77" s="9" t="str">
        <f>IF(C77=Lookup!$P$5,INDEX('view-code'!$P$3:$P$502,'group-code'!D77),"")</f>
        <v/>
      </c>
      <c r="F77" s="9" t="str">
        <f>IF(C77=Lookup!$P$6,INDEX('card-code'!$P$3:$P$502,'group-code'!D77),"")</f>
        <v/>
      </c>
      <c r="G77" s="9" t="str">
        <f t="shared" si="3"/>
        <v/>
      </c>
      <c r="H77" s="9" t="str">
        <f>_xlfn.IFNA(IF(C77=Lookup!$Q$6,"END",""),"")</f>
        <v/>
      </c>
    </row>
    <row r="78" spans="2:8" x14ac:dyDescent="0.45">
      <c r="B78" s="9">
        <f t="shared" si="2"/>
        <v>73</v>
      </c>
      <c r="C78" s="9" t="str">
        <f>IF(D77=VLOOKUP(C77,Lookup!$P$5:$R$6,3,0),VLOOKUP(C77,Lookup!$P$5:$Q$6,2,0),C77)</f>
        <v>card</v>
      </c>
      <c r="D78" s="22">
        <f>IF(D77=VLOOKUP(C77,Lookup!$P$5:$R$6,3,0),1,D77+1)</f>
        <v>24</v>
      </c>
      <c r="E78" s="9" t="str">
        <f>IF(C78=Lookup!$P$5,INDEX('view-code'!$P$3:$P$502,'group-code'!D78),"")</f>
        <v/>
      </c>
      <c r="F78" s="9" t="str">
        <f>IF(C78=Lookup!$P$6,INDEX('card-code'!$P$3:$P$502,'group-code'!D78),"")</f>
        <v>automation_rmbd:</v>
      </c>
      <c r="G78" s="9" t="str">
        <f t="shared" si="3"/>
        <v>automation_rmbd:</v>
      </c>
      <c r="H78" s="9" t="str">
        <f>_xlfn.IFNA(IF(C78=Lookup!$Q$6,"END",""),"")</f>
        <v/>
      </c>
    </row>
    <row r="79" spans="2:8" x14ac:dyDescent="0.45">
      <c r="B79" s="9">
        <f t="shared" si="2"/>
        <v>74</v>
      </c>
      <c r="C79" s="9" t="str">
        <f>IF(D78=VLOOKUP(C78,Lookup!$P$5:$R$6,3,0),VLOOKUP(C78,Lookup!$P$5:$Q$6,2,0),C78)</f>
        <v>card</v>
      </c>
      <c r="D79" s="22">
        <f>IF(D78=VLOOKUP(C78,Lookup!$P$5:$R$6,3,0),1,D78+1)</f>
        <v>25</v>
      </c>
      <c r="E79" s="9" t="str">
        <f>IF(C79=Lookup!$P$5,INDEX('view-code'!$P$3:$P$502,'group-code'!D79),"")</f>
        <v/>
      </c>
      <c r="F79" s="9" t="str">
        <f>IF(C79=Lookup!$P$6,INDEX('card-code'!$P$3:$P$502,'group-code'!D79),"")</f>
        <v xml:space="preserve">  name: "Automation || Bedroom"</v>
      </c>
      <c r="G79" s="9" t="str">
        <f t="shared" si="3"/>
        <v xml:space="preserve">  name: "Automation || Bedroom"</v>
      </c>
      <c r="H79" s="9" t="str">
        <f>_xlfn.IFNA(IF(C79=Lookup!$Q$6,"END",""),"")</f>
        <v/>
      </c>
    </row>
    <row r="80" spans="2:8" x14ac:dyDescent="0.45">
      <c r="B80" s="9">
        <f t="shared" si="2"/>
        <v>75</v>
      </c>
      <c r="C80" s="9" t="str">
        <f>IF(D79=VLOOKUP(C79,Lookup!$P$5:$R$6,3,0),VLOOKUP(C79,Lookup!$P$5:$Q$6,2,0),C79)</f>
        <v>card</v>
      </c>
      <c r="D80" s="22">
        <f>IF(D79=VLOOKUP(C79,Lookup!$P$5:$R$6,3,0),1,D79+1)</f>
        <v>26</v>
      </c>
      <c r="E80" s="9" t="str">
        <f>IF(C80=Lookup!$P$5,INDEX('view-code'!$P$3:$P$502,'group-code'!D80),"")</f>
        <v/>
      </c>
      <c r="F80" s="9" t="str">
        <f>IF(C80=Lookup!$P$6,INDEX('card-code'!$P$3:$P$502,'group-code'!D80),"")</f>
        <v xml:space="preserve">  entities:</v>
      </c>
      <c r="G80" s="9" t="str">
        <f t="shared" si="3"/>
        <v xml:space="preserve">  entities:</v>
      </c>
      <c r="H80" s="9" t="str">
        <f>_xlfn.IFNA(IF(C80=Lookup!$Q$6,"END",""),"")</f>
        <v/>
      </c>
    </row>
    <row r="81" spans="2:8" x14ac:dyDescent="0.45">
      <c r="B81" s="9">
        <f t="shared" si="2"/>
        <v>76</v>
      </c>
      <c r="C81" s="9" t="str">
        <f>IF(D80=VLOOKUP(C80,Lookup!$P$5:$R$6,3,0),VLOOKUP(C80,Lookup!$P$5:$Q$6,2,0),C80)</f>
        <v>card</v>
      </c>
      <c r="D81" s="22">
        <f>IF(D80=VLOOKUP(C80,Lookup!$P$5:$R$6,3,0),1,D80+1)</f>
        <v>27</v>
      </c>
      <c r="E81" s="9" t="str">
        <f>IF(C81=Lookup!$P$5,INDEX('view-code'!$P$3:$P$502,'group-code'!D81),"")</f>
        <v/>
      </c>
      <c r="F81" s="9" t="str">
        <f>IF(C81=Lookup!$P$6,INDEX('card-code'!$P$3:$P$502,'group-code'!D81),"")</f>
        <v xml:space="preserve">    - automation.rmbd_fan_off_at_12_pm</v>
      </c>
      <c r="G81" s="9" t="str">
        <f t="shared" si="3"/>
        <v xml:space="preserve">    - automation.rmbd_fan_off_at_12_pm</v>
      </c>
      <c r="H81" s="9" t="str">
        <f>_xlfn.IFNA(IF(C81=Lookup!$Q$6,"END",""),"")</f>
        <v/>
      </c>
    </row>
    <row r="82" spans="2:8" x14ac:dyDescent="0.45">
      <c r="B82" s="9">
        <f t="shared" si="2"/>
        <v>77</v>
      </c>
      <c r="C82" s="9" t="str">
        <f>IF(D81=VLOOKUP(C81,Lookup!$P$5:$R$6,3,0),VLOOKUP(C81,Lookup!$P$5:$Q$6,2,0),C81)</f>
        <v>card</v>
      </c>
      <c r="D82" s="22">
        <f>IF(D81=VLOOKUP(C81,Lookup!$P$5:$R$6,3,0),1,D81+1)</f>
        <v>28</v>
      </c>
      <c r="E82" s="9" t="str">
        <f>IF(C82=Lookup!$P$5,INDEX('view-code'!$P$3:$P$502,'group-code'!D82),"")</f>
        <v/>
      </c>
      <c r="F82" s="9" t="str">
        <f>IF(C82=Lookup!$P$6,INDEX('card-code'!$P$3:$P$502,'group-code'!D82),"")</f>
        <v xml:space="preserve">    - automation.rmbd_one_bulb_off_at_sunset</v>
      </c>
      <c r="G82" s="9" t="str">
        <f t="shared" si="3"/>
        <v xml:space="preserve">    - automation.rmbd_one_bulb_off_at_sunset</v>
      </c>
      <c r="H82" s="9" t="str">
        <f>_xlfn.IFNA(IF(C82=Lookup!$Q$6,"END",""),"")</f>
        <v/>
      </c>
    </row>
    <row r="83" spans="2:8" x14ac:dyDescent="0.45">
      <c r="B83" s="9">
        <f t="shared" si="2"/>
        <v>78</v>
      </c>
      <c r="C83" s="9" t="str">
        <f>IF(D82=VLOOKUP(C82,Lookup!$P$5:$R$6,3,0),VLOOKUP(C82,Lookup!$P$5:$Q$6,2,0),C82)</f>
        <v>card</v>
      </c>
      <c r="D83" s="22">
        <f>IF(D82=VLOOKUP(C82,Lookup!$P$5:$R$6,3,0),1,D82+1)</f>
        <v>29</v>
      </c>
      <c r="E83" s="9" t="str">
        <f>IF(C83=Lookup!$P$5,INDEX('view-code'!$P$3:$P$502,'group-code'!D83),"")</f>
        <v/>
      </c>
      <c r="F83" s="9" t="str">
        <f>IF(C83=Lookup!$P$6,INDEX('card-code'!$P$3:$P$502,'group-code'!D83),"")</f>
        <v xml:space="preserve">    - automation.rmbd_one_bulb_on_with_switch_at_night</v>
      </c>
      <c r="G83" s="9" t="str">
        <f t="shared" si="3"/>
        <v xml:space="preserve">    - automation.rmbd_one_bulb_on_with_switch_at_night</v>
      </c>
      <c r="H83" s="9" t="str">
        <f>_xlfn.IFNA(IF(C83=Lookup!$Q$6,"END",""),"")</f>
        <v/>
      </c>
    </row>
    <row r="84" spans="2:8" x14ac:dyDescent="0.45">
      <c r="B84" s="9">
        <f t="shared" si="2"/>
        <v>79</v>
      </c>
      <c r="C84" s="9" t="str">
        <f>IF(D83=VLOOKUP(C83,Lookup!$P$5:$R$6,3,0),VLOOKUP(C83,Lookup!$P$5:$Q$6,2,0),C83)</f>
        <v>card</v>
      </c>
      <c r="D84" s="22">
        <f>IF(D83=VLOOKUP(C83,Lookup!$P$5:$R$6,3,0),1,D83+1)</f>
        <v>30</v>
      </c>
      <c r="E84" s="9" t="str">
        <f>IF(C84=Lookup!$P$5,INDEX('view-code'!$P$3:$P$502,'group-code'!D84),"")</f>
        <v/>
      </c>
      <c r="F84" s="9" t="str">
        <f>IF(C84=Lookup!$P$6,INDEX('card-code'!$P$3:$P$502,'group-code'!D84),"")</f>
        <v/>
      </c>
      <c r="G84" s="9" t="str">
        <f t="shared" si="3"/>
        <v/>
      </c>
      <c r="H84" s="9" t="str">
        <f>_xlfn.IFNA(IF(C84=Lookup!$Q$6,"END",""),"")</f>
        <v/>
      </c>
    </row>
    <row r="85" spans="2:8" x14ac:dyDescent="0.45">
      <c r="B85" s="9">
        <f t="shared" si="2"/>
        <v>80</v>
      </c>
      <c r="C85" s="9" t="str">
        <f>IF(D84=VLOOKUP(C84,Lookup!$P$5:$R$6,3,0),VLOOKUP(C84,Lookup!$P$5:$Q$6,2,0),C84)</f>
        <v>card</v>
      </c>
      <c r="D85" s="22">
        <f>IF(D84=VLOOKUP(C84,Lookup!$P$5:$R$6,3,0),1,D84+1)</f>
        <v>31</v>
      </c>
      <c r="E85" s="9" t="str">
        <f>IF(C85=Lookup!$P$5,INDEX('view-code'!$P$3:$P$502,'group-code'!D85),"")</f>
        <v/>
      </c>
      <c r="F85" s="9" t="str">
        <f>IF(C85=Lookup!$P$6,INDEX('card-code'!$P$3:$P$502,'group-code'!D85),"")</f>
        <v>automation_rmlv:</v>
      </c>
      <c r="G85" s="9" t="str">
        <f t="shared" si="3"/>
        <v>automation_rmlv:</v>
      </c>
      <c r="H85" s="9" t="str">
        <f>_xlfn.IFNA(IF(C85=Lookup!$Q$6,"END",""),"")</f>
        <v/>
      </c>
    </row>
    <row r="86" spans="2:8" x14ac:dyDescent="0.45">
      <c r="B86" s="9">
        <f t="shared" si="2"/>
        <v>81</v>
      </c>
      <c r="C86" s="9" t="str">
        <f>IF(D85=VLOOKUP(C85,Lookup!$P$5:$R$6,3,0),VLOOKUP(C85,Lookup!$P$5:$Q$6,2,0),C85)</f>
        <v>card</v>
      </c>
      <c r="D86" s="22">
        <f>IF(D85=VLOOKUP(C85,Lookup!$P$5:$R$6,3,0),1,D85+1)</f>
        <v>32</v>
      </c>
      <c r="E86" s="9" t="str">
        <f>IF(C86=Lookup!$P$5,INDEX('view-code'!$P$3:$P$502,'group-code'!D86),"")</f>
        <v/>
      </c>
      <c r="F86" s="9" t="str">
        <f>IF(C86=Lookup!$P$6,INDEX('card-code'!$P$3:$P$502,'group-code'!D86),"")</f>
        <v xml:space="preserve">  name: "Automation || Living Room"</v>
      </c>
      <c r="G86" s="9" t="str">
        <f t="shared" si="3"/>
        <v xml:space="preserve">  name: "Automation || Living Room"</v>
      </c>
      <c r="H86" s="9" t="str">
        <f>_xlfn.IFNA(IF(C86=Lookup!$Q$6,"END",""),"")</f>
        <v/>
      </c>
    </row>
    <row r="87" spans="2:8" x14ac:dyDescent="0.45">
      <c r="B87" s="9">
        <f t="shared" si="2"/>
        <v>82</v>
      </c>
      <c r="C87" s="9" t="str">
        <f>IF(D86=VLOOKUP(C86,Lookup!$P$5:$R$6,3,0),VLOOKUP(C86,Lookup!$P$5:$Q$6,2,0),C86)</f>
        <v>card</v>
      </c>
      <c r="D87" s="22">
        <f>IF(D86=VLOOKUP(C86,Lookup!$P$5:$R$6,3,0),1,D86+1)</f>
        <v>33</v>
      </c>
      <c r="E87" s="9" t="str">
        <f>IF(C87=Lookup!$P$5,INDEX('view-code'!$P$3:$P$502,'group-code'!D87),"")</f>
        <v/>
      </c>
      <c r="F87" s="9" t="str">
        <f>IF(C87=Lookup!$P$6,INDEX('card-code'!$P$3:$P$502,'group-code'!D87),"")</f>
        <v xml:space="preserve">  entities:</v>
      </c>
      <c r="G87" s="9" t="str">
        <f t="shared" si="3"/>
        <v xml:space="preserve">  entities:</v>
      </c>
      <c r="H87" s="9" t="str">
        <f>_xlfn.IFNA(IF(C87=Lookup!$Q$6,"END",""),"")</f>
        <v/>
      </c>
    </row>
    <row r="88" spans="2:8" x14ac:dyDescent="0.45">
      <c r="B88" s="9">
        <f t="shared" si="2"/>
        <v>83</v>
      </c>
      <c r="C88" s="9" t="str">
        <f>IF(D87=VLOOKUP(C87,Lookup!$P$5:$R$6,3,0),VLOOKUP(C87,Lookup!$P$5:$Q$6,2,0),C87)</f>
        <v>card</v>
      </c>
      <c r="D88" s="22">
        <f>IF(D87=VLOOKUP(C87,Lookup!$P$5:$R$6,3,0),1,D87+1)</f>
        <v>34</v>
      </c>
      <c r="E88" s="9" t="str">
        <f>IF(C88=Lookup!$P$5,INDEX('view-code'!$P$3:$P$502,'group-code'!D88),"")</f>
        <v/>
      </c>
      <c r="F88" s="9" t="str">
        <f>IF(C88=Lookup!$P$6,INDEX('card-code'!$P$3:$P$502,'group-code'!D88),"")</f>
        <v xml:space="preserve">    - automation.rmlv_amp_off_at_3_am</v>
      </c>
      <c r="G88" s="9" t="str">
        <f t="shared" si="3"/>
        <v xml:space="preserve">    - automation.rmlv_amp_off_at_3_am</v>
      </c>
      <c r="H88" s="9" t="str">
        <f>_xlfn.IFNA(IF(C88=Lookup!$Q$6,"END",""),"")</f>
        <v/>
      </c>
    </row>
    <row r="89" spans="2:8" x14ac:dyDescent="0.45">
      <c r="B89" s="9">
        <f t="shared" si="2"/>
        <v>84</v>
      </c>
      <c r="C89" s="9" t="str">
        <f>IF(D88=VLOOKUP(C88,Lookup!$P$5:$R$6,3,0),VLOOKUP(C88,Lookup!$P$5:$Q$6,2,0),C88)</f>
        <v>card</v>
      </c>
      <c r="D89" s="22">
        <f>IF(D88=VLOOKUP(C88,Lookup!$P$5:$R$6,3,0),1,D88+1)</f>
        <v>35</v>
      </c>
      <c r="E89" s="9" t="str">
        <f>IF(C89=Lookup!$P$5,INDEX('view-code'!$P$3:$P$502,'group-code'!D89),"")</f>
        <v/>
      </c>
      <c r="F89" s="9" t="str">
        <f>IF(C89=Lookup!$P$6,INDEX('card-code'!$P$3:$P$502,'group-code'!D89),"")</f>
        <v xml:space="preserve">    - automation.rmlv_amp_off_with_humvee</v>
      </c>
      <c r="G89" s="9" t="str">
        <f t="shared" si="3"/>
        <v xml:space="preserve">    - automation.rmlv_amp_off_with_humvee</v>
      </c>
      <c r="H89" s="9" t="str">
        <f>_xlfn.IFNA(IF(C89=Lookup!$Q$6,"END",""),"")</f>
        <v/>
      </c>
    </row>
    <row r="90" spans="2:8" x14ac:dyDescent="0.45">
      <c r="B90" s="9">
        <f t="shared" si="2"/>
        <v>85</v>
      </c>
      <c r="C90" s="9" t="str">
        <f>IF(D89=VLOOKUP(C89,Lookup!$P$5:$R$6,3,0),VLOOKUP(C89,Lookup!$P$5:$Q$6,2,0),C89)</f>
        <v>card</v>
      </c>
      <c r="D90" s="22">
        <f>IF(D89=VLOOKUP(C89,Lookup!$P$5:$R$6,3,0),1,D89+1)</f>
        <v>36</v>
      </c>
      <c r="E90" s="9" t="str">
        <f>IF(C90=Lookup!$P$5,INDEX('view-code'!$P$3:$P$502,'group-code'!D90),"")</f>
        <v/>
      </c>
      <c r="F90" s="9" t="str">
        <f>IF(C90=Lookup!$P$6,INDEX('card-code'!$P$3:$P$502,'group-code'!D90),"")</f>
        <v/>
      </c>
      <c r="G90" s="9" t="str">
        <f t="shared" si="3"/>
        <v/>
      </c>
      <c r="H90" s="9" t="str">
        <f>_xlfn.IFNA(IF(C90=Lookup!$Q$6,"END",""),"")</f>
        <v/>
      </c>
    </row>
    <row r="91" spans="2:8" x14ac:dyDescent="0.45">
      <c r="B91" s="9">
        <f t="shared" si="2"/>
        <v>86</v>
      </c>
      <c r="C91" s="9" t="str">
        <f>IF(D90=VLOOKUP(C90,Lookup!$P$5:$R$6,3,0),VLOOKUP(C90,Lookup!$P$5:$Q$6,2,0),C90)</f>
        <v>card</v>
      </c>
      <c r="D91" s="22">
        <f>IF(D90=VLOOKUP(C90,Lookup!$P$5:$R$6,3,0),1,D90+1)</f>
        <v>37</v>
      </c>
      <c r="E91" s="9" t="str">
        <f>IF(C91=Lookup!$P$5,INDEX('view-code'!$P$3:$P$502,'group-code'!D91),"")</f>
        <v/>
      </c>
      <c r="F91" s="9" t="str">
        <f>IF(C91=Lookup!$P$6,INDEX('card-code'!$P$3:$P$502,'group-code'!D91),"")</f>
        <v>automation_rmlvtv:</v>
      </c>
      <c r="G91" s="9" t="str">
        <f t="shared" si="3"/>
        <v>automation_rmlvtv:</v>
      </c>
      <c r="H91" s="9" t="str">
        <f>_xlfn.IFNA(IF(C91=Lookup!$Q$6,"END",""),"")</f>
        <v/>
      </c>
    </row>
    <row r="92" spans="2:8" x14ac:dyDescent="0.45">
      <c r="B92" s="9">
        <f t="shared" si="2"/>
        <v>87</v>
      </c>
      <c r="C92" s="9" t="str">
        <f>IF(D91=VLOOKUP(C91,Lookup!$P$5:$R$6,3,0),VLOOKUP(C91,Lookup!$P$5:$Q$6,2,0),C91)</f>
        <v>card</v>
      </c>
      <c r="D92" s="22">
        <f>IF(D91=VLOOKUP(C91,Lookup!$P$5:$R$6,3,0),1,D91+1)</f>
        <v>38</v>
      </c>
      <c r="E92" s="9" t="str">
        <f>IF(C92=Lookup!$P$5,INDEX('view-code'!$P$3:$P$502,'group-code'!D92),"")</f>
        <v/>
      </c>
      <c r="F92" s="9" t="str">
        <f>IF(C92=Lookup!$P$6,INDEX('card-code'!$P$3:$P$502,'group-code'!D92),"")</f>
        <v xml:space="preserve">  name: "Automation || Living Room TV"</v>
      </c>
      <c r="G92" s="9" t="str">
        <f t="shared" si="3"/>
        <v xml:space="preserve">  name: "Automation || Living Room TV"</v>
      </c>
      <c r="H92" s="9" t="str">
        <f>_xlfn.IFNA(IF(C92=Lookup!$Q$6,"END",""),"")</f>
        <v/>
      </c>
    </row>
    <row r="93" spans="2:8" x14ac:dyDescent="0.45">
      <c r="B93" s="9">
        <f t="shared" si="2"/>
        <v>88</v>
      </c>
      <c r="C93" s="9" t="str">
        <f>IF(D92=VLOOKUP(C92,Lookup!$P$5:$R$6,3,0),VLOOKUP(C92,Lookup!$P$5:$Q$6,2,0),C92)</f>
        <v>card</v>
      </c>
      <c r="D93" s="22">
        <f>IF(D92=VLOOKUP(C92,Lookup!$P$5:$R$6,3,0),1,D92+1)</f>
        <v>39</v>
      </c>
      <c r="E93" s="9" t="str">
        <f>IF(C93=Lookup!$P$5,INDEX('view-code'!$P$3:$P$502,'group-code'!D93),"")</f>
        <v/>
      </c>
      <c r="F93" s="9" t="str">
        <f>IF(C93=Lookup!$P$6,INDEX('card-code'!$P$3:$P$502,'group-code'!D93),"")</f>
        <v xml:space="preserve">  entities:</v>
      </c>
      <c r="G93" s="9" t="str">
        <f t="shared" si="3"/>
        <v xml:space="preserve">  entities:</v>
      </c>
      <c r="H93" s="9" t="str">
        <f>_xlfn.IFNA(IF(C93=Lookup!$Q$6,"END",""),"")</f>
        <v/>
      </c>
    </row>
    <row r="94" spans="2:8" x14ac:dyDescent="0.45">
      <c r="B94" s="9">
        <f t="shared" si="2"/>
        <v>89</v>
      </c>
      <c r="C94" s="9" t="str">
        <f>IF(D93=VLOOKUP(C93,Lookup!$P$5:$R$6,3,0),VLOOKUP(C93,Lookup!$P$5:$Q$6,2,0),C93)</f>
        <v>card</v>
      </c>
      <c r="D94" s="22">
        <f>IF(D93=VLOOKUP(C93,Lookup!$P$5:$R$6,3,0),1,D93+1)</f>
        <v>40</v>
      </c>
      <c r="E94" s="9" t="str">
        <f>IF(C94=Lookup!$P$5,INDEX('view-code'!$P$3:$P$502,'group-code'!D94),"")</f>
        <v/>
      </c>
      <c r="F94" s="9" t="str">
        <f>IF(C94=Lookup!$P$6,INDEX('card-code'!$P$3:$P$502,'group-code'!D94),"")</f>
        <v xml:space="preserve">    - automation.rmlvtv_chromecast_volume_to_4_on_start</v>
      </c>
      <c r="G94" s="9" t="str">
        <f t="shared" si="3"/>
        <v xml:space="preserve">    - automation.rmlvtv_chromecast_volume_to_4_on_start</v>
      </c>
      <c r="H94" s="9" t="str">
        <f>_xlfn.IFNA(IF(C94=Lookup!$Q$6,"END",""),"")</f>
        <v/>
      </c>
    </row>
    <row r="95" spans="2:8" x14ac:dyDescent="0.45">
      <c r="B95" s="9">
        <f t="shared" si="2"/>
        <v>90</v>
      </c>
      <c r="C95" s="9" t="str">
        <f>IF(D94=VLOOKUP(C94,Lookup!$P$5:$R$6,3,0),VLOOKUP(C94,Lookup!$P$5:$Q$6,2,0),C94)</f>
        <v>card</v>
      </c>
      <c r="D95" s="22">
        <f>IF(D94=VLOOKUP(C94,Lookup!$P$5:$R$6,3,0),1,D94+1)</f>
        <v>41</v>
      </c>
      <c r="E95" s="9" t="str">
        <f>IF(C95=Lookup!$P$5,INDEX('view-code'!$P$3:$P$502,'group-code'!D95),"")</f>
        <v/>
      </c>
      <c r="F95" s="9" t="str">
        <f>IF(C95=Lookup!$P$6,INDEX('card-code'!$P$3:$P$502,'group-code'!D95),"")</f>
        <v xml:space="preserve">    - automation.rmlvtv_tv_off_with_chromecast_from_playing</v>
      </c>
      <c r="G95" s="9" t="str">
        <f t="shared" si="3"/>
        <v xml:space="preserve">    - automation.rmlvtv_tv_off_with_chromecast_from_playing</v>
      </c>
      <c r="H95" s="9" t="str">
        <f>_xlfn.IFNA(IF(C95=Lookup!$Q$6,"END",""),"")</f>
        <v/>
      </c>
    </row>
    <row r="96" spans="2:8" x14ac:dyDescent="0.45">
      <c r="B96" s="9">
        <f t="shared" si="2"/>
        <v>91</v>
      </c>
      <c r="C96" s="9" t="str">
        <f>IF(D95=VLOOKUP(C95,Lookup!$P$5:$R$6,3,0),VLOOKUP(C95,Lookup!$P$5:$Q$6,2,0),C95)</f>
        <v>card</v>
      </c>
      <c r="D96" s="22">
        <f>IF(D95=VLOOKUP(C95,Lookup!$P$5:$R$6,3,0),1,D95+1)</f>
        <v>42</v>
      </c>
      <c r="E96" s="9" t="str">
        <f>IF(C96=Lookup!$P$5,INDEX('view-code'!$P$3:$P$502,'group-code'!D96),"")</f>
        <v/>
      </c>
      <c r="F96" s="9" t="str">
        <f>IF(C96=Lookup!$P$6,INDEX('card-code'!$P$3:$P$502,'group-code'!D96),"")</f>
        <v xml:space="preserve">    - automation.rmlvtv_tv_off_with_chromecast_from_idle</v>
      </c>
      <c r="G96" s="9" t="str">
        <f t="shared" si="3"/>
        <v xml:space="preserve">    - automation.rmlvtv_tv_off_with_chromecast_from_idle</v>
      </c>
      <c r="H96" s="9" t="str">
        <f>_xlfn.IFNA(IF(C96=Lookup!$Q$6,"END",""),"")</f>
        <v/>
      </c>
    </row>
    <row r="97" spans="2:8" x14ac:dyDescent="0.45">
      <c r="B97" s="9">
        <f t="shared" si="2"/>
        <v>92</v>
      </c>
      <c r="C97" s="9" t="str">
        <f>IF(D96=VLOOKUP(C96,Lookup!$P$5:$R$6,3,0),VLOOKUP(C96,Lookup!$P$5:$Q$6,2,0),C96)</f>
        <v>card</v>
      </c>
      <c r="D97" s="22">
        <f>IF(D96=VLOOKUP(C96,Lookup!$P$5:$R$6,3,0),1,D96+1)</f>
        <v>43</v>
      </c>
      <c r="E97" s="9" t="str">
        <f>IF(C97=Lookup!$P$5,INDEX('view-code'!$P$3:$P$502,'group-code'!D97),"")</f>
        <v/>
      </c>
      <c r="F97" s="9" t="str">
        <f>IF(C97=Lookup!$P$6,INDEX('card-code'!$P$3:$P$502,'group-code'!D97),"")</f>
        <v xml:space="preserve">    - automation.rmlvtv_tv_off_with_chromecast_from_paused</v>
      </c>
      <c r="G97" s="9" t="str">
        <f t="shared" si="3"/>
        <v xml:space="preserve">    - automation.rmlvtv_tv_off_with_chromecast_from_paused</v>
      </c>
      <c r="H97" s="9" t="str">
        <f>_xlfn.IFNA(IF(C97=Lookup!$Q$6,"END",""),"")</f>
        <v/>
      </c>
    </row>
    <row r="98" spans="2:8" x14ac:dyDescent="0.45">
      <c r="B98" s="9">
        <f t="shared" si="2"/>
        <v>93</v>
      </c>
      <c r="C98" s="9" t="str">
        <f>IF(D97=VLOOKUP(C97,Lookup!$P$5:$R$6,3,0),VLOOKUP(C97,Lookup!$P$5:$Q$6,2,0),C97)</f>
        <v>card</v>
      </c>
      <c r="D98" s="22">
        <f>IF(D97=VLOOKUP(C97,Lookup!$P$5:$R$6,3,0),1,D97+1)</f>
        <v>44</v>
      </c>
      <c r="E98" s="9" t="str">
        <f>IF(C98=Lookup!$P$5,INDEX('view-code'!$P$3:$P$502,'group-code'!D98),"")</f>
        <v/>
      </c>
      <c r="F98" s="9" t="str">
        <f>IF(C98=Lookup!$P$6,INDEX('card-code'!$P$3:$P$502,'group-code'!D98),"")</f>
        <v xml:space="preserve">    - automation.rmlvtv_tv_on_with_chromecast</v>
      </c>
      <c r="G98" s="9" t="str">
        <f t="shared" si="3"/>
        <v xml:space="preserve">    - automation.rmlvtv_tv_on_with_chromecast</v>
      </c>
      <c r="H98" s="9" t="str">
        <f>_xlfn.IFNA(IF(C98=Lookup!$Q$6,"END",""),"")</f>
        <v/>
      </c>
    </row>
    <row r="99" spans="2:8" x14ac:dyDescent="0.45">
      <c r="B99" s="9">
        <f t="shared" si="2"/>
        <v>94</v>
      </c>
      <c r="C99" s="9" t="str">
        <f>IF(D98=VLOOKUP(C98,Lookup!$P$5:$R$6,3,0),VLOOKUP(C98,Lookup!$P$5:$Q$6,2,0),C98)</f>
        <v>card</v>
      </c>
      <c r="D99" s="22">
        <f>IF(D98=VLOOKUP(C98,Lookup!$P$5:$R$6,3,0),1,D98+1)</f>
        <v>45</v>
      </c>
      <c r="E99" s="9" t="str">
        <f>IF(C99=Lookup!$P$5,INDEX('view-code'!$P$3:$P$502,'group-code'!D99),"")</f>
        <v/>
      </c>
      <c r="F99" s="9" t="str">
        <f>IF(C99=Lookup!$P$6,INDEX('card-code'!$P$3:$P$502,'group-code'!D99),"")</f>
        <v xml:space="preserve">    - automation.rmlvtv_turn_off_tv_if_chromecast_off</v>
      </c>
      <c r="G99" s="9" t="str">
        <f t="shared" si="3"/>
        <v xml:space="preserve">    - automation.rmlvtv_turn_off_tv_if_chromecast_off</v>
      </c>
      <c r="H99" s="9" t="str">
        <f>_xlfn.IFNA(IF(C99=Lookup!$Q$6,"END",""),"")</f>
        <v/>
      </c>
    </row>
    <row r="100" spans="2:8" x14ac:dyDescent="0.45">
      <c r="B100" s="9">
        <f t="shared" si="2"/>
        <v>95</v>
      </c>
      <c r="C100" s="9" t="str">
        <f>IF(D99=VLOOKUP(C99,Lookup!$P$5:$R$6,3,0),VLOOKUP(C99,Lookup!$P$5:$Q$6,2,0),C99)</f>
        <v>card</v>
      </c>
      <c r="D100" s="22">
        <f>IF(D99=VLOOKUP(C99,Lookup!$P$5:$R$6,3,0),1,D99+1)</f>
        <v>46</v>
      </c>
      <c r="E100" s="9" t="str">
        <f>IF(C100=Lookup!$P$5,INDEX('view-code'!$P$3:$P$502,'group-code'!D100),"")</f>
        <v/>
      </c>
      <c r="F100" s="9" t="str">
        <f>IF(C100=Lookup!$P$6,INDEX('card-code'!$P$3:$P$502,'group-code'!D100),"")</f>
        <v/>
      </c>
      <c r="G100" s="9" t="str">
        <f t="shared" si="3"/>
        <v/>
      </c>
      <c r="H100" s="9" t="str">
        <f>_xlfn.IFNA(IF(C100=Lookup!$Q$6,"END",""),"")</f>
        <v/>
      </c>
    </row>
    <row r="101" spans="2:8" x14ac:dyDescent="0.45">
      <c r="B101" s="9">
        <f t="shared" si="2"/>
        <v>96</v>
      </c>
      <c r="C101" s="9" t="str">
        <f>IF(D100=VLOOKUP(C100,Lookup!$P$5:$R$6,3,0),VLOOKUP(C100,Lookup!$P$5:$Q$6,2,0),C100)</f>
        <v>card</v>
      </c>
      <c r="D101" s="22">
        <f>IF(D100=VLOOKUP(C100,Lookup!$P$5:$R$6,3,0),1,D100+1)</f>
        <v>47</v>
      </c>
      <c r="E101" s="9" t="str">
        <f>IF(C101=Lookup!$P$5,INDEX('view-code'!$P$3:$P$502,'group-code'!D101),"")</f>
        <v/>
      </c>
      <c r="F101" s="9" t="str">
        <f>IF(C101=Lookup!$P$6,INDEX('card-code'!$P$3:$P$502,'group-code'!D101),"")</f>
        <v>automation_statron:</v>
      </c>
      <c r="G101" s="9" t="str">
        <f t="shared" si="3"/>
        <v>automation_statron:</v>
      </c>
      <c r="H101" s="9" t="str">
        <f>_xlfn.IFNA(IF(C101=Lookup!$Q$6,"END",""),"")</f>
        <v/>
      </c>
    </row>
    <row r="102" spans="2:8" x14ac:dyDescent="0.45">
      <c r="B102" s="9">
        <f t="shared" si="2"/>
        <v>97</v>
      </c>
      <c r="C102" s="9" t="str">
        <f>IF(D101=VLOOKUP(C101,Lookup!$P$5:$R$6,3,0),VLOOKUP(C101,Lookup!$P$5:$Q$6,2,0),C101)</f>
        <v>card</v>
      </c>
      <c r="D102" s="22">
        <f>IF(D101=VLOOKUP(C101,Lookup!$P$5:$R$6,3,0),1,D101+1)</f>
        <v>48</v>
      </c>
      <c r="E102" s="9" t="str">
        <f>IF(C102=Lookup!$P$5,INDEX('view-code'!$P$3:$P$502,'group-code'!D102),"")</f>
        <v/>
      </c>
      <c r="F102" s="9" t="str">
        <f>IF(C102=Lookup!$P$6,INDEX('card-code'!$P$3:$P$502,'group-code'!D102),"")</f>
        <v xml:space="preserve">  name: "Automation || Ron Status"</v>
      </c>
      <c r="G102" s="9" t="str">
        <f t="shared" si="3"/>
        <v xml:space="preserve">  name: "Automation || Ron Status"</v>
      </c>
      <c r="H102" s="9" t="str">
        <f>_xlfn.IFNA(IF(C102=Lookup!$Q$6,"END",""),"")</f>
        <v/>
      </c>
    </row>
    <row r="103" spans="2:8" x14ac:dyDescent="0.45">
      <c r="B103" s="9">
        <f t="shared" si="2"/>
        <v>98</v>
      </c>
      <c r="C103" s="9" t="str">
        <f>IF(D102=VLOOKUP(C102,Lookup!$P$5:$R$6,3,0),VLOOKUP(C102,Lookup!$P$5:$Q$6,2,0),C102)</f>
        <v>card</v>
      </c>
      <c r="D103" s="22">
        <f>IF(D102=VLOOKUP(C102,Lookup!$P$5:$R$6,3,0),1,D102+1)</f>
        <v>49</v>
      </c>
      <c r="E103" s="9" t="str">
        <f>IF(C103=Lookup!$P$5,INDEX('view-code'!$P$3:$P$502,'group-code'!D103),"")</f>
        <v/>
      </c>
      <c r="F103" s="9" t="str">
        <f>IF(C103=Lookup!$P$6,INDEX('card-code'!$P$3:$P$502,'group-code'!D103),"")</f>
        <v xml:space="preserve">  entities:</v>
      </c>
      <c r="G103" s="9" t="str">
        <f t="shared" si="3"/>
        <v xml:space="preserve">  entities:</v>
      </c>
      <c r="H103" s="9" t="str">
        <f>_xlfn.IFNA(IF(C103=Lookup!$Q$6,"END",""),"")</f>
        <v/>
      </c>
    </row>
    <row r="104" spans="2:8" x14ac:dyDescent="0.45">
      <c r="B104" s="9">
        <f t="shared" si="2"/>
        <v>99</v>
      </c>
      <c r="C104" s="9" t="str">
        <f>IF(D103=VLOOKUP(C103,Lookup!$P$5:$R$6,3,0),VLOOKUP(C103,Lookup!$P$5:$Q$6,2,0),C103)</f>
        <v>card</v>
      </c>
      <c r="D104" s="22">
        <f>IF(D103=VLOOKUP(C103,Lookup!$P$5:$R$6,3,0),1,D103+1)</f>
        <v>50</v>
      </c>
      <c r="E104" s="9" t="str">
        <f>IF(C104=Lookup!$P$5,INDEX('view-code'!$P$3:$P$502,'group-code'!D104),"")</f>
        <v/>
      </c>
      <c r="F104" s="9" t="str">
        <f>IF(C104=Lookup!$P$6,INDEX('card-code'!$P$3:$P$502,'group-code'!D104),"")</f>
        <v xml:space="preserve">    - automation.statron_away_status_from_device_tracker</v>
      </c>
      <c r="G104" s="9" t="str">
        <f t="shared" si="3"/>
        <v xml:space="preserve">    - automation.statron_away_status_from_device_tracker</v>
      </c>
      <c r="H104" s="9" t="str">
        <f>_xlfn.IFNA(IF(C104=Lookup!$Q$6,"END",""),"")</f>
        <v/>
      </c>
    </row>
    <row r="105" spans="2:8" x14ac:dyDescent="0.45">
      <c r="B105" s="9">
        <f t="shared" si="2"/>
        <v>100</v>
      </c>
      <c r="C105" s="9" t="str">
        <f>IF(D104=VLOOKUP(C104,Lookup!$P$5:$R$6,3,0),VLOOKUP(C104,Lookup!$P$5:$Q$6,2,0),C104)</f>
        <v>card</v>
      </c>
      <c r="D105" s="22">
        <f>IF(D104=VLOOKUP(C104,Lookup!$P$5:$R$6,3,0),1,D104+1)</f>
        <v>51</v>
      </c>
      <c r="E105" s="9" t="str">
        <f>IF(C105=Lookup!$P$5,INDEX('view-code'!$P$3:$P$502,'group-code'!D105),"")</f>
        <v/>
      </c>
      <c r="F105" s="9" t="str">
        <f>IF(C105=Lookup!$P$6,INDEX('card-code'!$P$3:$P$502,'group-code'!D105),"")</f>
        <v xml:space="preserve">    - automation.statron_computer_status_from_monitor_status</v>
      </c>
      <c r="G105" s="9" t="str">
        <f t="shared" si="3"/>
        <v xml:space="preserve">    - automation.statron_computer_status_from_monitor_status</v>
      </c>
      <c r="H105" s="9" t="str">
        <f>_xlfn.IFNA(IF(C105=Lookup!$Q$6,"END",""),"")</f>
        <v/>
      </c>
    </row>
    <row r="106" spans="2:8" x14ac:dyDescent="0.45">
      <c r="B106" s="9">
        <f t="shared" si="2"/>
        <v>101</v>
      </c>
      <c r="C106" s="9" t="str">
        <f>IF(D105=VLOOKUP(C105,Lookup!$P$5:$R$6,3,0),VLOOKUP(C105,Lookup!$P$5:$Q$6,2,0),C105)</f>
        <v>card</v>
      </c>
      <c r="D106" s="22">
        <f>IF(D105=VLOOKUP(C105,Lookup!$P$5:$R$6,3,0),1,D105+1)</f>
        <v>52</v>
      </c>
      <c r="E106" s="9" t="str">
        <f>IF(C106=Lookup!$P$5,INDEX('view-code'!$P$3:$P$502,'group-code'!D106),"")</f>
        <v/>
      </c>
      <c r="F106" s="9" t="str">
        <f>IF(C106=Lookup!$P$6,INDEX('card-code'!$P$3:$P$502,'group-code'!D106),"")</f>
        <v xml:space="preserve">    - automation.statron_tv_status_from_chromecast</v>
      </c>
      <c r="G106" s="9" t="str">
        <f t="shared" si="3"/>
        <v xml:space="preserve">    - automation.statron_tv_status_from_chromecast</v>
      </c>
      <c r="H106" s="9" t="str">
        <f>_xlfn.IFNA(IF(C106=Lookup!$Q$6,"END",""),"")</f>
        <v/>
      </c>
    </row>
    <row r="107" spans="2:8" x14ac:dyDescent="0.45">
      <c r="B107" s="9">
        <f t="shared" si="2"/>
        <v>102</v>
      </c>
      <c r="C107" s="9" t="str">
        <f>IF(D106=VLOOKUP(C106,Lookup!$P$5:$R$6,3,0),VLOOKUP(C106,Lookup!$P$5:$Q$6,2,0),C106)</f>
        <v>card</v>
      </c>
      <c r="D107" s="22">
        <f>IF(D106=VLOOKUP(C106,Lookup!$P$5:$R$6,3,0),1,D106+1)</f>
        <v>53</v>
      </c>
      <c r="E107" s="9" t="str">
        <f>IF(C107=Lookup!$P$5,INDEX('view-code'!$P$3:$P$502,'group-code'!D107),"")</f>
        <v/>
      </c>
      <c r="F107" s="9" t="str">
        <f>IF(C107=Lookup!$P$6,INDEX('card-code'!$P$3:$P$502,'group-code'!D107),"")</f>
        <v xml:space="preserve">    - automation.statron_home_status_from_device_tracker</v>
      </c>
      <c r="G107" s="9" t="str">
        <f t="shared" si="3"/>
        <v xml:space="preserve">    - automation.statron_home_status_from_device_tracker</v>
      </c>
      <c r="H107" s="9" t="str">
        <f>_xlfn.IFNA(IF(C107=Lookup!$Q$6,"END",""),"")</f>
        <v/>
      </c>
    </row>
    <row r="108" spans="2:8" x14ac:dyDescent="0.45">
      <c r="B108" s="9">
        <f t="shared" si="2"/>
        <v>103</v>
      </c>
      <c r="C108" s="9" t="str">
        <f>IF(D107=VLOOKUP(C107,Lookup!$P$5:$R$6,3,0),VLOOKUP(C107,Lookup!$P$5:$Q$6,2,0),C107)</f>
        <v>card</v>
      </c>
      <c r="D108" s="22">
        <f>IF(D107=VLOOKUP(C107,Lookup!$P$5:$R$6,3,0),1,D107+1)</f>
        <v>54</v>
      </c>
      <c r="E108" s="9" t="str">
        <f>IF(C108=Lookup!$P$5,INDEX('view-code'!$P$3:$P$502,'group-code'!D108),"")</f>
        <v/>
      </c>
      <c r="F108" s="9" t="str">
        <f>IF(C108=Lookup!$P$6,INDEX('card-code'!$P$3:$P$502,'group-code'!D108),"")</f>
        <v xml:space="preserve">    - automation.statron_home_status_from_monitor_status</v>
      </c>
      <c r="G108" s="9" t="str">
        <f t="shared" si="3"/>
        <v xml:space="preserve">    - automation.statron_home_status_from_monitor_status</v>
      </c>
      <c r="H108" s="9" t="str">
        <f>_xlfn.IFNA(IF(C108=Lookup!$Q$6,"END",""),"")</f>
        <v/>
      </c>
    </row>
    <row r="109" spans="2:8" x14ac:dyDescent="0.45">
      <c r="B109" s="9">
        <f t="shared" si="2"/>
        <v>104</v>
      </c>
      <c r="C109" s="9" t="str">
        <f>IF(D108=VLOOKUP(C108,Lookup!$P$5:$R$6,3,0),VLOOKUP(C108,Lookup!$P$5:$Q$6,2,0),C108)</f>
        <v>card</v>
      </c>
      <c r="D109" s="22">
        <f>IF(D108=VLOOKUP(C108,Lookup!$P$5:$R$6,3,0),1,D108+1)</f>
        <v>55</v>
      </c>
      <c r="E109" s="9" t="str">
        <f>IF(C109=Lookup!$P$5,INDEX('view-code'!$P$3:$P$502,'group-code'!D109),"")</f>
        <v/>
      </c>
      <c r="F109" s="9" t="str">
        <f>IF(C109=Lookup!$P$6,INDEX('card-code'!$P$3:$P$502,'group-code'!D109),"")</f>
        <v/>
      </c>
      <c r="G109" s="9" t="str">
        <f t="shared" si="3"/>
        <v/>
      </c>
      <c r="H109" s="9" t="str">
        <f>_xlfn.IFNA(IF(C109=Lookup!$Q$6,"END",""),"")</f>
        <v/>
      </c>
    </row>
    <row r="110" spans="2:8" x14ac:dyDescent="0.45">
      <c r="B110" s="9">
        <f t="shared" si="2"/>
        <v>105</v>
      </c>
      <c r="C110" s="9" t="str">
        <f>IF(D109=VLOOKUP(C109,Lookup!$P$5:$R$6,3,0),VLOOKUP(C109,Lookup!$P$5:$Q$6,2,0),C109)</f>
        <v>card</v>
      </c>
      <c r="D110" s="22">
        <f>IF(D109=VLOOKUP(C109,Lookup!$P$5:$R$6,3,0),1,D109+1)</f>
        <v>56</v>
      </c>
      <c r="E110" s="9" t="str">
        <f>IF(C110=Lookup!$P$5,INDEX('view-code'!$P$3:$P$502,'group-code'!D110),"")</f>
        <v/>
      </c>
      <c r="F110" s="9" t="str">
        <f>IF(C110=Lookup!$P$6,INDEX('card-code'!$P$3:$P$502,'group-code'!D110),"")</f>
        <v>automation_statfriend:</v>
      </c>
      <c r="G110" s="9" t="str">
        <f t="shared" si="3"/>
        <v>automation_statfriend:</v>
      </c>
      <c r="H110" s="9" t="str">
        <f>_xlfn.IFNA(IF(C110=Lookup!$Q$6,"END",""),"")</f>
        <v/>
      </c>
    </row>
    <row r="111" spans="2:8" x14ac:dyDescent="0.45">
      <c r="B111" s="9">
        <f t="shared" si="2"/>
        <v>106</v>
      </c>
      <c r="C111" s="9" t="str">
        <f>IF(D110=VLOOKUP(C110,Lookup!$P$5:$R$6,3,0),VLOOKUP(C110,Lookup!$P$5:$Q$6,2,0),C110)</f>
        <v>card</v>
      </c>
      <c r="D111" s="22">
        <f>IF(D110=VLOOKUP(C110,Lookup!$P$5:$R$6,3,0),1,D110+1)</f>
        <v>57</v>
      </c>
      <c r="E111" s="9" t="str">
        <f>IF(C111=Lookup!$P$5,INDEX('view-code'!$P$3:$P$502,'group-code'!D111),"")</f>
        <v/>
      </c>
      <c r="F111" s="9" t="str">
        <f>IF(C111=Lookup!$P$6,INDEX('card-code'!$P$3:$P$502,'group-code'!D111),"")</f>
        <v xml:space="preserve">  name: "Automation || Friend Status"</v>
      </c>
      <c r="G111" s="9" t="str">
        <f t="shared" si="3"/>
        <v xml:space="preserve">  name: "Automation || Friend Status"</v>
      </c>
      <c r="H111" s="9" t="str">
        <f>_xlfn.IFNA(IF(C111=Lookup!$Q$6,"END",""),"")</f>
        <v/>
      </c>
    </row>
    <row r="112" spans="2:8" x14ac:dyDescent="0.45">
      <c r="B112" s="9">
        <f t="shared" si="2"/>
        <v>107</v>
      </c>
      <c r="C112" s="9" t="str">
        <f>IF(D111=VLOOKUP(C111,Lookup!$P$5:$R$6,3,0),VLOOKUP(C111,Lookup!$P$5:$Q$6,2,0),C111)</f>
        <v>card</v>
      </c>
      <c r="D112" s="22">
        <f>IF(D111=VLOOKUP(C111,Lookup!$P$5:$R$6,3,0),1,D111+1)</f>
        <v>58</v>
      </c>
      <c r="E112" s="9" t="str">
        <f>IF(C112=Lookup!$P$5,INDEX('view-code'!$P$3:$P$502,'group-code'!D112),"")</f>
        <v/>
      </c>
      <c r="F112" s="9" t="str">
        <f>IF(C112=Lookup!$P$6,INDEX('card-code'!$P$3:$P$502,'group-code'!D112),"")</f>
        <v xml:space="preserve">  entities:</v>
      </c>
      <c r="G112" s="9" t="str">
        <f t="shared" si="3"/>
        <v xml:space="preserve">  entities:</v>
      </c>
      <c r="H112" s="9" t="str">
        <f>_xlfn.IFNA(IF(C112=Lookup!$Q$6,"END",""),"")</f>
        <v/>
      </c>
    </row>
    <row r="113" spans="2:8" x14ac:dyDescent="0.45">
      <c r="B113" s="9">
        <f t="shared" si="2"/>
        <v>108</v>
      </c>
      <c r="C113" s="9" t="str">
        <f>IF(D112=VLOOKUP(C112,Lookup!$P$5:$R$6,3,0),VLOOKUP(C112,Lookup!$P$5:$Q$6,2,0),C112)</f>
        <v>card</v>
      </c>
      <c r="D113" s="22">
        <f>IF(D112=VLOOKUP(C112,Lookup!$P$5:$R$6,3,0),1,D112+1)</f>
        <v>59</v>
      </c>
      <c r="E113" s="9" t="str">
        <f>IF(C113=Lookup!$P$5,INDEX('view-code'!$P$3:$P$502,'group-code'!D113),"")</f>
        <v/>
      </c>
      <c r="F113" s="9" t="str">
        <f>IF(C113=Lookup!$P$6,INDEX('card-code'!$P$3:$P$502,'group-code'!D113),"")</f>
        <v xml:space="preserve">    - automation.statfriend_friend_visiting_off_from_device_tracker</v>
      </c>
      <c r="G113" s="9" t="str">
        <f t="shared" si="3"/>
        <v xml:space="preserve">    - automation.statfriend_friend_visiting_off_from_device_tracker</v>
      </c>
      <c r="H113" s="9" t="str">
        <f>_xlfn.IFNA(IF(C113=Lookup!$Q$6,"END",""),"")</f>
        <v/>
      </c>
    </row>
    <row r="114" spans="2:8" x14ac:dyDescent="0.45">
      <c r="B114" s="9">
        <f t="shared" si="2"/>
        <v>109</v>
      </c>
      <c r="C114" s="9" t="str">
        <f>IF(D113=VLOOKUP(C113,Lookup!$P$5:$R$6,3,0),VLOOKUP(C113,Lookup!$P$5:$Q$6,2,0),C113)</f>
        <v>card</v>
      </c>
      <c r="D114" s="22">
        <f>IF(D113=VLOOKUP(C113,Lookup!$P$5:$R$6,3,0),1,D113+1)</f>
        <v>60</v>
      </c>
      <c r="E114" s="9" t="str">
        <f>IF(C114=Lookup!$P$5,INDEX('view-code'!$P$3:$P$502,'group-code'!D114),"")</f>
        <v/>
      </c>
      <c r="F114" s="9" t="str">
        <f>IF(C114=Lookup!$P$6,INDEX('card-code'!$P$3:$P$502,'group-code'!D114),"")</f>
        <v xml:space="preserve">    - automation.statfriend_friend_visiting_on_from_device_tracker</v>
      </c>
      <c r="G114" s="9" t="str">
        <f t="shared" si="3"/>
        <v xml:space="preserve">    - automation.statfriend_friend_visiting_on_from_device_tracker</v>
      </c>
      <c r="H114" s="9" t="str">
        <f>_xlfn.IFNA(IF(C114=Lookup!$Q$6,"END",""),"")</f>
        <v/>
      </c>
    </row>
    <row r="115" spans="2:8" x14ac:dyDescent="0.45">
      <c r="B115" s="9">
        <f t="shared" si="2"/>
        <v>110</v>
      </c>
      <c r="C115" s="9" t="str">
        <f>IF(D114=VLOOKUP(C114,Lookup!$P$5:$R$6,3,0),VLOOKUP(C114,Lookup!$P$5:$Q$6,2,0),C114)</f>
        <v>card</v>
      </c>
      <c r="D115" s="22">
        <f>IF(D114=VLOOKUP(C114,Lookup!$P$5:$R$6,3,0),1,D114+1)</f>
        <v>61</v>
      </c>
      <c r="E115" s="9" t="str">
        <f>IF(C115=Lookup!$P$5,INDEX('view-code'!$P$3:$P$502,'group-code'!D115),"")</f>
        <v/>
      </c>
      <c r="F115" s="9" t="str">
        <f>IF(C115=Lookup!$P$6,INDEX('card-code'!$P$3:$P$502,'group-code'!D115),"")</f>
        <v/>
      </c>
      <c r="G115" s="9" t="str">
        <f t="shared" si="3"/>
        <v/>
      </c>
      <c r="H115" s="9" t="str">
        <f>_xlfn.IFNA(IF(C115=Lookup!$Q$6,"END",""),"")</f>
        <v/>
      </c>
    </row>
    <row r="116" spans="2:8" x14ac:dyDescent="0.45">
      <c r="B116" s="9">
        <f t="shared" si="2"/>
        <v>111</v>
      </c>
      <c r="C116" s="9" t="str">
        <f>IF(D115=VLOOKUP(C115,Lookup!$P$5:$R$6,3,0),VLOOKUP(C115,Lookup!$P$5:$Q$6,2,0),C115)</f>
        <v>card</v>
      </c>
      <c r="D116" s="22">
        <f>IF(D115=VLOOKUP(C115,Lookup!$P$5:$R$6,3,0),1,D115+1)</f>
        <v>62</v>
      </c>
      <c r="E116" s="9" t="str">
        <f>IF(C116=Lookup!$P$5,INDEX('view-code'!$P$3:$P$502,'group-code'!D116),"")</f>
        <v/>
      </c>
      <c r="F116" s="9" t="str">
        <f>IF(C116=Lookup!$P$6,INDEX('card-code'!$P$3:$P$502,'group-code'!D116),"")</f>
        <v>automation_statvac:</v>
      </c>
      <c r="G116" s="9" t="str">
        <f t="shared" si="3"/>
        <v>automation_statvac:</v>
      </c>
      <c r="H116" s="9" t="str">
        <f>_xlfn.IFNA(IF(C116=Lookup!$Q$6,"END",""),"")</f>
        <v/>
      </c>
    </row>
    <row r="117" spans="2:8" x14ac:dyDescent="0.45">
      <c r="B117" s="9">
        <f t="shared" si="2"/>
        <v>112</v>
      </c>
      <c r="C117" s="9" t="str">
        <f>IF(D116=VLOOKUP(C116,Lookup!$P$5:$R$6,3,0),VLOOKUP(C116,Lookup!$P$5:$Q$6,2,0),C116)</f>
        <v>card</v>
      </c>
      <c r="D117" s="22">
        <f>IF(D116=VLOOKUP(C116,Lookup!$P$5:$R$6,3,0),1,D116+1)</f>
        <v>63</v>
      </c>
      <c r="E117" s="9" t="str">
        <f>IF(C117=Lookup!$P$5,INDEX('view-code'!$P$3:$P$502,'group-code'!D117),"")</f>
        <v/>
      </c>
      <c r="F117" s="9" t="str">
        <f>IF(C117=Lookup!$P$6,INDEX('card-code'!$P$3:$P$502,'group-code'!D117),"")</f>
        <v xml:space="preserve">  name: "Automation - Vacation Status"</v>
      </c>
      <c r="G117" s="9" t="str">
        <f t="shared" si="3"/>
        <v xml:space="preserve">  name: "Automation - Vacation Status"</v>
      </c>
      <c r="H117" s="9" t="str">
        <f>_xlfn.IFNA(IF(C117=Lookup!$Q$6,"END",""),"")</f>
        <v/>
      </c>
    </row>
    <row r="118" spans="2:8" x14ac:dyDescent="0.45">
      <c r="B118" s="9">
        <f t="shared" si="2"/>
        <v>113</v>
      </c>
      <c r="C118" s="9" t="str">
        <f>IF(D117=VLOOKUP(C117,Lookup!$P$5:$R$6,3,0),VLOOKUP(C117,Lookup!$P$5:$Q$6,2,0),C117)</f>
        <v>card</v>
      </c>
      <c r="D118" s="22">
        <f>IF(D117=VLOOKUP(C117,Lookup!$P$5:$R$6,3,0),1,D117+1)</f>
        <v>64</v>
      </c>
      <c r="E118" s="9" t="str">
        <f>IF(C118=Lookup!$P$5,INDEX('view-code'!$P$3:$P$502,'group-code'!D118),"")</f>
        <v/>
      </c>
      <c r="F118" s="9" t="str">
        <f>IF(C118=Lookup!$P$6,INDEX('card-code'!$P$3:$P$502,'group-code'!D118),"")</f>
        <v xml:space="preserve">  entities:</v>
      </c>
      <c r="G118" s="9" t="str">
        <f t="shared" si="3"/>
        <v xml:space="preserve">  entities:</v>
      </c>
      <c r="H118" s="9" t="str">
        <f>_xlfn.IFNA(IF(C118=Lookup!$Q$6,"END",""),"")</f>
        <v/>
      </c>
    </row>
    <row r="119" spans="2:8" x14ac:dyDescent="0.45">
      <c r="B119" s="9">
        <f t="shared" si="2"/>
        <v>114</v>
      </c>
      <c r="C119" s="9" t="str">
        <f>IF(D118=VLOOKUP(C118,Lookup!$P$5:$R$6,3,0),VLOOKUP(C118,Lookup!$P$5:$Q$6,2,0),C118)</f>
        <v>card</v>
      </c>
      <c r="D119" s="22">
        <f>IF(D118=VLOOKUP(C118,Lookup!$P$5:$R$6,3,0),1,D118+1)</f>
        <v>65</v>
      </c>
      <c r="E119" s="9" t="str">
        <f>IF(C119=Lookup!$P$5,INDEX('view-code'!$P$3:$P$502,'group-code'!D119),"")</f>
        <v/>
      </c>
      <c r="F119" s="9" t="str">
        <f>IF(C119=Lookup!$P$6,INDEX('card-code'!$P$3:$P$502,'group-code'!D119),"")</f>
        <v xml:space="preserve">    - automation.statvac_vacation_mode_off_when_home</v>
      </c>
      <c r="G119" s="9" t="str">
        <f t="shared" si="3"/>
        <v xml:space="preserve">    - automation.statvac_vacation_mode_off_when_home</v>
      </c>
      <c r="H119" s="9" t="str">
        <f>_xlfn.IFNA(IF(C119=Lookup!$Q$6,"END",""),"")</f>
        <v/>
      </c>
    </row>
    <row r="120" spans="2:8" x14ac:dyDescent="0.45">
      <c r="B120" s="9">
        <f t="shared" si="2"/>
        <v>115</v>
      </c>
      <c r="C120" s="9" t="str">
        <f>IF(D119=VLOOKUP(C119,Lookup!$P$5:$R$6,3,0),VLOOKUP(C119,Lookup!$P$5:$Q$6,2,0),C119)</f>
        <v>card</v>
      </c>
      <c r="D120" s="22">
        <f>IF(D119=VLOOKUP(C119,Lookup!$P$5:$R$6,3,0),1,D119+1)</f>
        <v>66</v>
      </c>
      <c r="E120" s="9" t="str">
        <f>IF(C120=Lookup!$P$5,INDEX('view-code'!$P$3:$P$502,'group-code'!D120),"")</f>
        <v/>
      </c>
      <c r="F120" s="9" t="str">
        <f>IF(C120=Lookup!$P$6,INDEX('card-code'!$P$3:$P$502,'group-code'!D120),"")</f>
        <v xml:space="preserve">    - automation.statvac_vacation_mode_on_when_gone_24_hours</v>
      </c>
      <c r="G120" s="9" t="str">
        <f t="shared" si="3"/>
        <v xml:space="preserve">    - automation.statvac_vacation_mode_on_when_gone_24_hours</v>
      </c>
      <c r="H120" s="9" t="str">
        <f>_xlfn.IFNA(IF(C120=Lookup!$Q$6,"END",""),"")</f>
        <v/>
      </c>
    </row>
    <row r="121" spans="2:8" x14ac:dyDescent="0.45">
      <c r="B121" s="9">
        <f t="shared" si="2"/>
        <v>116</v>
      </c>
      <c r="C121" s="9" t="str">
        <f>IF(D120=VLOOKUP(C120,Lookup!$P$5:$R$6,3,0),VLOOKUP(C120,Lookup!$P$5:$Q$6,2,0),C120)</f>
        <v>card</v>
      </c>
      <c r="D121" s="22">
        <f>IF(D120=VLOOKUP(C120,Lookup!$P$5:$R$6,3,0),1,D120+1)</f>
        <v>67</v>
      </c>
      <c r="E121" s="9" t="str">
        <f>IF(C121=Lookup!$P$5,INDEX('view-code'!$P$3:$P$502,'group-code'!D121),"")</f>
        <v/>
      </c>
      <c r="F121" s="9" t="str">
        <f>IF(C121=Lookup!$P$6,INDEX('card-code'!$P$3:$P$502,'group-code'!D121),"")</f>
        <v/>
      </c>
      <c r="G121" s="9" t="str">
        <f t="shared" si="3"/>
        <v/>
      </c>
      <c r="H121" s="9" t="str">
        <f>_xlfn.IFNA(IF(C121=Lookup!$Q$6,"END",""),"")</f>
        <v/>
      </c>
    </row>
    <row r="122" spans="2:8" x14ac:dyDescent="0.45">
      <c r="B122" s="9">
        <f t="shared" si="2"/>
        <v>117</v>
      </c>
      <c r="C122" s="9" t="str">
        <f>IF(D121=VLOOKUP(C121,Lookup!$P$5:$R$6,3,0),VLOOKUP(C121,Lookup!$P$5:$Q$6,2,0),C121)</f>
        <v>card</v>
      </c>
      <c r="D122" s="22">
        <f>IF(D121=VLOOKUP(C121,Lookup!$P$5:$R$6,3,0),1,D121+1)</f>
        <v>68</v>
      </c>
      <c r="E122" s="9" t="str">
        <f>IF(C122=Lookup!$P$5,INDEX('view-code'!$P$3:$P$502,'group-code'!D122),"")</f>
        <v/>
      </c>
      <c r="F122" s="9" t="str">
        <f>IF(C122=Lookup!$P$6,INDEX('card-code'!$P$3:$P$502,'group-code'!D122),"")</f>
        <v>status:</v>
      </c>
      <c r="G122" s="9" t="str">
        <f t="shared" si="3"/>
        <v>status:</v>
      </c>
      <c r="H122" s="9" t="str">
        <f>_xlfn.IFNA(IF(C122=Lookup!$Q$6,"END",""),"")</f>
        <v/>
      </c>
    </row>
    <row r="123" spans="2:8" x14ac:dyDescent="0.45">
      <c r="B123" s="9">
        <f t="shared" si="2"/>
        <v>118</v>
      </c>
      <c r="C123" s="9" t="str">
        <f>IF(D122=VLOOKUP(C122,Lookup!$P$5:$R$6,3,0),VLOOKUP(C122,Lookup!$P$5:$Q$6,2,0),C122)</f>
        <v>card</v>
      </c>
      <c r="D123" s="22">
        <f>IF(D122=VLOOKUP(C122,Lookup!$P$5:$R$6,3,0),1,D122+1)</f>
        <v>69</v>
      </c>
      <c r="E123" s="9" t="str">
        <f>IF(C123=Lookup!$P$5,INDEX('view-code'!$P$3:$P$502,'group-code'!D123),"")</f>
        <v/>
      </c>
      <c r="F123" s="9" t="str">
        <f>IF(C123=Lookup!$P$6,INDEX('card-code'!$P$3:$P$502,'group-code'!D123),"")</f>
        <v xml:space="preserve">  name: "Status"</v>
      </c>
      <c r="G123" s="9" t="str">
        <f t="shared" si="3"/>
        <v xml:space="preserve">  name: "Status"</v>
      </c>
      <c r="H123" s="9" t="str">
        <f>_xlfn.IFNA(IF(C123=Lookup!$Q$6,"END",""),"")</f>
        <v/>
      </c>
    </row>
    <row r="124" spans="2:8" x14ac:dyDescent="0.45">
      <c r="B124" s="9">
        <f t="shared" si="2"/>
        <v>119</v>
      </c>
      <c r="C124" s="9" t="str">
        <f>IF(D123=VLOOKUP(C123,Lookup!$P$5:$R$6,3,0),VLOOKUP(C123,Lookup!$P$5:$Q$6,2,0),C123)</f>
        <v>card</v>
      </c>
      <c r="D124" s="22">
        <f>IF(D123=VLOOKUP(C123,Lookup!$P$5:$R$6,3,0),1,D123+1)</f>
        <v>70</v>
      </c>
      <c r="E124" s="9" t="str">
        <f>IF(C124=Lookup!$P$5,INDEX('view-code'!$P$3:$P$502,'group-code'!D124),"")</f>
        <v/>
      </c>
      <c r="F124" s="9" t="str">
        <f>IF(C124=Lookup!$P$6,INDEX('card-code'!$P$3:$P$502,'group-code'!D124),"")</f>
        <v xml:space="preserve">  entities:</v>
      </c>
      <c r="G124" s="9" t="str">
        <f t="shared" si="3"/>
        <v xml:space="preserve">  entities:</v>
      </c>
      <c r="H124" s="9" t="str">
        <f>_xlfn.IFNA(IF(C124=Lookup!$Q$6,"END",""),"")</f>
        <v/>
      </c>
    </row>
    <row r="125" spans="2:8" x14ac:dyDescent="0.45">
      <c r="B125" s="9">
        <f t="shared" si="2"/>
        <v>120</v>
      </c>
      <c r="C125" s="9" t="str">
        <f>IF(D124=VLOOKUP(C124,Lookup!$P$5:$R$6,3,0),VLOOKUP(C124,Lookup!$P$5:$Q$6,2,0),C124)</f>
        <v>card</v>
      </c>
      <c r="D125" s="22">
        <f>IF(D124=VLOOKUP(C124,Lookup!$P$5:$R$6,3,0),1,D124+1)</f>
        <v>71</v>
      </c>
      <c r="E125" s="9" t="str">
        <f>IF(C125=Lookup!$P$5,INDEX('view-code'!$P$3:$P$502,'group-code'!D125),"")</f>
        <v/>
      </c>
      <c r="F125" s="9" t="str">
        <f>IF(C125=Lookup!$P$6,INDEX('card-code'!$P$3:$P$502,'group-code'!D125),"")</f>
        <v xml:space="preserve">    - input_select.ron_status</v>
      </c>
      <c r="G125" s="9" t="str">
        <f t="shared" si="3"/>
        <v xml:space="preserve">    - input_select.ron_status</v>
      </c>
      <c r="H125" s="9" t="str">
        <f>_xlfn.IFNA(IF(C125=Lookup!$Q$6,"END",""),"")</f>
        <v/>
      </c>
    </row>
    <row r="126" spans="2:8" x14ac:dyDescent="0.45">
      <c r="B126" s="9">
        <f t="shared" si="2"/>
        <v>121</v>
      </c>
      <c r="C126" s="9" t="str">
        <f>IF(D125=VLOOKUP(C125,Lookup!$P$5:$R$6,3,0),VLOOKUP(C125,Lookup!$P$5:$Q$6,2,0),C125)</f>
        <v>card</v>
      </c>
      <c r="D126" s="22">
        <f>IF(D125=VLOOKUP(C125,Lookup!$P$5:$R$6,3,0),1,D125+1)</f>
        <v>72</v>
      </c>
      <c r="E126" s="9" t="str">
        <f>IF(C126=Lookup!$P$5,INDEX('view-code'!$P$3:$P$502,'group-code'!D126),"")</f>
        <v/>
      </c>
      <c r="F126" s="9" t="str">
        <f>IF(C126=Lookup!$P$6,INDEX('card-code'!$P$3:$P$502,'group-code'!D126),"")</f>
        <v xml:space="preserve">    - input_boolean.friend_visiting</v>
      </c>
      <c r="G126" s="9" t="str">
        <f t="shared" si="3"/>
        <v xml:space="preserve">    - input_boolean.friend_visiting</v>
      </c>
      <c r="H126" s="9" t="str">
        <f>_xlfn.IFNA(IF(C126=Lookup!$Q$6,"END",""),"")</f>
        <v/>
      </c>
    </row>
    <row r="127" spans="2:8" x14ac:dyDescent="0.45">
      <c r="B127" s="9">
        <f t="shared" si="2"/>
        <v>122</v>
      </c>
      <c r="C127" s="9" t="str">
        <f>IF(D126=VLOOKUP(C126,Lookup!$P$5:$R$6,3,0),VLOOKUP(C126,Lookup!$P$5:$Q$6,2,0),C126)</f>
        <v>card</v>
      </c>
      <c r="D127" s="22">
        <f>IF(D126=VLOOKUP(C126,Lookup!$P$5:$R$6,3,0),1,D126+1)</f>
        <v>73</v>
      </c>
      <c r="E127" s="9" t="str">
        <f>IF(C127=Lookup!$P$5,INDEX('view-code'!$P$3:$P$502,'group-code'!D127),"")</f>
        <v/>
      </c>
      <c r="F127" s="9" t="str">
        <f>IF(C127=Lookup!$P$6,INDEX('card-code'!$P$3:$P$502,'group-code'!D127),"")</f>
        <v xml:space="preserve">    - input_boolean.vacation_mode</v>
      </c>
      <c r="G127" s="9" t="str">
        <f t="shared" si="3"/>
        <v xml:space="preserve">    - input_boolean.vacation_mode</v>
      </c>
      <c r="H127" s="9" t="str">
        <f>_xlfn.IFNA(IF(C127=Lookup!$Q$6,"END",""),"")</f>
        <v/>
      </c>
    </row>
    <row r="128" spans="2:8" x14ac:dyDescent="0.45">
      <c r="B128" s="9">
        <f t="shared" si="2"/>
        <v>123</v>
      </c>
      <c r="C128" s="9" t="str">
        <f>IF(D127=VLOOKUP(C127,Lookup!$P$5:$R$6,3,0),VLOOKUP(C127,Lookup!$P$5:$Q$6,2,0),C127)</f>
        <v>card</v>
      </c>
      <c r="D128" s="22">
        <f>IF(D127=VLOOKUP(C127,Lookup!$P$5:$R$6,3,0),1,D127+1)</f>
        <v>74</v>
      </c>
      <c r="E128" s="9" t="str">
        <f>IF(C128=Lookup!$P$5,INDEX('view-code'!$P$3:$P$502,'group-code'!D128),"")</f>
        <v/>
      </c>
      <c r="F128" s="9" t="str">
        <f>IF(C128=Lookup!$P$6,INDEX('card-code'!$P$3:$P$502,'group-code'!D128),"")</f>
        <v/>
      </c>
      <c r="G128" s="9" t="str">
        <f t="shared" si="3"/>
        <v/>
      </c>
      <c r="H128" s="9" t="str">
        <f>_xlfn.IFNA(IF(C128=Lookup!$Q$6,"END",""),"")</f>
        <v/>
      </c>
    </row>
    <row r="129" spans="2:8" x14ac:dyDescent="0.45">
      <c r="B129" s="9">
        <f t="shared" si="2"/>
        <v>124</v>
      </c>
      <c r="C129" s="9" t="str">
        <f>IF(D128=VLOOKUP(C128,Lookup!$P$5:$R$6,3,0),VLOOKUP(C128,Lookup!$P$5:$Q$6,2,0),C128)</f>
        <v>card</v>
      </c>
      <c r="D129" s="22">
        <f>IF(D128=VLOOKUP(C128,Lookup!$P$5:$R$6,3,0),1,D128+1)</f>
        <v>75</v>
      </c>
      <c r="E129" s="9" t="str">
        <f>IF(C129=Lookup!$P$5,INDEX('view-code'!$P$3:$P$502,'group-code'!D129),"")</f>
        <v/>
      </c>
      <c r="F129" s="9" t="str">
        <f>IF(C129=Lookup!$P$6,INDEX('card-code'!$P$3:$P$502,'group-code'!D129),"")</f>
        <v>living_room:</v>
      </c>
      <c r="G129" s="9" t="str">
        <f t="shared" si="3"/>
        <v>living_room:</v>
      </c>
      <c r="H129" s="9" t="str">
        <f>_xlfn.IFNA(IF(C129=Lookup!$Q$6,"END",""),"")</f>
        <v/>
      </c>
    </row>
    <row r="130" spans="2:8" x14ac:dyDescent="0.45">
      <c r="B130" s="9">
        <f t="shared" si="2"/>
        <v>125</v>
      </c>
      <c r="C130" s="9" t="str">
        <f>IF(D129=VLOOKUP(C129,Lookup!$P$5:$R$6,3,0),VLOOKUP(C129,Lookup!$P$5:$Q$6,2,0),C129)</f>
        <v>card</v>
      </c>
      <c r="D130" s="22">
        <f>IF(D129=VLOOKUP(C129,Lookup!$P$5:$R$6,3,0),1,D129+1)</f>
        <v>76</v>
      </c>
      <c r="E130" s="9" t="str">
        <f>IF(C130=Lookup!$P$5,INDEX('view-code'!$P$3:$P$502,'group-code'!D130),"")</f>
        <v/>
      </c>
      <c r="F130" s="9" t="str">
        <f>IF(C130=Lookup!$P$6,INDEX('card-code'!$P$3:$P$502,'group-code'!D130),"")</f>
        <v xml:space="preserve">  name: "Living Room"</v>
      </c>
      <c r="G130" s="9" t="str">
        <f t="shared" si="3"/>
        <v xml:space="preserve">  name: "Living Room"</v>
      </c>
      <c r="H130" s="9" t="str">
        <f>_xlfn.IFNA(IF(C130=Lookup!$Q$6,"END",""),"")</f>
        <v/>
      </c>
    </row>
    <row r="131" spans="2:8" x14ac:dyDescent="0.45">
      <c r="B131" s="9">
        <f t="shared" si="2"/>
        <v>126</v>
      </c>
      <c r="C131" s="9" t="str">
        <f>IF(D130=VLOOKUP(C130,Lookup!$P$5:$R$6,3,0),VLOOKUP(C130,Lookup!$P$5:$Q$6,2,0),C130)</f>
        <v>card</v>
      </c>
      <c r="D131" s="22">
        <f>IF(D130=VLOOKUP(C130,Lookup!$P$5:$R$6,3,0),1,D130+1)</f>
        <v>77</v>
      </c>
      <c r="E131" s="9" t="str">
        <f>IF(C131=Lookup!$P$5,INDEX('view-code'!$P$3:$P$502,'group-code'!D131),"")</f>
        <v/>
      </c>
      <c r="F131" s="9" t="str">
        <f>IF(C131=Lookup!$P$6,INDEX('card-code'!$P$3:$P$502,'group-code'!D131),"")</f>
        <v xml:space="preserve">  entities:</v>
      </c>
      <c r="G131" s="9" t="str">
        <f t="shared" si="3"/>
        <v xml:space="preserve">  entities:</v>
      </c>
      <c r="H131" s="9" t="str">
        <f>_xlfn.IFNA(IF(C131=Lookup!$Q$6,"END",""),"")</f>
        <v/>
      </c>
    </row>
    <row r="132" spans="2:8" x14ac:dyDescent="0.45">
      <c r="B132" s="9">
        <f t="shared" si="2"/>
        <v>127</v>
      </c>
      <c r="C132" s="9" t="str">
        <f>IF(D131=VLOOKUP(C131,Lookup!$P$5:$R$6,3,0),VLOOKUP(C131,Lookup!$P$5:$Q$6,2,0),C131)</f>
        <v>card</v>
      </c>
      <c r="D132" s="22">
        <f>IF(D131=VLOOKUP(C131,Lookup!$P$5:$R$6,3,0),1,D131+1)</f>
        <v>78</v>
      </c>
      <c r="E132" s="9" t="str">
        <f>IF(C132=Lookup!$P$5,INDEX('view-code'!$P$3:$P$502,'group-code'!D132),"")</f>
        <v/>
      </c>
      <c r="F132" s="9" t="str">
        <f>IF(C132=Lookup!$P$6,INDEX('card-code'!$P$3:$P$502,'group-code'!D132),"")</f>
        <v xml:space="preserve">    - switch.amp</v>
      </c>
      <c r="G132" s="9" t="str">
        <f t="shared" si="3"/>
        <v xml:space="preserve">    - switch.amp</v>
      </c>
      <c r="H132" s="9" t="str">
        <f>_xlfn.IFNA(IF(C132=Lookup!$Q$6,"END",""),"")</f>
        <v/>
      </c>
    </row>
    <row r="133" spans="2:8" x14ac:dyDescent="0.45">
      <c r="B133" s="9">
        <f t="shared" si="2"/>
        <v>128</v>
      </c>
      <c r="C133" s="9" t="str">
        <f>IF(D132=VLOOKUP(C132,Lookup!$P$5:$R$6,3,0),VLOOKUP(C132,Lookup!$P$5:$Q$6,2,0),C132)</f>
        <v>card</v>
      </c>
      <c r="D133" s="22">
        <f>IF(D132=VLOOKUP(C132,Lookup!$P$5:$R$6,3,0),1,D132+1)</f>
        <v>79</v>
      </c>
      <c r="E133" s="9" t="str">
        <f>IF(C133=Lookup!$P$5,INDEX('view-code'!$P$3:$P$502,'group-code'!D133),"")</f>
        <v/>
      </c>
      <c r="F133" s="9" t="str">
        <f>IF(C133=Lookup!$P$6,INDEX('card-code'!$P$3:$P$502,'group-code'!D133),"")</f>
        <v/>
      </c>
      <c r="G133" s="9" t="str">
        <f t="shared" si="3"/>
        <v/>
      </c>
      <c r="H133" s="9" t="str">
        <f>_xlfn.IFNA(IF(C133=Lookup!$Q$6,"END",""),"")</f>
        <v/>
      </c>
    </row>
    <row r="134" spans="2:8" x14ac:dyDescent="0.45">
      <c r="B134" s="9">
        <f t="shared" si="2"/>
        <v>129</v>
      </c>
      <c r="C134" s="9" t="str">
        <f>IF(D133=VLOOKUP(C133,Lookup!$P$5:$R$6,3,0),VLOOKUP(C133,Lookup!$P$5:$Q$6,2,0),C133)</f>
        <v>card</v>
      </c>
      <c r="D134" s="22">
        <f>IF(D133=VLOOKUP(C133,Lookup!$P$5:$R$6,3,0),1,D133+1)</f>
        <v>80</v>
      </c>
      <c r="E134" s="9" t="str">
        <f>IF(C134=Lookup!$P$5,INDEX('view-code'!$P$3:$P$502,'group-code'!D134),"")</f>
        <v/>
      </c>
      <c r="F134" s="9" t="str">
        <f>IF(C134=Lookup!$P$6,INDEX('card-code'!$P$3:$P$502,'group-code'!D134),"")</f>
        <v>bedroom:</v>
      </c>
      <c r="G134" s="9" t="str">
        <f t="shared" si="3"/>
        <v>bedroom:</v>
      </c>
      <c r="H134" s="9" t="str">
        <f>_xlfn.IFNA(IF(C134=Lookup!$Q$6,"END",""),"")</f>
        <v/>
      </c>
    </row>
    <row r="135" spans="2:8" x14ac:dyDescent="0.45">
      <c r="B135" s="9">
        <f t="shared" si="2"/>
        <v>130</v>
      </c>
      <c r="C135" s="9" t="str">
        <f>IF(D134=VLOOKUP(C134,Lookup!$P$5:$R$6,3,0),VLOOKUP(C134,Lookup!$P$5:$Q$6,2,0),C134)</f>
        <v>card</v>
      </c>
      <c r="D135" s="22">
        <f>IF(D134=VLOOKUP(C134,Lookup!$P$5:$R$6,3,0),1,D134+1)</f>
        <v>81</v>
      </c>
      <c r="E135" s="9" t="str">
        <f>IF(C135=Lookup!$P$5,INDEX('view-code'!$P$3:$P$502,'group-code'!D135),"")</f>
        <v/>
      </c>
      <c r="F135" s="9" t="str">
        <f>IF(C135=Lookup!$P$6,INDEX('card-code'!$P$3:$P$502,'group-code'!D135),"")</f>
        <v xml:space="preserve">  name: "Bedroom"</v>
      </c>
      <c r="G135" s="9" t="str">
        <f t="shared" si="3"/>
        <v xml:space="preserve">  name: "Bedroom"</v>
      </c>
      <c r="H135" s="9" t="str">
        <f>_xlfn.IFNA(IF(C135=Lookup!$Q$6,"END",""),"")</f>
        <v/>
      </c>
    </row>
    <row r="136" spans="2:8" x14ac:dyDescent="0.45">
      <c r="B136" s="9">
        <f t="shared" ref="B136:B199" si="4">B135+1</f>
        <v>131</v>
      </c>
      <c r="C136" s="9" t="str">
        <f>IF(D135=VLOOKUP(C135,Lookup!$P$5:$R$6,3,0),VLOOKUP(C135,Lookup!$P$5:$Q$6,2,0),C135)</f>
        <v>card</v>
      </c>
      <c r="D136" s="22">
        <f>IF(D135=VLOOKUP(C135,Lookup!$P$5:$R$6,3,0),1,D135+1)</f>
        <v>82</v>
      </c>
      <c r="E136" s="9" t="str">
        <f>IF(C136=Lookup!$P$5,INDEX('view-code'!$P$3:$P$502,'group-code'!D136),"")</f>
        <v/>
      </c>
      <c r="F136" s="9" t="str">
        <f>IF(C136=Lookup!$P$6,INDEX('card-code'!$P$3:$P$502,'group-code'!D136),"")</f>
        <v xml:space="preserve">  entities:</v>
      </c>
      <c r="G136" s="9" t="str">
        <f t="shared" ref="G136:G199" si="5">_xlfn.IFNA(  E136&amp;F136,  "")</f>
        <v xml:space="preserve">  entities:</v>
      </c>
      <c r="H136" s="9" t="str">
        <f>_xlfn.IFNA(IF(C136=Lookup!$Q$6,"END",""),"")</f>
        <v/>
      </c>
    </row>
    <row r="137" spans="2:8" x14ac:dyDescent="0.45">
      <c r="B137" s="9">
        <f t="shared" si="4"/>
        <v>132</v>
      </c>
      <c r="C137" s="9" t="str">
        <f>IF(D136=VLOOKUP(C136,Lookup!$P$5:$R$6,3,0),VLOOKUP(C136,Lookup!$P$5:$Q$6,2,0),C136)</f>
        <v>card</v>
      </c>
      <c r="D137" s="22">
        <f>IF(D136=VLOOKUP(C136,Lookup!$P$5:$R$6,3,0),1,D136+1)</f>
        <v>83</v>
      </c>
      <c r="E137" s="9" t="str">
        <f>IF(C137=Lookup!$P$5,INDEX('view-code'!$P$3:$P$502,'group-code'!D137),"")</f>
        <v/>
      </c>
      <c r="F137" s="9" t="str">
        <f>IF(C137=Lookup!$P$6,INDEX('card-code'!$P$3:$P$502,'group-code'!D137),"")</f>
        <v xml:space="preserve">    - script.bright</v>
      </c>
      <c r="G137" s="9" t="str">
        <f t="shared" si="5"/>
        <v xml:space="preserve">    - script.bright</v>
      </c>
      <c r="H137" s="9" t="str">
        <f>_xlfn.IFNA(IF(C137=Lookup!$Q$6,"END",""),"")</f>
        <v/>
      </c>
    </row>
    <row r="138" spans="2:8" x14ac:dyDescent="0.45">
      <c r="B138" s="9">
        <f t="shared" si="4"/>
        <v>133</v>
      </c>
      <c r="C138" s="9" t="str">
        <f>IF(D137=VLOOKUP(C137,Lookup!$P$5:$R$6,3,0),VLOOKUP(C137,Lookup!$P$5:$Q$6,2,0),C137)</f>
        <v>card</v>
      </c>
      <c r="D138" s="22">
        <f>IF(D137=VLOOKUP(C137,Lookup!$P$5:$R$6,3,0),1,D137+1)</f>
        <v>84</v>
      </c>
      <c r="E138" s="9" t="str">
        <f>IF(C138=Lookup!$P$5,INDEX('view-code'!$P$3:$P$502,'group-code'!D138),"")</f>
        <v/>
      </c>
      <c r="F138" s="9" t="str">
        <f>IF(C138=Lookup!$P$6,INDEX('card-code'!$P$3:$P$502,'group-code'!D138),"")</f>
        <v xml:space="preserve">    - script.twilight</v>
      </c>
      <c r="G138" s="9" t="str">
        <f t="shared" si="5"/>
        <v xml:space="preserve">    - script.twilight</v>
      </c>
      <c r="H138" s="9" t="str">
        <f>_xlfn.IFNA(IF(C138=Lookup!$Q$6,"END",""),"")</f>
        <v/>
      </c>
    </row>
    <row r="139" spans="2:8" x14ac:dyDescent="0.45">
      <c r="B139" s="9">
        <f t="shared" si="4"/>
        <v>134</v>
      </c>
      <c r="C139" s="9" t="str">
        <f>IF(D138=VLOOKUP(C138,Lookup!$P$5:$R$6,3,0),VLOOKUP(C138,Lookup!$P$5:$Q$6,2,0),C138)</f>
        <v>card</v>
      </c>
      <c r="D139" s="22">
        <f>IF(D138=VLOOKUP(C138,Lookup!$P$5:$R$6,3,0),1,D138+1)</f>
        <v>85</v>
      </c>
      <c r="E139" s="9" t="str">
        <f>IF(C139=Lookup!$P$5,INDEX('view-code'!$P$3:$P$502,'group-code'!D139),"")</f>
        <v/>
      </c>
      <c r="F139" s="9" t="str">
        <f>IF(C139=Lookup!$P$6,INDEX('card-code'!$P$3:$P$502,'group-code'!D139),"")</f>
        <v xml:space="preserve">    - script.dusk</v>
      </c>
      <c r="G139" s="9" t="str">
        <f t="shared" si="5"/>
        <v xml:space="preserve">    - script.dusk</v>
      </c>
      <c r="H139" s="9" t="str">
        <f>_xlfn.IFNA(IF(C139=Lookup!$Q$6,"END",""),"")</f>
        <v/>
      </c>
    </row>
    <row r="140" spans="2:8" x14ac:dyDescent="0.45">
      <c r="B140" s="9">
        <f t="shared" si="4"/>
        <v>135</v>
      </c>
      <c r="C140" s="9" t="str">
        <f>IF(D139=VLOOKUP(C139,Lookup!$P$5:$R$6,3,0),VLOOKUP(C139,Lookup!$P$5:$Q$6,2,0),C139)</f>
        <v>card</v>
      </c>
      <c r="D140" s="22">
        <f>IF(D139=VLOOKUP(C139,Lookup!$P$5:$R$6,3,0),1,D139+1)</f>
        <v>86</v>
      </c>
      <c r="E140" s="9" t="str">
        <f>IF(C140=Lookup!$P$5,INDEX('view-code'!$P$3:$P$502,'group-code'!D140),"")</f>
        <v/>
      </c>
      <c r="F140" s="9" t="str">
        <f>IF(C140=Lookup!$P$6,INDEX('card-code'!$P$3:$P$502,'group-code'!D140),"")</f>
        <v xml:space="preserve">    - script.reading</v>
      </c>
      <c r="G140" s="9" t="str">
        <f t="shared" si="5"/>
        <v xml:space="preserve">    - script.reading</v>
      </c>
      <c r="H140" s="9" t="str">
        <f>_xlfn.IFNA(IF(C140=Lookup!$Q$6,"END",""),"")</f>
        <v/>
      </c>
    </row>
    <row r="141" spans="2:8" x14ac:dyDescent="0.45">
      <c r="B141" s="9">
        <f t="shared" si="4"/>
        <v>136</v>
      </c>
      <c r="C141" s="9" t="str">
        <f>IF(D140=VLOOKUP(C140,Lookup!$P$5:$R$6,3,0),VLOOKUP(C140,Lookup!$P$5:$Q$6,2,0),C140)</f>
        <v>card</v>
      </c>
      <c r="D141" s="22">
        <f>IF(D140=VLOOKUP(C140,Lookup!$P$5:$R$6,3,0),1,D140+1)</f>
        <v>87</v>
      </c>
      <c r="E141" s="9" t="str">
        <f>IF(C141=Lookup!$P$5,INDEX('view-code'!$P$3:$P$502,'group-code'!D141),"")</f>
        <v/>
      </c>
      <c r="F141" s="9" t="str">
        <f>IF(C141=Lookup!$P$6,INDEX('card-code'!$P$3:$P$502,'group-code'!D141),"")</f>
        <v xml:space="preserve">    - script.all_off</v>
      </c>
      <c r="G141" s="9" t="str">
        <f t="shared" si="5"/>
        <v xml:space="preserve">    - script.all_off</v>
      </c>
      <c r="H141" s="9" t="str">
        <f>_xlfn.IFNA(IF(C141=Lookup!$Q$6,"END",""),"")</f>
        <v/>
      </c>
    </row>
    <row r="142" spans="2:8" x14ac:dyDescent="0.45">
      <c r="B142" s="9">
        <f t="shared" si="4"/>
        <v>137</v>
      </c>
      <c r="C142" s="9" t="str">
        <f>IF(D141=VLOOKUP(C141,Lookup!$P$5:$R$6,3,0),VLOOKUP(C141,Lookup!$P$5:$Q$6,2,0),C141)</f>
        <v>card</v>
      </c>
      <c r="D142" s="22">
        <f>IF(D141=VLOOKUP(C141,Lookup!$P$5:$R$6,3,0),1,D141+1)</f>
        <v>88</v>
      </c>
      <c r="E142" s="9" t="str">
        <f>IF(C142=Lookup!$P$5,INDEX('view-code'!$P$3:$P$502,'group-code'!D142),"")</f>
        <v/>
      </c>
      <c r="F142" s="9" t="str">
        <f>IF(C142=Lookup!$P$6,INDEX('card-code'!$P$3:$P$502,'group-code'!D142),"")</f>
        <v xml:space="preserve">    - script.good_night</v>
      </c>
      <c r="G142" s="9" t="str">
        <f t="shared" si="5"/>
        <v xml:space="preserve">    - script.good_night</v>
      </c>
      <c r="H142" s="9" t="str">
        <f>_xlfn.IFNA(IF(C142=Lookup!$Q$6,"END",""),"")</f>
        <v/>
      </c>
    </row>
    <row r="143" spans="2:8" x14ac:dyDescent="0.45">
      <c r="B143" s="9">
        <f t="shared" si="4"/>
        <v>138</v>
      </c>
      <c r="C143" s="9" t="str">
        <f>IF(D142=VLOOKUP(C142,Lookup!$P$5:$R$6,3,0),VLOOKUP(C142,Lookup!$P$5:$Q$6,2,0),C142)</f>
        <v>card</v>
      </c>
      <c r="D143" s="22">
        <f>IF(D142=VLOOKUP(C142,Lookup!$P$5:$R$6,3,0),1,D142+1)</f>
        <v>89</v>
      </c>
      <c r="E143" s="9" t="str">
        <f>IF(C143=Lookup!$P$5,INDEX('view-code'!$P$3:$P$502,'group-code'!D143),"")</f>
        <v/>
      </c>
      <c r="F143" s="9" t="str">
        <f>IF(C143=Lookup!$P$6,INDEX('card-code'!$P$3:$P$502,'group-code'!D143),"")</f>
        <v/>
      </c>
      <c r="G143" s="9" t="str">
        <f t="shared" si="5"/>
        <v/>
      </c>
      <c r="H143" s="9" t="str">
        <f>_xlfn.IFNA(IF(C143=Lookup!$Q$6,"END",""),"")</f>
        <v/>
      </c>
    </row>
    <row r="144" spans="2:8" x14ac:dyDescent="0.45">
      <c r="B144" s="9">
        <f t="shared" si="4"/>
        <v>139</v>
      </c>
      <c r="C144" s="9" t="str">
        <f>IF(D143=VLOOKUP(C143,Lookup!$P$5:$R$6,3,0),VLOOKUP(C143,Lookup!$P$5:$Q$6,2,0),C143)</f>
        <v>card</v>
      </c>
      <c r="D144" s="22">
        <f>IF(D143=VLOOKUP(C143,Lookup!$P$5:$R$6,3,0),1,D143+1)</f>
        <v>90</v>
      </c>
      <c r="E144" s="9" t="str">
        <f>IF(C144=Lookup!$P$5,INDEX('view-code'!$P$3:$P$502,'group-code'!D144),"")</f>
        <v/>
      </c>
      <c r="F144" s="9" t="str">
        <f>IF(C144=Lookup!$P$6,INDEX('card-code'!$P$3:$P$502,'group-code'!D144),"")</f>
        <v>bedroom_devices:</v>
      </c>
      <c r="G144" s="9" t="str">
        <f t="shared" si="5"/>
        <v>bedroom_devices:</v>
      </c>
      <c r="H144" s="9" t="str">
        <f>_xlfn.IFNA(IF(C144=Lookup!$Q$6,"END",""),"")</f>
        <v/>
      </c>
    </row>
    <row r="145" spans="2:8" x14ac:dyDescent="0.45">
      <c r="B145" s="9">
        <f t="shared" si="4"/>
        <v>140</v>
      </c>
      <c r="C145" s="9" t="str">
        <f>IF(D144=VLOOKUP(C144,Lookup!$P$5:$R$6,3,0),VLOOKUP(C144,Lookup!$P$5:$Q$6,2,0),C144)</f>
        <v>card</v>
      </c>
      <c r="D145" s="22">
        <f>IF(D144=VLOOKUP(C144,Lookup!$P$5:$R$6,3,0),1,D144+1)</f>
        <v>91</v>
      </c>
      <c r="E145" s="9" t="str">
        <f>IF(C145=Lookup!$P$5,INDEX('view-code'!$P$3:$P$502,'group-code'!D145),"")</f>
        <v/>
      </c>
      <c r="F145" s="9" t="str">
        <f>IF(C145=Lookup!$P$6,INDEX('card-code'!$P$3:$P$502,'group-code'!D145),"")</f>
        <v xml:space="preserve">  name: "Bedroom || Devices"</v>
      </c>
      <c r="G145" s="9" t="str">
        <f t="shared" si="5"/>
        <v xml:space="preserve">  name: "Bedroom || Devices"</v>
      </c>
      <c r="H145" s="9" t="str">
        <f>_xlfn.IFNA(IF(C145=Lookup!$Q$6,"END",""),"")</f>
        <v/>
      </c>
    </row>
    <row r="146" spans="2:8" x14ac:dyDescent="0.45">
      <c r="B146" s="9">
        <f t="shared" si="4"/>
        <v>141</v>
      </c>
      <c r="C146" s="9" t="str">
        <f>IF(D145=VLOOKUP(C145,Lookup!$P$5:$R$6,3,0),VLOOKUP(C145,Lookup!$P$5:$Q$6,2,0),C145)</f>
        <v>card</v>
      </c>
      <c r="D146" s="22">
        <f>IF(D145=VLOOKUP(C145,Lookup!$P$5:$R$6,3,0),1,D145+1)</f>
        <v>92</v>
      </c>
      <c r="E146" s="9" t="str">
        <f>IF(C146=Lookup!$P$5,INDEX('view-code'!$P$3:$P$502,'group-code'!D146),"")</f>
        <v/>
      </c>
      <c r="F146" s="9" t="str">
        <f>IF(C146=Lookup!$P$6,INDEX('card-code'!$P$3:$P$502,'group-code'!D146),"")</f>
        <v xml:space="preserve">  entities:</v>
      </c>
      <c r="G146" s="9" t="str">
        <f t="shared" si="5"/>
        <v xml:space="preserve">  entities:</v>
      </c>
      <c r="H146" s="9" t="str">
        <f>_xlfn.IFNA(IF(C146=Lookup!$Q$6,"END",""),"")</f>
        <v/>
      </c>
    </row>
    <row r="147" spans="2:8" x14ac:dyDescent="0.45">
      <c r="B147" s="9">
        <f t="shared" si="4"/>
        <v>142</v>
      </c>
      <c r="C147" s="9" t="str">
        <f>IF(D146=VLOOKUP(C146,Lookup!$P$5:$R$6,3,0),VLOOKUP(C146,Lookup!$P$5:$Q$6,2,0),C146)</f>
        <v>card</v>
      </c>
      <c r="D147" s="22">
        <f>IF(D146=VLOOKUP(C146,Lookup!$P$5:$R$6,3,0),1,D146+1)</f>
        <v>93</v>
      </c>
      <c r="E147" s="9" t="str">
        <f>IF(C147=Lookup!$P$5,INDEX('view-code'!$P$3:$P$502,'group-code'!D147),"")</f>
        <v/>
      </c>
      <c r="F147" s="9" t="str">
        <f>IF(C147=Lookup!$P$6,INDEX('card-code'!$P$3:$P$502,'group-code'!D147),"")</f>
        <v xml:space="preserve">    - group.bedroom_lights</v>
      </c>
      <c r="G147" s="9" t="str">
        <f t="shared" si="5"/>
        <v xml:space="preserve">    - group.bedroom_lights</v>
      </c>
      <c r="H147" s="9" t="str">
        <f>_xlfn.IFNA(IF(C147=Lookup!$Q$6,"END",""),"")</f>
        <v/>
      </c>
    </row>
    <row r="148" spans="2:8" x14ac:dyDescent="0.45">
      <c r="B148" s="9">
        <f t="shared" si="4"/>
        <v>143</v>
      </c>
      <c r="C148" s="9" t="str">
        <f>IF(D147=VLOOKUP(C147,Lookup!$P$5:$R$6,3,0),VLOOKUP(C147,Lookup!$P$5:$Q$6,2,0),C147)</f>
        <v>card</v>
      </c>
      <c r="D148" s="22">
        <f>IF(D147=VLOOKUP(C147,Lookup!$P$5:$R$6,3,0),1,D147+1)</f>
        <v>94</v>
      </c>
      <c r="E148" s="9" t="str">
        <f>IF(C148=Lookup!$P$5,INDEX('view-code'!$P$3:$P$502,'group-code'!D148),"")</f>
        <v/>
      </c>
      <c r="F148" s="9" t="str">
        <f>IF(C148=Lookup!$P$6,INDEX('card-code'!$P$3:$P$502,'group-code'!D148),"")</f>
        <v xml:space="preserve">    - switch.bedroom_nightstand</v>
      </c>
      <c r="G148" s="9" t="str">
        <f t="shared" si="5"/>
        <v xml:space="preserve">    - switch.bedroom_nightstand</v>
      </c>
      <c r="H148" s="9" t="str">
        <f>_xlfn.IFNA(IF(C148=Lookup!$Q$6,"END",""),"")</f>
        <v/>
      </c>
    </row>
    <row r="149" spans="2:8" x14ac:dyDescent="0.45">
      <c r="B149" s="9">
        <f t="shared" si="4"/>
        <v>144</v>
      </c>
      <c r="C149" s="9" t="str">
        <f>IF(D148=VLOOKUP(C148,Lookup!$P$5:$R$6,3,0),VLOOKUP(C148,Lookup!$P$5:$Q$6,2,0),C148)</f>
        <v>card</v>
      </c>
      <c r="D149" s="22">
        <f>IF(D148=VLOOKUP(C148,Lookup!$P$5:$R$6,3,0),1,D148+1)</f>
        <v>95</v>
      </c>
      <c r="E149" s="9" t="str">
        <f>IF(C149=Lookup!$P$5,INDEX('view-code'!$P$3:$P$502,'group-code'!D149),"")</f>
        <v/>
      </c>
      <c r="F149" s="9" t="str">
        <f>IF(C149=Lookup!$P$6,INDEX('card-code'!$P$3:$P$502,'group-code'!D149),"")</f>
        <v xml:space="preserve">    - switch.bedroom_fan</v>
      </c>
      <c r="G149" s="9" t="str">
        <f t="shared" si="5"/>
        <v xml:space="preserve">    - switch.bedroom_fan</v>
      </c>
      <c r="H149" s="9" t="str">
        <f>_xlfn.IFNA(IF(C149=Lookup!$Q$6,"END",""),"")</f>
        <v/>
      </c>
    </row>
    <row r="150" spans="2:8" x14ac:dyDescent="0.45">
      <c r="B150" s="9">
        <f t="shared" si="4"/>
        <v>145</v>
      </c>
      <c r="C150" s="9" t="str">
        <f>IF(D149=VLOOKUP(C149,Lookup!$P$5:$R$6,3,0),VLOOKUP(C149,Lookup!$P$5:$Q$6,2,0),C149)</f>
        <v>card</v>
      </c>
      <c r="D150" s="22">
        <f>IF(D149=VLOOKUP(C149,Lookup!$P$5:$R$6,3,0),1,D149+1)</f>
        <v>96</v>
      </c>
      <c r="E150" s="9" t="str">
        <f>IF(C150=Lookup!$P$5,INDEX('view-code'!$P$3:$P$502,'group-code'!D150),"")</f>
        <v/>
      </c>
      <c r="F150" s="9" t="str">
        <f>IF(C150=Lookup!$P$6,INDEX('card-code'!$P$3:$P$502,'group-code'!D150),"")</f>
        <v/>
      </c>
      <c r="G150" s="9" t="str">
        <f t="shared" si="5"/>
        <v/>
      </c>
      <c r="H150" s="9" t="str">
        <f>_xlfn.IFNA(IF(C150=Lookup!$Q$6,"END",""),"")</f>
        <v/>
      </c>
    </row>
    <row r="151" spans="2:8" x14ac:dyDescent="0.45">
      <c r="B151" s="9">
        <f t="shared" si="4"/>
        <v>146</v>
      </c>
      <c r="C151" s="9" t="str">
        <f>IF(D150=VLOOKUP(C150,Lookup!$P$5:$R$6,3,0),VLOOKUP(C150,Lookup!$P$5:$Q$6,2,0),C150)</f>
        <v>card</v>
      </c>
      <c r="D151" s="22">
        <f>IF(D150=VLOOKUP(C150,Lookup!$P$5:$R$6,3,0),1,D150+1)</f>
        <v>97</v>
      </c>
      <c r="E151" s="9" t="str">
        <f>IF(C151=Lookup!$P$5,INDEX('view-code'!$P$3:$P$502,'group-code'!D151),"")</f>
        <v/>
      </c>
      <c r="F151" s="9" t="str">
        <f>IF(C151=Lookup!$P$6,INDEX('card-code'!$P$3:$P$502,'group-code'!D151),"")</f>
        <v>bedroom_lights:</v>
      </c>
      <c r="G151" s="9" t="str">
        <f t="shared" si="5"/>
        <v>bedroom_lights:</v>
      </c>
      <c r="H151" s="9" t="str">
        <f>_xlfn.IFNA(IF(C151=Lookup!$Q$6,"END",""),"")</f>
        <v/>
      </c>
    </row>
    <row r="152" spans="2:8" x14ac:dyDescent="0.45">
      <c r="B152" s="9">
        <f t="shared" si="4"/>
        <v>147</v>
      </c>
      <c r="C152" s="9" t="str">
        <f>IF(D151=VLOOKUP(C151,Lookup!$P$5:$R$6,3,0),VLOOKUP(C151,Lookup!$P$5:$Q$6,2,0),C151)</f>
        <v>card</v>
      </c>
      <c r="D152" s="22">
        <f>IF(D151=VLOOKUP(C151,Lookup!$P$5:$R$6,3,0),1,D151+1)</f>
        <v>98</v>
      </c>
      <c r="E152" s="9" t="str">
        <f>IF(C152=Lookup!$P$5,INDEX('view-code'!$P$3:$P$502,'group-code'!D152),"")</f>
        <v/>
      </c>
      <c r="F152" s="9" t="str">
        <f>IF(C152=Lookup!$P$6,INDEX('card-code'!$P$3:$P$502,'group-code'!D152),"")</f>
        <v xml:space="preserve">  name: "Bedroom Lights"</v>
      </c>
      <c r="G152" s="9" t="str">
        <f t="shared" si="5"/>
        <v xml:space="preserve">  name: "Bedroom Lights"</v>
      </c>
      <c r="H152" s="9" t="str">
        <f>_xlfn.IFNA(IF(C152=Lookup!$Q$6,"END",""),"")</f>
        <v/>
      </c>
    </row>
    <row r="153" spans="2:8" x14ac:dyDescent="0.45">
      <c r="B153" s="9">
        <f t="shared" si="4"/>
        <v>148</v>
      </c>
      <c r="C153" s="9" t="str">
        <f>IF(D152=VLOOKUP(C152,Lookup!$P$5:$R$6,3,0),VLOOKUP(C152,Lookup!$P$5:$Q$6,2,0),C152)</f>
        <v>card</v>
      </c>
      <c r="D153" s="22">
        <f>IF(D152=VLOOKUP(C152,Lookup!$P$5:$R$6,3,0),1,D152+1)</f>
        <v>99</v>
      </c>
      <c r="E153" s="9" t="str">
        <f>IF(C153=Lookup!$P$5,INDEX('view-code'!$P$3:$P$502,'group-code'!D153),"")</f>
        <v/>
      </c>
      <c r="F153" s="9" t="str">
        <f>IF(C153=Lookup!$P$6,INDEX('card-code'!$P$3:$P$502,'group-code'!D153),"")</f>
        <v xml:space="preserve">  entities:</v>
      </c>
      <c r="G153" s="9" t="str">
        <f t="shared" si="5"/>
        <v xml:space="preserve">  entities:</v>
      </c>
      <c r="H153" s="9" t="str">
        <f>_xlfn.IFNA(IF(C153=Lookup!$Q$6,"END",""),"")</f>
        <v/>
      </c>
    </row>
    <row r="154" spans="2:8" x14ac:dyDescent="0.45">
      <c r="B154" s="9">
        <f t="shared" si="4"/>
        <v>149</v>
      </c>
      <c r="C154" s="9" t="str">
        <f>IF(D153=VLOOKUP(C153,Lookup!$P$5:$R$6,3,0),VLOOKUP(C153,Lookup!$P$5:$Q$6,2,0),C153)</f>
        <v>card</v>
      </c>
      <c r="D154" s="22">
        <f>IF(D153=VLOOKUP(C153,Lookup!$P$5:$R$6,3,0),1,D153+1)</f>
        <v>100</v>
      </c>
      <c r="E154" s="9" t="str">
        <f>IF(C154=Lookup!$P$5,INDEX('view-code'!$P$3:$P$502,'group-code'!D154),"")</f>
        <v/>
      </c>
      <c r="F154" s="9" t="str">
        <f>IF(C154=Lookup!$P$6,INDEX('card-code'!$P$3:$P$502,'group-code'!D154),"")</f>
        <v xml:space="preserve">    - light.lux_lamp</v>
      </c>
      <c r="G154" s="9" t="str">
        <f t="shared" si="5"/>
        <v xml:space="preserve">    - light.lux_lamp</v>
      </c>
      <c r="H154" s="9" t="str">
        <f>_xlfn.IFNA(IF(C154=Lookup!$Q$6,"END",""),"")</f>
        <v/>
      </c>
    </row>
    <row r="155" spans="2:8" x14ac:dyDescent="0.45">
      <c r="B155" s="9">
        <f t="shared" si="4"/>
        <v>150</v>
      </c>
      <c r="C155" s="9" t="str">
        <f>IF(D154=VLOOKUP(C154,Lookup!$P$5:$R$6,3,0),VLOOKUP(C154,Lookup!$P$5:$Q$6,2,0),C154)</f>
        <v>card</v>
      </c>
      <c r="D155" s="22">
        <f>IF(D154=VLOOKUP(C154,Lookup!$P$5:$R$6,3,0),1,D154+1)</f>
        <v>101</v>
      </c>
      <c r="E155" s="9" t="str">
        <f>IF(C155=Lookup!$P$5,INDEX('view-code'!$P$3:$P$502,'group-code'!D155),"")</f>
        <v/>
      </c>
      <c r="F155" s="9" t="str">
        <f>IF(C155=Lookup!$P$6,INDEX('card-code'!$P$3:$P$502,'group-code'!D155),"")</f>
        <v xml:space="preserve">    - light.lux_lamp_1</v>
      </c>
      <c r="G155" s="9" t="str">
        <f t="shared" si="5"/>
        <v xml:space="preserve">    - light.lux_lamp_1</v>
      </c>
      <c r="H155" s="9" t="str">
        <f>_xlfn.IFNA(IF(C155=Lookup!$Q$6,"END",""),"")</f>
        <v/>
      </c>
    </row>
    <row r="156" spans="2:8" x14ac:dyDescent="0.45">
      <c r="B156" s="9">
        <f t="shared" si="4"/>
        <v>151</v>
      </c>
      <c r="C156" s="9" t="str">
        <f>IF(D155=VLOOKUP(C155,Lookup!$P$5:$R$6,3,0),VLOOKUP(C155,Lookup!$P$5:$Q$6,2,0),C155)</f>
        <v>card</v>
      </c>
      <c r="D156" s="22">
        <f>IF(D155=VLOOKUP(C155,Lookup!$P$5:$R$6,3,0),1,D155+1)</f>
        <v>102</v>
      </c>
      <c r="E156" s="9" t="str">
        <f>IF(C156=Lookup!$P$5,INDEX('view-code'!$P$3:$P$502,'group-code'!D156),"")</f>
        <v/>
      </c>
      <c r="F156" s="9" t="str">
        <f>IF(C156=Lookup!$P$6,INDEX('card-code'!$P$3:$P$502,'group-code'!D156),"")</f>
        <v/>
      </c>
      <c r="G156" s="9" t="str">
        <f t="shared" si="5"/>
        <v/>
      </c>
      <c r="H156" s="9" t="str">
        <f>_xlfn.IFNA(IF(C156=Lookup!$Q$6,"END",""),"")</f>
        <v/>
      </c>
    </row>
    <row r="157" spans="2:8" x14ac:dyDescent="0.45">
      <c r="B157" s="9">
        <f t="shared" si="4"/>
        <v>152</v>
      </c>
      <c r="C157" s="9" t="str">
        <f>IF(D156=VLOOKUP(C156,Lookup!$P$5:$R$6,3,0),VLOOKUP(C156,Lookup!$P$5:$Q$6,2,0),C156)</f>
        <v>card</v>
      </c>
      <c r="D157" s="22">
        <f>IF(D156=VLOOKUP(C156,Lookup!$P$5:$R$6,3,0),1,D156+1)</f>
        <v>103</v>
      </c>
      <c r="E157" s="9" t="str">
        <f>IF(C157=Lookup!$P$5,INDEX('view-code'!$P$3:$P$502,'group-code'!D157),"")</f>
        <v/>
      </c>
      <c r="F157" s="9" t="str">
        <f>IF(C157=Lookup!$P$6,INDEX('card-code'!$P$3:$P$502,'group-code'!D157),"")</f>
        <v>alarm_clock:</v>
      </c>
      <c r="G157" s="9" t="str">
        <f t="shared" si="5"/>
        <v>alarm_clock:</v>
      </c>
      <c r="H157" s="9" t="str">
        <f>_xlfn.IFNA(IF(C157=Lookup!$Q$6,"END",""),"")</f>
        <v/>
      </c>
    </row>
    <row r="158" spans="2:8" x14ac:dyDescent="0.45">
      <c r="B158" s="9">
        <f t="shared" si="4"/>
        <v>153</v>
      </c>
      <c r="C158" s="9" t="str">
        <f>IF(D157=VLOOKUP(C157,Lookup!$P$5:$R$6,3,0),VLOOKUP(C157,Lookup!$P$5:$Q$6,2,0),C157)</f>
        <v>card</v>
      </c>
      <c r="D158" s="22">
        <f>IF(D157=VLOOKUP(C157,Lookup!$P$5:$R$6,3,0),1,D157+1)</f>
        <v>104</v>
      </c>
      <c r="E158" s="9" t="str">
        <f>IF(C158=Lookup!$P$5,INDEX('view-code'!$P$3:$P$502,'group-code'!D158),"")</f>
        <v/>
      </c>
      <c r="F158" s="9" t="str">
        <f>IF(C158=Lookup!$P$6,INDEX('card-code'!$P$3:$P$502,'group-code'!D158),"")</f>
        <v xml:space="preserve">  name: "Alarm Clock"</v>
      </c>
      <c r="G158" s="9" t="str">
        <f t="shared" si="5"/>
        <v xml:space="preserve">  name: "Alarm Clock"</v>
      </c>
      <c r="H158" s="9" t="str">
        <f>_xlfn.IFNA(IF(C158=Lookup!$Q$6,"END",""),"")</f>
        <v/>
      </c>
    </row>
    <row r="159" spans="2:8" x14ac:dyDescent="0.45">
      <c r="B159" s="9">
        <f t="shared" si="4"/>
        <v>154</v>
      </c>
      <c r="C159" s="9" t="str">
        <f>IF(D158=VLOOKUP(C158,Lookup!$P$5:$R$6,3,0),VLOOKUP(C158,Lookup!$P$5:$Q$6,2,0),C158)</f>
        <v>card</v>
      </c>
      <c r="D159" s="22">
        <f>IF(D158=VLOOKUP(C158,Lookup!$P$5:$R$6,3,0),1,D158+1)</f>
        <v>105</v>
      </c>
      <c r="E159" s="9" t="str">
        <f>IF(C159=Lookup!$P$5,INDEX('view-code'!$P$3:$P$502,'group-code'!D159),"")</f>
        <v/>
      </c>
      <c r="F159" s="9" t="str">
        <f>IF(C159=Lookup!$P$6,INDEX('card-code'!$P$3:$P$502,'group-code'!D159),"")</f>
        <v xml:space="preserve">  entities:</v>
      </c>
      <c r="G159" s="9" t="str">
        <f t="shared" si="5"/>
        <v xml:space="preserve">  entities:</v>
      </c>
      <c r="H159" s="9" t="str">
        <f>_xlfn.IFNA(IF(C159=Lookup!$Q$6,"END",""),"")</f>
        <v/>
      </c>
    </row>
    <row r="160" spans="2:8" x14ac:dyDescent="0.45">
      <c r="B160" s="9">
        <f t="shared" si="4"/>
        <v>155</v>
      </c>
      <c r="C160" s="9" t="str">
        <f>IF(D159=VLOOKUP(C159,Lookup!$P$5:$R$6,3,0),VLOOKUP(C159,Lookup!$P$5:$Q$6,2,0),C159)</f>
        <v>card</v>
      </c>
      <c r="D160" s="22">
        <f>IF(D159=VLOOKUP(C159,Lookup!$P$5:$R$6,3,0),1,D159+1)</f>
        <v>106</v>
      </c>
      <c r="E160" s="9" t="str">
        <f>IF(C160=Lookup!$P$5,INDEX('view-code'!$P$3:$P$502,'group-code'!D160),"")</f>
        <v/>
      </c>
      <c r="F160" s="9" t="str">
        <f>IF(C160=Lookup!$P$6,INDEX('card-code'!$P$3:$P$502,'group-code'!D160),"")</f>
        <v xml:space="preserve">    - sensor.alarm_clock_time</v>
      </c>
      <c r="G160" s="9" t="str">
        <f t="shared" si="5"/>
        <v xml:space="preserve">    - sensor.alarm_clock_time</v>
      </c>
      <c r="H160" s="9" t="str">
        <f>_xlfn.IFNA(IF(C160=Lookup!$Q$6,"END",""),"")</f>
        <v/>
      </c>
    </row>
    <row r="161" spans="2:8" x14ac:dyDescent="0.45">
      <c r="B161" s="9">
        <f t="shared" si="4"/>
        <v>156</v>
      </c>
      <c r="C161" s="9" t="str">
        <f>IF(D160=VLOOKUP(C160,Lookup!$P$5:$R$6,3,0),VLOOKUP(C160,Lookup!$P$5:$Q$6,2,0),C160)</f>
        <v>card</v>
      </c>
      <c r="D161" s="22">
        <f>IF(D160=VLOOKUP(C160,Lookup!$P$5:$R$6,3,0),1,D160+1)</f>
        <v>107</v>
      </c>
      <c r="E161" s="9" t="str">
        <f>IF(C161=Lookup!$P$5,INDEX('view-code'!$P$3:$P$502,'group-code'!D161),"")</f>
        <v/>
      </c>
      <c r="F161" s="9" t="str">
        <f>IF(C161=Lookup!$P$6,INDEX('card-code'!$P$3:$P$502,'group-code'!D161),"")</f>
        <v xml:space="preserve">    - input_slider.alarm_clock_hour</v>
      </c>
      <c r="G161" s="9" t="str">
        <f t="shared" si="5"/>
        <v xml:space="preserve">    - input_slider.alarm_clock_hour</v>
      </c>
      <c r="H161" s="9" t="str">
        <f>_xlfn.IFNA(IF(C161=Lookup!$Q$6,"END",""),"")</f>
        <v/>
      </c>
    </row>
    <row r="162" spans="2:8" x14ac:dyDescent="0.45">
      <c r="B162" s="9">
        <f t="shared" si="4"/>
        <v>157</v>
      </c>
      <c r="C162" s="9" t="str">
        <f>IF(D161=VLOOKUP(C161,Lookup!$P$5:$R$6,3,0),VLOOKUP(C161,Lookup!$P$5:$Q$6,2,0),C161)</f>
        <v>card</v>
      </c>
      <c r="D162" s="22">
        <f>IF(D161=VLOOKUP(C161,Lookup!$P$5:$R$6,3,0),1,D161+1)</f>
        <v>108</v>
      </c>
      <c r="E162" s="9" t="str">
        <f>IF(C162=Lookup!$P$5,INDEX('view-code'!$P$3:$P$502,'group-code'!D162),"")</f>
        <v/>
      </c>
      <c r="F162" s="9" t="str">
        <f>IF(C162=Lookup!$P$6,INDEX('card-code'!$P$3:$P$502,'group-code'!D162),"")</f>
        <v xml:space="preserve">    - input_slider.alarm_clock_minute</v>
      </c>
      <c r="G162" s="9" t="str">
        <f t="shared" si="5"/>
        <v xml:space="preserve">    - input_slider.alarm_clock_minute</v>
      </c>
      <c r="H162" s="9" t="str">
        <f>_xlfn.IFNA(IF(C162=Lookup!$Q$6,"END",""),"")</f>
        <v/>
      </c>
    </row>
    <row r="163" spans="2:8" x14ac:dyDescent="0.45">
      <c r="B163" s="9">
        <f t="shared" si="4"/>
        <v>158</v>
      </c>
      <c r="C163" s="9" t="str">
        <f>IF(D162=VLOOKUP(C162,Lookup!$P$5:$R$6,3,0),VLOOKUP(C162,Lookup!$P$5:$Q$6,2,0),C162)</f>
        <v>card</v>
      </c>
      <c r="D163" s="22">
        <f>IF(D162=VLOOKUP(C162,Lookup!$P$5:$R$6,3,0),1,D162+1)</f>
        <v>109</v>
      </c>
      <c r="E163" s="9" t="str">
        <f>IF(C163=Lookup!$P$5,INDEX('view-code'!$P$3:$P$502,'group-code'!D163),"")</f>
        <v/>
      </c>
      <c r="F163" s="9" t="str">
        <f>IF(C163=Lookup!$P$6,INDEX('card-code'!$P$3:$P$502,'group-code'!D163),"")</f>
        <v xml:space="preserve">    - input_boolean.alarm_clock_status</v>
      </c>
      <c r="G163" s="9" t="str">
        <f t="shared" si="5"/>
        <v xml:space="preserve">    - input_boolean.alarm_clock_status</v>
      </c>
      <c r="H163" s="9" t="str">
        <f>_xlfn.IFNA(IF(C163=Lookup!$Q$6,"END",""),"")</f>
        <v/>
      </c>
    </row>
    <row r="164" spans="2:8" x14ac:dyDescent="0.45">
      <c r="B164" s="9">
        <f t="shared" si="4"/>
        <v>159</v>
      </c>
      <c r="C164" s="9" t="str">
        <f>IF(D163=VLOOKUP(C163,Lookup!$P$5:$R$6,3,0),VLOOKUP(C163,Lookup!$P$5:$Q$6,2,0),C163)</f>
        <v>card</v>
      </c>
      <c r="D164" s="22">
        <f>IF(D163=VLOOKUP(C163,Lookup!$P$5:$R$6,3,0),1,D163+1)</f>
        <v>110</v>
      </c>
      <c r="E164" s="9" t="str">
        <f>IF(C164=Lookup!$P$5,INDEX('view-code'!$P$3:$P$502,'group-code'!D164),"")</f>
        <v/>
      </c>
      <c r="F164" s="9" t="str">
        <f>IF(C164=Lookup!$P$6,INDEX('card-code'!$P$3:$P$502,'group-code'!D164),"")</f>
        <v/>
      </c>
      <c r="G164" s="9" t="str">
        <f t="shared" si="5"/>
        <v/>
      </c>
      <c r="H164" s="9" t="str">
        <f>_xlfn.IFNA(IF(C164=Lookup!$Q$6,"END",""),"")</f>
        <v/>
      </c>
    </row>
    <row r="165" spans="2:8" x14ac:dyDescent="0.45">
      <c r="B165" s="9">
        <f t="shared" si="4"/>
        <v>160</v>
      </c>
      <c r="C165" s="9" t="str">
        <f>IF(D164=VLOOKUP(C164,Lookup!$P$5:$R$6,3,0),VLOOKUP(C164,Lookup!$P$5:$Q$6,2,0),C164)</f>
        <v>card</v>
      </c>
      <c r="D165" s="22">
        <f>IF(D164=VLOOKUP(C164,Lookup!$P$5:$R$6,3,0),1,D164+1)</f>
        <v>111</v>
      </c>
      <c r="E165" s="9" t="str">
        <f>IF(C165=Lookup!$P$5,INDEX('view-code'!$P$3:$P$502,'group-code'!D165),"")</f>
        <v/>
      </c>
      <c r="F165" s="9" t="str">
        <f>IF(C165=Lookup!$P$6,INDEX('card-code'!$P$3:$P$502,'group-code'!D165),"")</f>
        <v>environment:</v>
      </c>
      <c r="G165" s="9" t="str">
        <f t="shared" si="5"/>
        <v>environment:</v>
      </c>
      <c r="H165" s="9" t="str">
        <f>_xlfn.IFNA(IF(C165=Lookup!$Q$6,"END",""),"")</f>
        <v/>
      </c>
    </row>
    <row r="166" spans="2:8" x14ac:dyDescent="0.45">
      <c r="B166" s="9">
        <f t="shared" si="4"/>
        <v>161</v>
      </c>
      <c r="C166" s="9" t="str">
        <f>IF(D165=VLOOKUP(C165,Lookup!$P$5:$R$6,3,0),VLOOKUP(C165,Lookup!$P$5:$Q$6,2,0),C165)</f>
        <v>card</v>
      </c>
      <c r="D166" s="22">
        <f>IF(D165=VLOOKUP(C165,Lookup!$P$5:$R$6,3,0),1,D165+1)</f>
        <v>112</v>
      </c>
      <c r="E166" s="9" t="str">
        <f>IF(C166=Lookup!$P$5,INDEX('view-code'!$P$3:$P$502,'group-code'!D166),"")</f>
        <v/>
      </c>
      <c r="F166" s="9" t="str">
        <f>IF(C166=Lookup!$P$6,INDEX('card-code'!$P$3:$P$502,'group-code'!D166),"")</f>
        <v xml:space="preserve">  name: "Environment || Forecast"</v>
      </c>
      <c r="G166" s="9" t="str">
        <f t="shared" si="5"/>
        <v xml:space="preserve">  name: "Environment || Forecast"</v>
      </c>
      <c r="H166" s="9" t="str">
        <f>_xlfn.IFNA(IF(C166=Lookup!$Q$6,"END",""),"")</f>
        <v/>
      </c>
    </row>
    <row r="167" spans="2:8" x14ac:dyDescent="0.45">
      <c r="B167" s="9">
        <f t="shared" si="4"/>
        <v>162</v>
      </c>
      <c r="C167" s="9" t="str">
        <f>IF(D166=VLOOKUP(C166,Lookup!$P$5:$R$6,3,0),VLOOKUP(C166,Lookup!$P$5:$Q$6,2,0),C166)</f>
        <v>card</v>
      </c>
      <c r="D167" s="22">
        <f>IF(D166=VLOOKUP(C166,Lookup!$P$5:$R$6,3,0),1,D166+1)</f>
        <v>113</v>
      </c>
      <c r="E167" s="9" t="str">
        <f>IF(C167=Lookup!$P$5,INDEX('view-code'!$P$3:$P$502,'group-code'!D167),"")</f>
        <v/>
      </c>
      <c r="F167" s="9" t="str">
        <f>IF(C167=Lookup!$P$6,INDEX('card-code'!$P$3:$P$502,'group-code'!D167),"")</f>
        <v xml:space="preserve">  entities:</v>
      </c>
      <c r="G167" s="9" t="str">
        <f t="shared" si="5"/>
        <v xml:space="preserve">  entities:</v>
      </c>
      <c r="H167" s="9" t="str">
        <f>_xlfn.IFNA(IF(C167=Lookup!$Q$6,"END",""),"")</f>
        <v/>
      </c>
    </row>
    <row r="168" spans="2:8" x14ac:dyDescent="0.45">
      <c r="B168" s="9">
        <f t="shared" si="4"/>
        <v>163</v>
      </c>
      <c r="C168" s="9" t="str">
        <f>IF(D167=VLOOKUP(C167,Lookup!$P$5:$R$6,3,0),VLOOKUP(C167,Lookup!$P$5:$Q$6,2,0),C167)</f>
        <v>card</v>
      </c>
      <c r="D168" s="22">
        <f>IF(D167=VLOOKUP(C167,Lookup!$P$5:$R$6,3,0),1,D167+1)</f>
        <v>114</v>
      </c>
      <c r="E168" s="9" t="str">
        <f>IF(C168=Lookup!$P$5,INDEX('view-code'!$P$3:$P$502,'group-code'!D168),"")</f>
        <v/>
      </c>
      <c r="F168" s="9" t="str">
        <f>IF(C168=Lookup!$P$6,INDEX('card-code'!$P$3:$P$502,'group-code'!D168),"")</f>
        <v xml:space="preserve">    - sensor.dark_sky_minutely_summary</v>
      </c>
      <c r="G168" s="9" t="str">
        <f t="shared" si="5"/>
        <v xml:space="preserve">    - sensor.dark_sky_minutely_summary</v>
      </c>
      <c r="H168" s="9" t="str">
        <f>_xlfn.IFNA(IF(C168=Lookup!$Q$6,"END",""),"")</f>
        <v/>
      </c>
    </row>
    <row r="169" spans="2:8" x14ac:dyDescent="0.45">
      <c r="B169" s="9">
        <f t="shared" si="4"/>
        <v>164</v>
      </c>
      <c r="C169" s="9" t="str">
        <f>IF(D168=VLOOKUP(C168,Lookup!$P$5:$R$6,3,0),VLOOKUP(C168,Lookup!$P$5:$Q$6,2,0),C168)</f>
        <v>card</v>
      </c>
      <c r="D169" s="22">
        <f>IF(D168=VLOOKUP(C168,Lookup!$P$5:$R$6,3,0),1,D168+1)</f>
        <v>115</v>
      </c>
      <c r="E169" s="9" t="str">
        <f>IF(C169=Lookup!$P$5,INDEX('view-code'!$P$3:$P$502,'group-code'!D169),"")</f>
        <v/>
      </c>
      <c r="F169" s="9" t="str">
        <f>IF(C169=Lookup!$P$6,INDEX('card-code'!$P$3:$P$502,'group-code'!D169),"")</f>
        <v xml:space="preserve">    - sensor.dark_sky_apparent_temperature</v>
      </c>
      <c r="G169" s="9" t="str">
        <f t="shared" si="5"/>
        <v xml:space="preserve">    - sensor.dark_sky_apparent_temperature</v>
      </c>
      <c r="H169" s="9" t="str">
        <f>_xlfn.IFNA(IF(C169=Lookup!$Q$6,"END",""),"")</f>
        <v/>
      </c>
    </row>
    <row r="170" spans="2:8" x14ac:dyDescent="0.45">
      <c r="B170" s="9">
        <f t="shared" si="4"/>
        <v>165</v>
      </c>
      <c r="C170" s="9" t="str">
        <f>IF(D169=VLOOKUP(C169,Lookup!$P$5:$R$6,3,0),VLOOKUP(C169,Lookup!$P$5:$Q$6,2,0),C169)</f>
        <v>card</v>
      </c>
      <c r="D170" s="22">
        <f>IF(D169=VLOOKUP(C169,Lookup!$P$5:$R$6,3,0),1,D169+1)</f>
        <v>116</v>
      </c>
      <c r="E170" s="9" t="str">
        <f>IF(C170=Lookup!$P$5,INDEX('view-code'!$P$3:$P$502,'group-code'!D170),"")</f>
        <v/>
      </c>
      <c r="F170" s="9" t="str">
        <f>IF(C170=Lookup!$P$6,INDEX('card-code'!$P$3:$P$502,'group-code'!D170),"")</f>
        <v xml:space="preserve">    - sensor.dark_sky_precip_probability</v>
      </c>
      <c r="G170" s="9" t="str">
        <f t="shared" si="5"/>
        <v xml:space="preserve">    - sensor.dark_sky_precip_probability</v>
      </c>
      <c r="H170" s="9" t="str">
        <f>_xlfn.IFNA(IF(C170=Lookup!$Q$6,"END",""),"")</f>
        <v/>
      </c>
    </row>
    <row r="171" spans="2:8" x14ac:dyDescent="0.45">
      <c r="B171" s="9">
        <f t="shared" si="4"/>
        <v>166</v>
      </c>
      <c r="C171" s="9" t="str">
        <f>IF(D170=VLOOKUP(C170,Lookup!$P$5:$R$6,3,0),VLOOKUP(C170,Lookup!$P$5:$Q$6,2,0),C170)</f>
        <v>card</v>
      </c>
      <c r="D171" s="22">
        <f>IF(D170=VLOOKUP(C170,Lookup!$P$5:$R$6,3,0),1,D170+1)</f>
        <v>117</v>
      </c>
      <c r="E171" s="9" t="str">
        <f>IF(C171=Lookup!$P$5,INDEX('view-code'!$P$3:$P$502,'group-code'!D171),"")</f>
        <v/>
      </c>
      <c r="F171" s="9" t="str">
        <f>IF(C171=Lookup!$P$6,INDEX('card-code'!$P$3:$P$502,'group-code'!D171),"")</f>
        <v xml:space="preserve">    - sensor.dark_sky_hourly_summary</v>
      </c>
      <c r="G171" s="9" t="str">
        <f t="shared" si="5"/>
        <v xml:space="preserve">    - sensor.dark_sky_hourly_summary</v>
      </c>
      <c r="H171" s="9" t="str">
        <f>_xlfn.IFNA(IF(C171=Lookup!$Q$6,"END",""),"")</f>
        <v/>
      </c>
    </row>
    <row r="172" spans="2:8" x14ac:dyDescent="0.45">
      <c r="B172" s="9">
        <f t="shared" si="4"/>
        <v>167</v>
      </c>
      <c r="C172" s="9" t="str">
        <f>IF(D171=VLOOKUP(C171,Lookup!$P$5:$R$6,3,0),VLOOKUP(C171,Lookup!$P$5:$Q$6,2,0),C171)</f>
        <v>card</v>
      </c>
      <c r="D172" s="22">
        <f>IF(D171=VLOOKUP(C171,Lookup!$P$5:$R$6,3,0),1,D171+1)</f>
        <v>118</v>
      </c>
      <c r="E172" s="9" t="str">
        <f>IF(C172=Lookup!$P$5,INDEX('view-code'!$P$3:$P$502,'group-code'!D172),"")</f>
        <v/>
      </c>
      <c r="F172" s="9" t="str">
        <f>IF(C172=Lookup!$P$6,INDEX('card-code'!$P$3:$P$502,'group-code'!D172),"")</f>
        <v xml:space="preserve">    - sensor.dark_sky_daily_summary</v>
      </c>
      <c r="G172" s="9" t="str">
        <f t="shared" si="5"/>
        <v xml:space="preserve">    - sensor.dark_sky_daily_summary</v>
      </c>
      <c r="H172" s="9" t="str">
        <f>_xlfn.IFNA(IF(C172=Lookup!$Q$6,"END",""),"")</f>
        <v/>
      </c>
    </row>
    <row r="173" spans="2:8" x14ac:dyDescent="0.45">
      <c r="B173" s="9">
        <f t="shared" si="4"/>
        <v>168</v>
      </c>
      <c r="C173" s="9" t="str">
        <f>IF(D172=VLOOKUP(C172,Lookup!$P$5:$R$6,3,0),VLOOKUP(C172,Lookup!$P$5:$Q$6,2,0),C172)</f>
        <v>card</v>
      </c>
      <c r="D173" s="22">
        <f>IF(D172=VLOOKUP(C172,Lookup!$P$5:$R$6,3,0),1,D172+1)</f>
        <v>119</v>
      </c>
      <c r="E173" s="9" t="str">
        <f>IF(C173=Lookup!$P$5,INDEX('view-code'!$P$3:$P$502,'group-code'!D173),"")</f>
        <v/>
      </c>
      <c r="F173" s="9" t="str">
        <f>IF(C173=Lookup!$P$6,INDEX('card-code'!$P$3:$P$502,'group-code'!D173),"")</f>
        <v/>
      </c>
      <c r="G173" s="9" t="str">
        <f t="shared" si="5"/>
        <v/>
      </c>
      <c r="H173" s="9" t="str">
        <f>_xlfn.IFNA(IF(C173=Lookup!$Q$6,"END",""),"")</f>
        <v/>
      </c>
    </row>
    <row r="174" spans="2:8" x14ac:dyDescent="0.45">
      <c r="B174" s="9">
        <f t="shared" si="4"/>
        <v>169</v>
      </c>
      <c r="C174" s="9" t="str">
        <f>IF(D173=VLOOKUP(C173,Lookup!$P$5:$R$6,3,0),VLOOKUP(C173,Lookup!$P$5:$Q$6,2,0),C173)</f>
        <v>card</v>
      </c>
      <c r="D174" s="22">
        <f>IF(D173=VLOOKUP(C173,Lookup!$P$5:$R$6,3,0),1,D173+1)</f>
        <v>120</v>
      </c>
      <c r="E174" s="9" t="str">
        <f>IF(C174=Lookup!$P$5,INDEX('view-code'!$P$3:$P$502,'group-code'!D174),"")</f>
        <v/>
      </c>
      <c r="F174" s="9" t="str">
        <f>IF(C174=Lookup!$P$6,INDEX('card-code'!$P$3:$P$502,'group-code'!D174),"")</f>
        <v>environment_detail:</v>
      </c>
      <c r="G174" s="9" t="str">
        <f t="shared" si="5"/>
        <v>environment_detail:</v>
      </c>
      <c r="H174" s="9" t="str">
        <f>_xlfn.IFNA(IF(C174=Lookup!$Q$6,"END",""),"")</f>
        <v/>
      </c>
    </row>
    <row r="175" spans="2:8" x14ac:dyDescent="0.45">
      <c r="B175" s="9">
        <f t="shared" si="4"/>
        <v>170</v>
      </c>
      <c r="C175" s="9" t="str">
        <f>IF(D174=VLOOKUP(C174,Lookup!$P$5:$R$6,3,0),VLOOKUP(C174,Lookup!$P$5:$Q$6,2,0),C174)</f>
        <v>card</v>
      </c>
      <c r="D175" s="22">
        <f>IF(D174=VLOOKUP(C174,Lookup!$P$5:$R$6,3,0),1,D174+1)</f>
        <v>121</v>
      </c>
      <c r="E175" s="9" t="str">
        <f>IF(C175=Lookup!$P$5,INDEX('view-code'!$P$3:$P$502,'group-code'!D175),"")</f>
        <v/>
      </c>
      <c r="F175" s="9" t="str">
        <f>IF(C175=Lookup!$P$6,INDEX('card-code'!$P$3:$P$502,'group-code'!D175),"")</f>
        <v xml:space="preserve">  name: "Environment Detail"</v>
      </c>
      <c r="G175" s="9" t="str">
        <f t="shared" si="5"/>
        <v xml:space="preserve">  name: "Environment Detail"</v>
      </c>
      <c r="H175" s="9" t="str">
        <f>_xlfn.IFNA(IF(C175=Lookup!$Q$6,"END",""),"")</f>
        <v/>
      </c>
    </row>
    <row r="176" spans="2:8" x14ac:dyDescent="0.45">
      <c r="B176" s="9">
        <f t="shared" si="4"/>
        <v>171</v>
      </c>
      <c r="C176" s="9" t="str">
        <f>IF(D175=VLOOKUP(C175,Lookup!$P$5:$R$6,3,0),VLOOKUP(C175,Lookup!$P$5:$Q$6,2,0),C175)</f>
        <v>card</v>
      </c>
      <c r="D176" s="22">
        <f>IF(D175=VLOOKUP(C175,Lookup!$P$5:$R$6,3,0),1,D175+1)</f>
        <v>122</v>
      </c>
      <c r="E176" s="9" t="str">
        <f>IF(C176=Lookup!$P$5,INDEX('view-code'!$P$3:$P$502,'group-code'!D176),"")</f>
        <v/>
      </c>
      <c r="F176" s="9" t="str">
        <f>IF(C176=Lookup!$P$6,INDEX('card-code'!$P$3:$P$502,'group-code'!D176),"")</f>
        <v xml:space="preserve">  entities:</v>
      </c>
      <c r="G176" s="9" t="str">
        <f t="shared" si="5"/>
        <v xml:space="preserve">  entities:</v>
      </c>
      <c r="H176" s="9" t="str">
        <f>_xlfn.IFNA(IF(C176=Lookup!$Q$6,"END",""),"")</f>
        <v/>
      </c>
    </row>
    <row r="177" spans="2:8" x14ac:dyDescent="0.45">
      <c r="B177" s="9">
        <f t="shared" si="4"/>
        <v>172</v>
      </c>
      <c r="C177" s="9" t="str">
        <f>IF(D176=VLOOKUP(C176,Lookup!$P$5:$R$6,3,0),VLOOKUP(C176,Lookup!$P$5:$Q$6,2,0),C176)</f>
        <v>card</v>
      </c>
      <c r="D177" s="22">
        <f>IF(D176=VLOOKUP(C176,Lookup!$P$5:$R$6,3,0),1,D176+1)</f>
        <v>123</v>
      </c>
      <c r="E177" s="9" t="str">
        <f>IF(C177=Lookup!$P$5,INDEX('view-code'!$P$3:$P$502,'group-code'!D177),"")</f>
        <v/>
      </c>
      <c r="F177" s="9" t="str">
        <f>IF(C177=Lookup!$P$6,INDEX('card-code'!$P$3:$P$502,'group-code'!D177),"")</f>
        <v xml:space="preserve">    - sensor.dark_sky_precip</v>
      </c>
      <c r="G177" s="9" t="str">
        <f t="shared" si="5"/>
        <v xml:space="preserve">    - sensor.dark_sky_precip</v>
      </c>
      <c r="H177" s="9" t="str">
        <f>_xlfn.IFNA(IF(C177=Lookup!$Q$6,"END",""),"")</f>
        <v/>
      </c>
    </row>
    <row r="178" spans="2:8" x14ac:dyDescent="0.45">
      <c r="B178" s="9">
        <f t="shared" si="4"/>
        <v>173</v>
      </c>
      <c r="C178" s="9" t="str">
        <f>IF(D177=VLOOKUP(C177,Lookup!$P$5:$R$6,3,0),VLOOKUP(C177,Lookup!$P$5:$Q$6,2,0),C177)</f>
        <v>card</v>
      </c>
      <c r="D178" s="22">
        <f>IF(D177=VLOOKUP(C177,Lookup!$P$5:$R$6,3,0),1,D177+1)</f>
        <v>124</v>
      </c>
      <c r="E178" s="9" t="str">
        <f>IF(C178=Lookup!$P$5,INDEX('view-code'!$P$3:$P$502,'group-code'!D178),"")</f>
        <v/>
      </c>
      <c r="F178" s="9" t="str">
        <f>IF(C178=Lookup!$P$6,INDEX('card-code'!$P$3:$P$502,'group-code'!D178),"")</f>
        <v xml:space="preserve">    - sensor.dark_sky_precip_intensity</v>
      </c>
      <c r="G178" s="9" t="str">
        <f t="shared" si="5"/>
        <v xml:space="preserve">    - sensor.dark_sky_precip_intensity</v>
      </c>
      <c r="H178" s="9" t="str">
        <f>_xlfn.IFNA(IF(C178=Lookup!$Q$6,"END",""),"")</f>
        <v/>
      </c>
    </row>
    <row r="179" spans="2:8" x14ac:dyDescent="0.45">
      <c r="B179" s="9">
        <f t="shared" si="4"/>
        <v>174</v>
      </c>
      <c r="C179" s="9" t="str">
        <f>IF(D178=VLOOKUP(C178,Lookup!$P$5:$R$6,3,0),VLOOKUP(C178,Lookup!$P$5:$Q$6,2,0),C178)</f>
        <v>card</v>
      </c>
      <c r="D179" s="22">
        <f>IF(D178=VLOOKUP(C178,Lookup!$P$5:$R$6,3,0),1,D178+1)</f>
        <v>125</v>
      </c>
      <c r="E179" s="9" t="str">
        <f>IF(C179=Lookup!$P$5,INDEX('view-code'!$P$3:$P$502,'group-code'!D179),"")</f>
        <v/>
      </c>
      <c r="F179" s="9" t="str">
        <f>IF(C179=Lookup!$P$6,INDEX('card-code'!$P$3:$P$502,'group-code'!D179),"")</f>
        <v xml:space="preserve">    - sensor.dark_sky_daily_max_precip_intensity</v>
      </c>
      <c r="G179" s="9" t="str">
        <f t="shared" si="5"/>
        <v xml:space="preserve">    - sensor.dark_sky_daily_max_precip_intensity</v>
      </c>
      <c r="H179" s="9" t="str">
        <f>_xlfn.IFNA(IF(C179=Lookup!$Q$6,"END",""),"")</f>
        <v/>
      </c>
    </row>
    <row r="180" spans="2:8" x14ac:dyDescent="0.45">
      <c r="B180" s="9">
        <f t="shared" si="4"/>
        <v>175</v>
      </c>
      <c r="C180" s="9" t="str">
        <f>IF(D179=VLOOKUP(C179,Lookup!$P$5:$R$6,3,0),VLOOKUP(C179,Lookup!$P$5:$Q$6,2,0),C179)</f>
        <v>card</v>
      </c>
      <c r="D180" s="22">
        <f>IF(D179=VLOOKUP(C179,Lookup!$P$5:$R$6,3,0),1,D179+1)</f>
        <v>126</v>
      </c>
      <c r="E180" s="9" t="str">
        <f>IF(C180=Lookup!$P$5,INDEX('view-code'!$P$3:$P$502,'group-code'!D180),"")</f>
        <v/>
      </c>
      <c r="F180" s="9" t="str">
        <f>IF(C180=Lookup!$P$6,INDEX('card-code'!$P$3:$P$502,'group-code'!D180),"")</f>
        <v xml:space="preserve">    - sensor.dark_sky_daily_high_temperature</v>
      </c>
      <c r="G180" s="9" t="str">
        <f t="shared" si="5"/>
        <v xml:space="preserve">    - sensor.dark_sky_daily_high_temperature</v>
      </c>
      <c r="H180" s="9" t="str">
        <f>_xlfn.IFNA(IF(C180=Lookup!$Q$6,"END",""),"")</f>
        <v/>
      </c>
    </row>
    <row r="181" spans="2:8" x14ac:dyDescent="0.45">
      <c r="B181" s="9">
        <f t="shared" si="4"/>
        <v>176</v>
      </c>
      <c r="C181" s="9" t="str">
        <f>IF(D180=VLOOKUP(C180,Lookup!$P$5:$R$6,3,0),VLOOKUP(C180,Lookup!$P$5:$Q$6,2,0),C180)</f>
        <v>card</v>
      </c>
      <c r="D181" s="22">
        <f>IF(D180=VLOOKUP(C180,Lookup!$P$5:$R$6,3,0),1,D180+1)</f>
        <v>127</v>
      </c>
      <c r="E181" s="9" t="str">
        <f>IF(C181=Lookup!$P$5,INDEX('view-code'!$P$3:$P$502,'group-code'!D181),"")</f>
        <v/>
      </c>
      <c r="F181" s="9" t="str">
        <f>IF(C181=Lookup!$P$6,INDEX('card-code'!$P$3:$P$502,'group-code'!D181),"")</f>
        <v xml:space="preserve">    - sensor.dark_sky_apparent_temperature</v>
      </c>
      <c r="G181" s="9" t="str">
        <f t="shared" si="5"/>
        <v xml:space="preserve">    - sensor.dark_sky_apparent_temperature</v>
      </c>
      <c r="H181" s="9" t="str">
        <f>_xlfn.IFNA(IF(C181=Lookup!$Q$6,"END",""),"")</f>
        <v/>
      </c>
    </row>
    <row r="182" spans="2:8" x14ac:dyDescent="0.45">
      <c r="B182" s="9">
        <f t="shared" si="4"/>
        <v>177</v>
      </c>
      <c r="C182" s="9" t="str">
        <f>IF(D181=VLOOKUP(C181,Lookup!$P$5:$R$6,3,0),VLOOKUP(C181,Lookup!$P$5:$Q$6,2,0),C181)</f>
        <v>card</v>
      </c>
      <c r="D182" s="22">
        <f>IF(D181=VLOOKUP(C181,Lookup!$P$5:$R$6,3,0),1,D181+1)</f>
        <v>128</v>
      </c>
      <c r="E182" s="9" t="str">
        <f>IF(C182=Lookup!$P$5,INDEX('view-code'!$P$3:$P$502,'group-code'!D182),"")</f>
        <v/>
      </c>
      <c r="F182" s="9" t="str">
        <f>IF(C182=Lookup!$P$6,INDEX('card-code'!$P$3:$P$502,'group-code'!D182),"")</f>
        <v xml:space="preserve">    - sensor.dark_sky_daily_low_temperature</v>
      </c>
      <c r="G182" s="9" t="str">
        <f t="shared" si="5"/>
        <v xml:space="preserve">    - sensor.dark_sky_daily_low_temperature</v>
      </c>
      <c r="H182" s="9" t="str">
        <f>_xlfn.IFNA(IF(C182=Lookup!$Q$6,"END",""),"")</f>
        <v/>
      </c>
    </row>
    <row r="183" spans="2:8" x14ac:dyDescent="0.45">
      <c r="B183" s="9">
        <f t="shared" si="4"/>
        <v>178</v>
      </c>
      <c r="C183" s="9" t="str">
        <f>IF(D182=VLOOKUP(C182,Lookup!$P$5:$R$6,3,0),VLOOKUP(C182,Lookup!$P$5:$Q$6,2,0),C182)</f>
        <v>card</v>
      </c>
      <c r="D183" s="22">
        <f>IF(D182=VLOOKUP(C182,Lookup!$P$5:$R$6,3,0),1,D182+1)</f>
        <v>129</v>
      </c>
      <c r="E183" s="9" t="str">
        <f>IF(C183=Lookup!$P$5,INDEX('view-code'!$P$3:$P$502,'group-code'!D183),"")</f>
        <v/>
      </c>
      <c r="F183" s="9" t="str">
        <f>IF(C183=Lookup!$P$6,INDEX('card-code'!$P$3:$P$502,'group-code'!D183),"")</f>
        <v xml:space="preserve">    - sensor.dark_sky_daily_high_apparent_temperature</v>
      </c>
      <c r="G183" s="9" t="str">
        <f t="shared" si="5"/>
        <v xml:space="preserve">    - sensor.dark_sky_daily_high_apparent_temperature</v>
      </c>
      <c r="H183" s="9" t="str">
        <f>_xlfn.IFNA(IF(C183=Lookup!$Q$6,"END",""),"")</f>
        <v/>
      </c>
    </row>
    <row r="184" spans="2:8" x14ac:dyDescent="0.45">
      <c r="B184" s="9">
        <f t="shared" si="4"/>
        <v>179</v>
      </c>
      <c r="C184" s="9" t="str">
        <f>IF(D183=VLOOKUP(C183,Lookup!$P$5:$R$6,3,0),VLOOKUP(C183,Lookup!$P$5:$Q$6,2,0),C183)</f>
        <v>card</v>
      </c>
      <c r="D184" s="22">
        <f>IF(D183=VLOOKUP(C183,Lookup!$P$5:$R$6,3,0),1,D183+1)</f>
        <v>130</v>
      </c>
      <c r="E184" s="9" t="str">
        <f>IF(C184=Lookup!$P$5,INDEX('view-code'!$P$3:$P$502,'group-code'!D184),"")</f>
        <v/>
      </c>
      <c r="F184" s="9" t="str">
        <f>IF(C184=Lookup!$P$6,INDEX('card-code'!$P$3:$P$502,'group-code'!D184),"")</f>
        <v xml:space="preserve">    - sensor.dark_sky_temperature</v>
      </c>
      <c r="G184" s="9" t="str">
        <f t="shared" si="5"/>
        <v xml:space="preserve">    - sensor.dark_sky_temperature</v>
      </c>
      <c r="H184" s="9" t="str">
        <f>_xlfn.IFNA(IF(C184=Lookup!$Q$6,"END",""),"")</f>
        <v/>
      </c>
    </row>
    <row r="185" spans="2:8" x14ac:dyDescent="0.45">
      <c r="B185" s="9">
        <f t="shared" si="4"/>
        <v>180</v>
      </c>
      <c r="C185" s="9" t="str">
        <f>IF(D184=VLOOKUP(C184,Lookup!$P$5:$R$6,3,0),VLOOKUP(C184,Lookup!$P$5:$Q$6,2,0),C184)</f>
        <v>card</v>
      </c>
      <c r="D185" s="22">
        <f>IF(D184=VLOOKUP(C184,Lookup!$P$5:$R$6,3,0),1,D184+1)</f>
        <v>131</v>
      </c>
      <c r="E185" s="9" t="str">
        <f>IF(C185=Lookup!$P$5,INDEX('view-code'!$P$3:$P$502,'group-code'!D185),"")</f>
        <v/>
      </c>
      <c r="F185" s="9" t="str">
        <f>IF(C185=Lookup!$P$6,INDEX('card-code'!$P$3:$P$502,'group-code'!D185),"")</f>
        <v xml:space="preserve">    - sensor.dark_sky_daily_low_apparent_temperature</v>
      </c>
      <c r="G185" s="9" t="str">
        <f t="shared" si="5"/>
        <v xml:space="preserve">    - sensor.dark_sky_daily_low_apparent_temperature</v>
      </c>
      <c r="H185" s="9" t="str">
        <f>_xlfn.IFNA(IF(C185=Lookup!$Q$6,"END",""),"")</f>
        <v/>
      </c>
    </row>
    <row r="186" spans="2:8" x14ac:dyDescent="0.45">
      <c r="B186" s="9">
        <f t="shared" si="4"/>
        <v>181</v>
      </c>
      <c r="C186" s="9" t="str">
        <f>IF(D185=VLOOKUP(C185,Lookup!$P$5:$R$6,3,0),VLOOKUP(C185,Lookup!$P$5:$Q$6,2,0),C185)</f>
        <v>card</v>
      </c>
      <c r="D186" s="22">
        <f>IF(D185=VLOOKUP(C185,Lookup!$P$5:$R$6,3,0),1,D185+1)</f>
        <v>132</v>
      </c>
      <c r="E186" s="9" t="str">
        <f>IF(C186=Lookup!$P$5,INDEX('view-code'!$P$3:$P$502,'group-code'!D186),"")</f>
        <v/>
      </c>
      <c r="F186" s="9" t="str">
        <f>IF(C186=Lookup!$P$6,INDEX('card-code'!$P$3:$P$502,'group-code'!D186),"")</f>
        <v xml:space="preserve">    - sensor.dark_sky_cloud_coverage</v>
      </c>
      <c r="G186" s="9" t="str">
        <f t="shared" si="5"/>
        <v xml:space="preserve">    - sensor.dark_sky_cloud_coverage</v>
      </c>
      <c r="H186" s="9" t="str">
        <f>_xlfn.IFNA(IF(C186=Lookup!$Q$6,"END",""),"")</f>
        <v/>
      </c>
    </row>
    <row r="187" spans="2:8" x14ac:dyDescent="0.45">
      <c r="B187" s="9">
        <f t="shared" si="4"/>
        <v>182</v>
      </c>
      <c r="C187" s="9" t="str">
        <f>IF(D186=VLOOKUP(C186,Lookup!$P$5:$R$6,3,0),VLOOKUP(C186,Lookup!$P$5:$Q$6,2,0),C186)</f>
        <v>card</v>
      </c>
      <c r="D187" s="22">
        <f>IF(D186=VLOOKUP(C186,Lookup!$P$5:$R$6,3,0),1,D186+1)</f>
        <v>133</v>
      </c>
      <c r="E187" s="9" t="str">
        <f>IF(C187=Lookup!$P$5,INDEX('view-code'!$P$3:$P$502,'group-code'!D187),"")</f>
        <v/>
      </c>
      <c r="F187" s="9" t="str">
        <f>IF(C187=Lookup!$P$6,INDEX('card-code'!$P$3:$P$502,'group-code'!D187),"")</f>
        <v xml:space="preserve">    - sensor.dark_sky_humidity</v>
      </c>
      <c r="G187" s="9" t="str">
        <f t="shared" si="5"/>
        <v xml:space="preserve">    - sensor.dark_sky_humidity</v>
      </c>
      <c r="H187" s="9" t="str">
        <f>_xlfn.IFNA(IF(C187=Lookup!$Q$6,"END",""),"")</f>
        <v/>
      </c>
    </row>
    <row r="188" spans="2:8" x14ac:dyDescent="0.45">
      <c r="B188" s="9">
        <f t="shared" si="4"/>
        <v>183</v>
      </c>
      <c r="C188" s="9" t="str">
        <f>IF(D187=VLOOKUP(C187,Lookup!$P$5:$R$6,3,0),VLOOKUP(C187,Lookup!$P$5:$Q$6,2,0),C187)</f>
        <v>card</v>
      </c>
      <c r="D188" s="22">
        <f>IF(D187=VLOOKUP(C187,Lookup!$P$5:$R$6,3,0),1,D187+1)</f>
        <v>134</v>
      </c>
      <c r="E188" s="9" t="str">
        <f>IF(C188=Lookup!$P$5,INDEX('view-code'!$P$3:$P$502,'group-code'!D188),"")</f>
        <v/>
      </c>
      <c r="F188" s="9" t="str">
        <f>IF(C188=Lookup!$P$6,INDEX('card-code'!$P$3:$P$502,'group-code'!D188),"")</f>
        <v xml:space="preserve">    - sensor.dark_sky_visibility</v>
      </c>
      <c r="G188" s="9" t="str">
        <f t="shared" si="5"/>
        <v xml:space="preserve">    - sensor.dark_sky_visibility</v>
      </c>
      <c r="H188" s="9" t="str">
        <f>_xlfn.IFNA(IF(C188=Lookup!$Q$6,"END",""),"")</f>
        <v/>
      </c>
    </row>
    <row r="189" spans="2:8" x14ac:dyDescent="0.45">
      <c r="B189" s="9">
        <f t="shared" si="4"/>
        <v>184</v>
      </c>
      <c r="C189" s="9" t="str">
        <f>IF(D188=VLOOKUP(C188,Lookup!$P$5:$R$6,3,0),VLOOKUP(C188,Lookup!$P$5:$Q$6,2,0),C188)</f>
        <v>card</v>
      </c>
      <c r="D189" s="22">
        <f>IF(D188=VLOOKUP(C188,Lookup!$P$5:$R$6,3,0),1,D188+1)</f>
        <v>135</v>
      </c>
      <c r="E189" s="9" t="str">
        <f>IF(C189=Lookup!$P$5,INDEX('view-code'!$P$3:$P$502,'group-code'!D189),"")</f>
        <v/>
      </c>
      <c r="F189" s="9" t="str">
        <f>IF(C189=Lookup!$P$6,INDEX('card-code'!$P$3:$P$502,'group-code'!D189),"")</f>
        <v xml:space="preserve">    - sun.sun</v>
      </c>
      <c r="G189" s="9" t="str">
        <f t="shared" si="5"/>
        <v xml:space="preserve">    - sun.sun</v>
      </c>
      <c r="H189" s="9" t="str">
        <f>_xlfn.IFNA(IF(C189=Lookup!$Q$6,"END",""),"")</f>
        <v/>
      </c>
    </row>
    <row r="190" spans="2:8" x14ac:dyDescent="0.45">
      <c r="B190" s="9">
        <f t="shared" si="4"/>
        <v>185</v>
      </c>
      <c r="C190" s="9" t="str">
        <f>IF(D189=VLOOKUP(C189,Lookup!$P$5:$R$6,3,0),VLOOKUP(C189,Lookup!$P$5:$Q$6,2,0),C189)</f>
        <v>card</v>
      </c>
      <c r="D190" s="22">
        <f>IF(D189=VLOOKUP(C189,Lookup!$P$5:$R$6,3,0),1,D189+1)</f>
        <v>136</v>
      </c>
      <c r="E190" s="9" t="str">
        <f>IF(C190=Lookup!$P$5,INDEX('view-code'!$P$3:$P$502,'group-code'!D190),"")</f>
        <v/>
      </c>
      <c r="F190" s="9" t="str">
        <f>IF(C190=Lookup!$P$6,INDEX('card-code'!$P$3:$P$502,'group-code'!D190),"")</f>
        <v/>
      </c>
      <c r="G190" s="9" t="str">
        <f t="shared" si="5"/>
        <v/>
      </c>
      <c r="H190" s="9" t="str">
        <f>_xlfn.IFNA(IF(C190=Lookup!$Q$6,"END",""),"")</f>
        <v/>
      </c>
    </row>
    <row r="191" spans="2:8" x14ac:dyDescent="0.45">
      <c r="B191" s="9">
        <f t="shared" si="4"/>
        <v>186</v>
      </c>
      <c r="C191" s="9" t="str">
        <f>IF(D190=VLOOKUP(C190,Lookup!$P$5:$R$6,3,0),VLOOKUP(C190,Lookup!$P$5:$Q$6,2,0),C190)</f>
        <v>card</v>
      </c>
      <c r="D191" s="22">
        <f>IF(D190=VLOOKUP(C190,Lookup!$P$5:$R$6,3,0),1,D190+1)</f>
        <v>137</v>
      </c>
      <c r="E191" s="9" t="str">
        <f>IF(C191=Lookup!$P$5,INDEX('view-code'!$P$3:$P$502,'group-code'!D191),"")</f>
        <v/>
      </c>
      <c r="F191" s="9" t="str">
        <f>IF(C191=Lookup!$P$6,INDEX('card-code'!$P$3:$P$502,'group-code'!D191),"")</f>
        <v>environment_living_room:</v>
      </c>
      <c r="G191" s="9" t="str">
        <f t="shared" si="5"/>
        <v>environment_living_room:</v>
      </c>
      <c r="H191" s="9" t="str">
        <f>_xlfn.IFNA(IF(C191=Lookup!$Q$6,"END",""),"")</f>
        <v/>
      </c>
    </row>
    <row r="192" spans="2:8" x14ac:dyDescent="0.45">
      <c r="B192" s="9">
        <f t="shared" si="4"/>
        <v>187</v>
      </c>
      <c r="C192" s="9" t="str">
        <f>IF(D191=VLOOKUP(C191,Lookup!$P$5:$R$6,3,0),VLOOKUP(C191,Lookup!$P$5:$Q$6,2,0),C191)</f>
        <v>card</v>
      </c>
      <c r="D192" s="22">
        <f>IF(D191=VLOOKUP(C191,Lookup!$P$5:$R$6,3,0),1,D191+1)</f>
        <v>138</v>
      </c>
      <c r="E192" s="9" t="str">
        <f>IF(C192=Lookup!$P$5,INDEX('view-code'!$P$3:$P$502,'group-code'!D192),"")</f>
        <v/>
      </c>
      <c r="F192" s="9" t="str">
        <f>IF(C192=Lookup!$P$6,INDEX('card-code'!$P$3:$P$502,'group-code'!D192),"")</f>
        <v xml:space="preserve">  name: "Environment || Living Room"</v>
      </c>
      <c r="G192" s="9" t="str">
        <f t="shared" si="5"/>
        <v xml:space="preserve">  name: "Environment || Living Room"</v>
      </c>
      <c r="H192" s="9" t="str">
        <f>_xlfn.IFNA(IF(C192=Lookup!$Q$6,"END",""),"")</f>
        <v/>
      </c>
    </row>
    <row r="193" spans="2:8" x14ac:dyDescent="0.45">
      <c r="B193" s="9">
        <f t="shared" si="4"/>
        <v>188</v>
      </c>
      <c r="C193" s="9" t="str">
        <f>IF(D192=VLOOKUP(C192,Lookup!$P$5:$R$6,3,0),VLOOKUP(C192,Lookup!$P$5:$Q$6,2,0),C192)</f>
        <v>card</v>
      </c>
      <c r="D193" s="22">
        <f>IF(D192=VLOOKUP(C192,Lookup!$P$5:$R$6,3,0),1,D192+1)</f>
        <v>139</v>
      </c>
      <c r="E193" s="9" t="str">
        <f>IF(C193=Lookup!$P$5,INDEX('view-code'!$P$3:$P$502,'group-code'!D193),"")</f>
        <v/>
      </c>
      <c r="F193" s="9" t="str">
        <f>IF(C193=Lookup!$P$6,INDEX('card-code'!$P$3:$P$502,'group-code'!D193),"")</f>
        <v xml:space="preserve">  entities:</v>
      </c>
      <c r="G193" s="9" t="str">
        <f t="shared" si="5"/>
        <v xml:space="preserve">  entities:</v>
      </c>
      <c r="H193" s="9" t="str">
        <f>_xlfn.IFNA(IF(C193=Lookup!$Q$6,"END",""),"")</f>
        <v/>
      </c>
    </row>
    <row r="194" spans="2:8" x14ac:dyDescent="0.45">
      <c r="B194" s="9">
        <f t="shared" si="4"/>
        <v>189</v>
      </c>
      <c r="C194" s="9" t="str">
        <f>IF(D193=VLOOKUP(C193,Lookup!$P$5:$R$6,3,0),VLOOKUP(C193,Lookup!$P$5:$Q$6,2,0),C193)</f>
        <v>card</v>
      </c>
      <c r="D194" s="22">
        <f>IF(D193=VLOOKUP(C193,Lookup!$P$5:$R$6,3,0),1,D193+1)</f>
        <v>140</v>
      </c>
      <c r="E194" s="9" t="str">
        <f>IF(C194=Lookup!$P$5,INDEX('view-code'!$P$3:$P$502,'group-code'!D194),"")</f>
        <v/>
      </c>
      <c r="F194" s="9" t="str">
        <f>IF(C194=Lookup!$P$6,INDEX('card-code'!$P$3:$P$502,'group-code'!D194),"")</f>
        <v xml:space="preserve">    - sensor.temperature_sensor_12</v>
      </c>
      <c r="G194" s="9" t="str">
        <f t="shared" si="5"/>
        <v xml:space="preserve">    - sensor.temperature_sensor_12</v>
      </c>
      <c r="H194" s="9" t="str">
        <f>_xlfn.IFNA(IF(C194=Lookup!$Q$6,"END",""),"")</f>
        <v/>
      </c>
    </row>
    <row r="195" spans="2:8" x14ac:dyDescent="0.45">
      <c r="B195" s="9">
        <f t="shared" si="4"/>
        <v>190</v>
      </c>
      <c r="C195" s="9" t="str">
        <f>IF(D194=VLOOKUP(C194,Lookup!$P$5:$R$6,3,0),VLOOKUP(C194,Lookup!$P$5:$Q$6,2,0),C194)</f>
        <v>card</v>
      </c>
      <c r="D195" s="22">
        <f>IF(D194=VLOOKUP(C194,Lookup!$P$5:$R$6,3,0),1,D194+1)</f>
        <v>141</v>
      </c>
      <c r="E195" s="9" t="str">
        <f>IF(C195=Lookup!$P$5,INDEX('view-code'!$P$3:$P$502,'group-code'!D195),"")</f>
        <v/>
      </c>
      <c r="F195" s="9" t="str">
        <f>IF(C195=Lookup!$P$6,INDEX('card-code'!$P$3:$P$502,'group-code'!D195),"")</f>
        <v xml:space="preserve">    - sensor.light_sensor_13</v>
      </c>
      <c r="G195" s="9" t="str">
        <f t="shared" si="5"/>
        <v xml:space="preserve">    - sensor.light_sensor_13</v>
      </c>
      <c r="H195" s="9" t="str">
        <f>_xlfn.IFNA(IF(C195=Lookup!$Q$6,"END",""),"")</f>
        <v/>
      </c>
    </row>
    <row r="196" spans="2:8" x14ac:dyDescent="0.45">
      <c r="B196" s="9">
        <f t="shared" si="4"/>
        <v>191</v>
      </c>
      <c r="C196" s="9" t="str">
        <f>IF(D195=VLOOKUP(C195,Lookup!$P$5:$R$6,3,0),VLOOKUP(C195,Lookup!$P$5:$Q$6,2,0),C195)</f>
        <v>card</v>
      </c>
      <c r="D196" s="22">
        <f>IF(D195=VLOOKUP(C195,Lookup!$P$5:$R$6,3,0),1,D195+1)</f>
        <v>142</v>
      </c>
      <c r="E196" s="9" t="str">
        <f>IF(C196=Lookup!$P$5,INDEX('view-code'!$P$3:$P$502,'group-code'!D196),"")</f>
        <v/>
      </c>
      <c r="F196" s="9" t="str">
        <f>IF(C196=Lookup!$P$6,INDEX('card-code'!$P$3:$P$502,'group-code'!D196),"")</f>
        <v xml:space="preserve">    - sensor.humidity_sensor_14</v>
      </c>
      <c r="G196" s="9" t="str">
        <f t="shared" si="5"/>
        <v xml:space="preserve">    - sensor.humidity_sensor_14</v>
      </c>
      <c r="H196" s="9" t="str">
        <f>_xlfn.IFNA(IF(C196=Lookup!$Q$6,"END",""),"")</f>
        <v/>
      </c>
    </row>
    <row r="197" spans="2:8" x14ac:dyDescent="0.45">
      <c r="B197" s="9">
        <f t="shared" si="4"/>
        <v>192</v>
      </c>
      <c r="C197" s="9" t="str">
        <f>IF(D196=VLOOKUP(C196,Lookup!$P$5:$R$6,3,0),VLOOKUP(C196,Lookup!$P$5:$Q$6,2,0),C196)</f>
        <v>card</v>
      </c>
      <c r="D197" s="22">
        <f>IF(D196=VLOOKUP(C196,Lookup!$P$5:$R$6,3,0),1,D196+1)</f>
        <v>143</v>
      </c>
      <c r="E197" s="9" t="str">
        <f>IF(C197=Lookup!$P$5,INDEX('view-code'!$P$3:$P$502,'group-code'!D197),"")</f>
        <v/>
      </c>
      <c r="F197" s="9" t="str">
        <f>IF(C197=Lookup!$P$6,INDEX('card-code'!$P$3:$P$502,'group-code'!D197),"")</f>
        <v xml:space="preserve">    - binary_sensor.multi_sensor_4</v>
      </c>
      <c r="G197" s="9" t="str">
        <f t="shared" si="5"/>
        <v xml:space="preserve">    - binary_sensor.multi_sensor_4</v>
      </c>
      <c r="H197" s="9" t="str">
        <f>_xlfn.IFNA(IF(C197=Lookup!$Q$6,"END",""),"")</f>
        <v/>
      </c>
    </row>
    <row r="198" spans="2:8" x14ac:dyDescent="0.45">
      <c r="B198" s="9">
        <f t="shared" si="4"/>
        <v>193</v>
      </c>
      <c r="C198" s="9" t="str">
        <f>IF(D197=VLOOKUP(C197,Lookup!$P$5:$R$6,3,0),VLOOKUP(C197,Lookup!$P$5:$Q$6,2,0),C197)</f>
        <v>card</v>
      </c>
      <c r="D198" s="22">
        <f>IF(D197=VLOOKUP(C197,Lookup!$P$5:$R$6,3,0),1,D197+1)</f>
        <v>144</v>
      </c>
      <c r="E198" s="9" t="str">
        <f>IF(C198=Lookup!$P$5,INDEX('view-code'!$P$3:$P$502,'group-code'!D198),"")</f>
        <v/>
      </c>
      <c r="F198" s="9" t="str">
        <f>IF(C198=Lookup!$P$6,INDEX('card-code'!$P$3:$P$502,'group-code'!D198),"")</f>
        <v xml:space="preserve">    - sensor.batt_multi_sensor</v>
      </c>
      <c r="G198" s="9" t="str">
        <f t="shared" si="5"/>
        <v xml:space="preserve">    - sensor.batt_multi_sensor</v>
      </c>
      <c r="H198" s="9" t="str">
        <f>_xlfn.IFNA(IF(C198=Lookup!$Q$6,"END",""),"")</f>
        <v/>
      </c>
    </row>
    <row r="199" spans="2:8" x14ac:dyDescent="0.45">
      <c r="B199" s="9">
        <f t="shared" si="4"/>
        <v>194</v>
      </c>
      <c r="C199" s="9" t="str">
        <f>IF(D198=VLOOKUP(C198,Lookup!$P$5:$R$6,3,0),VLOOKUP(C198,Lookup!$P$5:$Q$6,2,0),C198)</f>
        <v>card</v>
      </c>
      <c r="D199" s="22">
        <f>IF(D198=VLOOKUP(C198,Lookup!$P$5:$R$6,3,0),1,D198+1)</f>
        <v>145</v>
      </c>
      <c r="E199" s="9" t="str">
        <f>IF(C199=Lookup!$P$5,INDEX('view-code'!$P$3:$P$502,'group-code'!D199),"")</f>
        <v/>
      </c>
      <c r="F199" s="9" t="str">
        <f>IF(C199=Lookup!$P$6,INDEX('card-code'!$P$3:$P$502,'group-code'!D199),"")</f>
        <v/>
      </c>
      <c r="G199" s="9" t="str">
        <f t="shared" si="5"/>
        <v/>
      </c>
      <c r="H199" s="9" t="str">
        <f>_xlfn.IFNA(IF(C199=Lookup!$Q$6,"END",""),"")</f>
        <v/>
      </c>
    </row>
    <row r="200" spans="2:8" x14ac:dyDescent="0.45">
      <c r="B200" s="9">
        <f t="shared" ref="B200:B263" si="6">B199+1</f>
        <v>195</v>
      </c>
      <c r="C200" s="9" t="str">
        <f>IF(D199=VLOOKUP(C199,Lookup!$P$5:$R$6,3,0),VLOOKUP(C199,Lookup!$P$5:$Q$6,2,0),C199)</f>
        <v>card</v>
      </c>
      <c r="D200" s="22">
        <f>IF(D199=VLOOKUP(C199,Lookup!$P$5:$R$6,3,0),1,D199+1)</f>
        <v>146</v>
      </c>
      <c r="E200" s="9" t="str">
        <f>IF(C200=Lookup!$P$5,INDEX('view-code'!$P$3:$P$502,'group-code'!D200),"")</f>
        <v/>
      </c>
      <c r="F200" s="9" t="str">
        <f>IF(C200=Lookup!$P$6,INDEX('card-code'!$P$3:$P$502,'group-code'!D200),"")</f>
        <v>phones:</v>
      </c>
      <c r="G200" s="9" t="str">
        <f t="shared" ref="G200:G263" si="7">_xlfn.IFNA(  E200&amp;F200,  "")</f>
        <v>phones:</v>
      </c>
      <c r="H200" s="9" t="str">
        <f>_xlfn.IFNA(IF(C200=Lookup!$Q$6,"END",""),"")</f>
        <v/>
      </c>
    </row>
    <row r="201" spans="2:8" x14ac:dyDescent="0.45">
      <c r="B201" s="9">
        <f t="shared" si="6"/>
        <v>196</v>
      </c>
      <c r="C201" s="9" t="str">
        <f>IF(D200=VLOOKUP(C200,Lookup!$P$5:$R$6,3,0),VLOOKUP(C200,Lookup!$P$5:$Q$6,2,0),C200)</f>
        <v>card</v>
      </c>
      <c r="D201" s="22">
        <f>IF(D200=VLOOKUP(C200,Lookup!$P$5:$R$6,3,0),1,D200+1)</f>
        <v>147</v>
      </c>
      <c r="E201" s="9" t="str">
        <f>IF(C201=Lookup!$P$5,INDEX('view-code'!$P$3:$P$502,'group-code'!D201),"")</f>
        <v/>
      </c>
      <c r="F201" s="9" t="str">
        <f>IF(C201=Lookup!$P$6,INDEX('card-code'!$P$3:$P$502,'group-code'!D201),"")</f>
        <v xml:space="preserve">  name: "LAN || Phones"</v>
      </c>
      <c r="G201" s="9" t="str">
        <f t="shared" si="7"/>
        <v xml:space="preserve">  name: "LAN || Phones"</v>
      </c>
      <c r="H201" s="9" t="str">
        <f>_xlfn.IFNA(IF(C201=Lookup!$Q$6,"END",""),"")</f>
        <v/>
      </c>
    </row>
    <row r="202" spans="2:8" x14ac:dyDescent="0.45">
      <c r="B202" s="9">
        <f t="shared" si="6"/>
        <v>197</v>
      </c>
      <c r="C202" s="9" t="str">
        <f>IF(D201=VLOOKUP(C201,Lookup!$P$5:$R$6,3,0),VLOOKUP(C201,Lookup!$P$5:$Q$6,2,0),C201)</f>
        <v>card</v>
      </c>
      <c r="D202" s="22">
        <f>IF(D201=VLOOKUP(C201,Lookup!$P$5:$R$6,3,0),1,D201+1)</f>
        <v>148</v>
      </c>
      <c r="E202" s="9" t="str">
        <f>IF(C202=Lookup!$P$5,INDEX('view-code'!$P$3:$P$502,'group-code'!D202),"")</f>
        <v/>
      </c>
      <c r="F202" s="9" t="str">
        <f>IF(C202=Lookup!$P$6,INDEX('card-code'!$P$3:$P$502,'group-code'!D202),"")</f>
        <v xml:space="preserve">  entities:</v>
      </c>
      <c r="G202" s="9" t="str">
        <f t="shared" si="7"/>
        <v xml:space="preserve">  entities:</v>
      </c>
      <c r="H202" s="9" t="str">
        <f>_xlfn.IFNA(IF(C202=Lookup!$Q$6,"END",""),"")</f>
        <v/>
      </c>
    </row>
    <row r="203" spans="2:8" x14ac:dyDescent="0.45">
      <c r="B203" s="9">
        <f t="shared" si="6"/>
        <v>198</v>
      </c>
      <c r="C203" s="9" t="str">
        <f>IF(D202=VLOOKUP(C202,Lookup!$P$5:$R$6,3,0),VLOOKUP(C202,Lookup!$P$5:$Q$6,2,0),C202)</f>
        <v>card</v>
      </c>
      <c r="D203" s="22">
        <f>IF(D202=VLOOKUP(C202,Lookup!$P$5:$R$6,3,0),1,D202+1)</f>
        <v>149</v>
      </c>
      <c r="E203" s="9" t="str">
        <f>IF(C203=Lookup!$P$5,INDEX('view-code'!$P$3:$P$502,'group-code'!D203),"")</f>
        <v/>
      </c>
      <c r="F203" s="9" t="str">
        <f>IF(C203=Lookup!$P$6,INDEX('card-code'!$P$3:$P$502,'group-code'!D203),"")</f>
        <v xml:space="preserve">    - device_tracker.ron_phone</v>
      </c>
      <c r="G203" s="9" t="str">
        <f t="shared" si="7"/>
        <v xml:space="preserve">    - device_tracker.ron_phone</v>
      </c>
      <c r="H203" s="9" t="str">
        <f>_xlfn.IFNA(IF(C203=Lookup!$Q$6,"END",""),"")</f>
        <v/>
      </c>
    </row>
    <row r="204" spans="2:8" x14ac:dyDescent="0.45">
      <c r="B204" s="9">
        <f t="shared" si="6"/>
        <v>199</v>
      </c>
      <c r="C204" s="9" t="str">
        <f>IF(D203=VLOOKUP(C203,Lookup!$P$5:$R$6,3,0),VLOOKUP(C203,Lookup!$P$5:$Q$6,2,0),C203)</f>
        <v>card</v>
      </c>
      <c r="D204" s="22">
        <f>IF(D203=VLOOKUP(C203,Lookup!$P$5:$R$6,3,0),1,D203+1)</f>
        <v>150</v>
      </c>
      <c r="E204" s="9" t="str">
        <f>IF(C204=Lookup!$P$5,INDEX('view-code'!$P$3:$P$502,'group-code'!D204),"")</f>
        <v/>
      </c>
      <c r="F204" s="9" t="str">
        <f>IF(C204=Lookup!$P$6,INDEX('card-code'!$P$3:$P$502,'group-code'!D204),"")</f>
        <v xml:space="preserve">    - device_tracker.daniel_phone</v>
      </c>
      <c r="G204" s="9" t="str">
        <f t="shared" si="7"/>
        <v xml:space="preserve">    - device_tracker.daniel_phone</v>
      </c>
      <c r="H204" s="9" t="str">
        <f>_xlfn.IFNA(IF(C204=Lookup!$Q$6,"END",""),"")</f>
        <v/>
      </c>
    </row>
    <row r="205" spans="2:8" x14ac:dyDescent="0.45">
      <c r="B205" s="9">
        <f t="shared" si="6"/>
        <v>200</v>
      </c>
      <c r="C205" s="9" t="str">
        <f>IF(D204=VLOOKUP(C204,Lookup!$P$5:$R$6,3,0),VLOOKUP(C204,Lookup!$P$5:$Q$6,2,0),C204)</f>
        <v>card</v>
      </c>
      <c r="D205" s="22">
        <f>IF(D204=VLOOKUP(C204,Lookup!$P$5:$R$6,3,0),1,D204+1)</f>
        <v>151</v>
      </c>
      <c r="E205" s="9" t="str">
        <f>IF(C205=Lookup!$P$5,INDEX('view-code'!$P$3:$P$502,'group-code'!D205),"")</f>
        <v/>
      </c>
      <c r="F205" s="9" t="str">
        <f>IF(C205=Lookup!$P$6,INDEX('card-code'!$P$3:$P$502,'group-code'!D205),"")</f>
        <v xml:space="preserve">    - device_tracker.carolyn_phone</v>
      </c>
      <c r="G205" s="9" t="str">
        <f t="shared" si="7"/>
        <v xml:space="preserve">    - device_tracker.carolyn_phone</v>
      </c>
      <c r="H205" s="9" t="str">
        <f>_xlfn.IFNA(IF(C205=Lookup!$Q$6,"END",""),"")</f>
        <v/>
      </c>
    </row>
    <row r="206" spans="2:8" x14ac:dyDescent="0.45">
      <c r="B206" s="9">
        <f t="shared" si="6"/>
        <v>201</v>
      </c>
      <c r="C206" s="9" t="str">
        <f>IF(D205=VLOOKUP(C205,Lookup!$P$5:$R$6,3,0),VLOOKUP(C205,Lookup!$P$5:$Q$6,2,0),C205)</f>
        <v>card</v>
      </c>
      <c r="D206" s="22">
        <f>IF(D205=VLOOKUP(C205,Lookup!$P$5:$R$6,3,0),1,D205+1)</f>
        <v>152</v>
      </c>
      <c r="E206" s="9" t="str">
        <f>IF(C206=Lookup!$P$5,INDEX('view-code'!$P$3:$P$502,'group-code'!D206),"")</f>
        <v/>
      </c>
      <c r="F206" s="9" t="str">
        <f>IF(C206=Lookup!$P$6,INDEX('card-code'!$P$3:$P$502,'group-code'!D206),"")</f>
        <v/>
      </c>
      <c r="G206" s="9" t="str">
        <f t="shared" si="7"/>
        <v/>
      </c>
      <c r="H206" s="9" t="str">
        <f>_xlfn.IFNA(IF(C206=Lookup!$Q$6,"END",""),"")</f>
        <v/>
      </c>
    </row>
    <row r="207" spans="2:8" x14ac:dyDescent="0.45">
      <c r="B207" s="9">
        <f t="shared" si="6"/>
        <v>202</v>
      </c>
      <c r="C207" s="9" t="str">
        <f>IF(D206=VLOOKUP(C206,Lookup!$P$5:$R$6,3,0),VLOOKUP(C206,Lookup!$P$5:$Q$6,2,0),C206)</f>
        <v>card</v>
      </c>
      <c r="D207" s="22">
        <f>IF(D206=VLOOKUP(C206,Lookup!$P$5:$R$6,3,0),1,D206+1)</f>
        <v>153</v>
      </c>
      <c r="E207" s="9" t="str">
        <f>IF(C207=Lookup!$P$5,INDEX('view-code'!$P$3:$P$502,'group-code'!D207),"")</f>
        <v/>
      </c>
      <c r="F207" s="9" t="str">
        <f>IF(C207=Lookup!$P$6,INDEX('card-code'!$P$3:$P$502,'group-code'!D207),"")</f>
        <v>personal_devices:</v>
      </c>
      <c r="G207" s="9" t="str">
        <f t="shared" si="7"/>
        <v>personal_devices:</v>
      </c>
      <c r="H207" s="9" t="str">
        <f>_xlfn.IFNA(IF(C207=Lookup!$Q$6,"END",""),"")</f>
        <v/>
      </c>
    </row>
    <row r="208" spans="2:8" x14ac:dyDescent="0.45">
      <c r="B208" s="9">
        <f t="shared" si="6"/>
        <v>203</v>
      </c>
      <c r="C208" s="9" t="str">
        <f>IF(D207=VLOOKUP(C207,Lookup!$P$5:$R$6,3,0),VLOOKUP(C207,Lookup!$P$5:$Q$6,2,0),C207)</f>
        <v>card</v>
      </c>
      <c r="D208" s="22">
        <f>IF(D207=VLOOKUP(C207,Lookup!$P$5:$R$6,3,0),1,D207+1)</f>
        <v>154</v>
      </c>
      <c r="E208" s="9" t="str">
        <f>IF(C208=Lookup!$P$5,INDEX('view-code'!$P$3:$P$502,'group-code'!D208),"")</f>
        <v/>
      </c>
      <c r="F208" s="9" t="str">
        <f>IF(C208=Lookup!$P$6,INDEX('card-code'!$P$3:$P$502,'group-code'!D208),"")</f>
        <v xml:space="preserve">  name: "LAN || Computers"</v>
      </c>
      <c r="G208" s="9" t="str">
        <f t="shared" si="7"/>
        <v xml:space="preserve">  name: "LAN || Computers"</v>
      </c>
      <c r="H208" s="9" t="str">
        <f>_xlfn.IFNA(IF(C208=Lookup!$Q$6,"END",""),"")</f>
        <v/>
      </c>
    </row>
    <row r="209" spans="2:8" x14ac:dyDescent="0.45">
      <c r="B209" s="9">
        <f t="shared" si="6"/>
        <v>204</v>
      </c>
      <c r="C209" s="9" t="str">
        <f>IF(D208=VLOOKUP(C208,Lookup!$P$5:$R$6,3,0),VLOOKUP(C208,Lookup!$P$5:$Q$6,2,0),C208)</f>
        <v>card</v>
      </c>
      <c r="D209" s="22">
        <f>IF(D208=VLOOKUP(C208,Lookup!$P$5:$R$6,3,0),1,D208+1)</f>
        <v>155</v>
      </c>
      <c r="E209" s="9" t="str">
        <f>IF(C209=Lookup!$P$5,INDEX('view-code'!$P$3:$P$502,'group-code'!D209),"")</f>
        <v/>
      </c>
      <c r="F209" s="9" t="str">
        <f>IF(C209=Lookup!$P$6,INDEX('card-code'!$P$3:$P$502,'group-code'!D209),"")</f>
        <v xml:space="preserve">  entities:</v>
      </c>
      <c r="G209" s="9" t="str">
        <f t="shared" si="7"/>
        <v xml:space="preserve">  entities:</v>
      </c>
      <c r="H209" s="9" t="str">
        <f>_xlfn.IFNA(IF(C209=Lookup!$Q$6,"END",""),"")</f>
        <v/>
      </c>
    </row>
    <row r="210" spans="2:8" x14ac:dyDescent="0.45">
      <c r="B210" s="9">
        <f t="shared" si="6"/>
        <v>205</v>
      </c>
      <c r="C210" s="9" t="str">
        <f>IF(D209=VLOOKUP(C209,Lookup!$P$5:$R$6,3,0),VLOOKUP(C209,Lookup!$P$5:$Q$6,2,0),C209)</f>
        <v>card</v>
      </c>
      <c r="D210" s="22">
        <f>IF(D209=VLOOKUP(C209,Lookup!$P$5:$R$6,3,0),1,D209+1)</f>
        <v>156</v>
      </c>
      <c r="E210" s="9" t="str">
        <f>IF(C210=Lookup!$P$5,INDEX('view-code'!$P$3:$P$502,'group-code'!D210),"")</f>
        <v/>
      </c>
      <c r="F210" s="9" t="str">
        <f>IF(C210=Lookup!$P$6,INDEX('card-code'!$P$3:$P$502,'group-code'!D210),"")</f>
        <v xml:space="preserve">    - device_tracker.humvee</v>
      </c>
      <c r="G210" s="9" t="str">
        <f t="shared" si="7"/>
        <v xml:space="preserve">    - device_tracker.humvee</v>
      </c>
      <c r="H210" s="9" t="str">
        <f>_xlfn.IFNA(IF(C210=Lookup!$Q$6,"END",""),"")</f>
        <v/>
      </c>
    </row>
    <row r="211" spans="2:8" x14ac:dyDescent="0.45">
      <c r="B211" s="9">
        <f t="shared" si="6"/>
        <v>206</v>
      </c>
      <c r="C211" s="9" t="str">
        <f>IF(D210=VLOOKUP(C210,Lookup!$P$5:$R$6,3,0),VLOOKUP(C210,Lookup!$P$5:$Q$6,2,0),C210)</f>
        <v>card</v>
      </c>
      <c r="D211" s="22">
        <f>IF(D210=VLOOKUP(C210,Lookup!$P$5:$R$6,3,0),1,D210+1)</f>
        <v>157</v>
      </c>
      <c r="E211" s="9" t="str">
        <f>IF(C211=Lookup!$P$5,INDEX('view-code'!$P$3:$P$502,'group-code'!D211),"")</f>
        <v/>
      </c>
      <c r="F211" s="9" t="str">
        <f>IF(C211=Lookup!$P$6,INDEX('card-code'!$P$3:$P$502,'group-code'!D211),"")</f>
        <v xml:space="preserve">    - device_tracker.tank</v>
      </c>
      <c r="G211" s="9" t="str">
        <f t="shared" si="7"/>
        <v xml:space="preserve">    - device_tracker.tank</v>
      </c>
      <c r="H211" s="9" t="str">
        <f>_xlfn.IFNA(IF(C211=Lookup!$Q$6,"END",""),"")</f>
        <v/>
      </c>
    </row>
    <row r="212" spans="2:8" x14ac:dyDescent="0.45">
      <c r="B212" s="9">
        <f t="shared" si="6"/>
        <v>207</v>
      </c>
      <c r="C212" s="9" t="str">
        <f>IF(D211=VLOOKUP(C211,Lookup!$P$5:$R$6,3,0),VLOOKUP(C211,Lookup!$P$5:$Q$6,2,0),C211)</f>
        <v>card</v>
      </c>
      <c r="D212" s="22">
        <f>IF(D211=VLOOKUP(C211,Lookup!$P$5:$R$6,3,0),1,D211+1)</f>
        <v>158</v>
      </c>
      <c r="E212" s="9" t="str">
        <f>IF(C212=Lookup!$P$5,INDEX('view-code'!$P$3:$P$502,'group-code'!D212),"")</f>
        <v/>
      </c>
      <c r="F212" s="9" t="str">
        <f>IF(C212=Lookup!$P$6,INDEX('card-code'!$P$3:$P$502,'group-code'!D212),"")</f>
        <v xml:space="preserve">    - device_tracker.growler</v>
      </c>
      <c r="G212" s="9" t="str">
        <f t="shared" si="7"/>
        <v xml:space="preserve">    - device_tracker.growler</v>
      </c>
      <c r="H212" s="9" t="str">
        <f>_xlfn.IFNA(IF(C212=Lookup!$Q$6,"END",""),"")</f>
        <v/>
      </c>
    </row>
    <row r="213" spans="2:8" x14ac:dyDescent="0.45">
      <c r="B213" s="9">
        <f t="shared" si="6"/>
        <v>208</v>
      </c>
      <c r="C213" s="9" t="str">
        <f>IF(D212=VLOOKUP(C212,Lookup!$P$5:$R$6,3,0),VLOOKUP(C212,Lookup!$P$5:$Q$6,2,0),C212)</f>
        <v>card</v>
      </c>
      <c r="D213" s="22">
        <f>IF(D212=VLOOKUP(C212,Lookup!$P$5:$R$6,3,0),1,D212+1)</f>
        <v>159</v>
      </c>
      <c r="E213" s="9" t="str">
        <f>IF(C213=Lookup!$P$5,INDEX('view-code'!$P$3:$P$502,'group-code'!D213),"")</f>
        <v/>
      </c>
      <c r="F213" s="9" t="str">
        <f>IF(C213=Lookup!$P$6,INDEX('card-code'!$P$3:$P$502,'group-code'!D213),"")</f>
        <v xml:space="preserve">    - device_tracker.bazooka</v>
      </c>
      <c r="G213" s="9" t="str">
        <f t="shared" si="7"/>
        <v xml:space="preserve">    - device_tracker.bazooka</v>
      </c>
      <c r="H213" s="9" t="str">
        <f>_xlfn.IFNA(IF(C213=Lookup!$Q$6,"END",""),"")</f>
        <v/>
      </c>
    </row>
    <row r="214" spans="2:8" x14ac:dyDescent="0.45">
      <c r="B214" s="9">
        <f t="shared" si="6"/>
        <v>209</v>
      </c>
      <c r="C214" s="9" t="str">
        <f>IF(D213=VLOOKUP(C213,Lookup!$P$5:$R$6,3,0),VLOOKUP(C213,Lookup!$P$5:$Q$6,2,0),C213)</f>
        <v>card</v>
      </c>
      <c r="D214" s="22">
        <f>IF(D213=VLOOKUP(C213,Lookup!$P$5:$R$6,3,0),1,D213+1)</f>
        <v>160</v>
      </c>
      <c r="E214" s="9" t="str">
        <f>IF(C214=Lookup!$P$5,INDEX('view-code'!$P$3:$P$502,'group-code'!D214),"")</f>
        <v/>
      </c>
      <c r="F214" s="9" t="str">
        <f>IF(C214=Lookup!$P$6,INDEX('card-code'!$P$3:$P$502,'group-code'!D214),"")</f>
        <v/>
      </c>
      <c r="G214" s="9" t="str">
        <f t="shared" si="7"/>
        <v/>
      </c>
      <c r="H214" s="9" t="str">
        <f>_xlfn.IFNA(IF(C214=Lookup!$Q$6,"END",""),"")</f>
        <v/>
      </c>
    </row>
    <row r="215" spans="2:8" x14ac:dyDescent="0.45">
      <c r="B215" s="9">
        <f t="shared" si="6"/>
        <v>210</v>
      </c>
      <c r="C215" s="9" t="str">
        <f>IF(D214=VLOOKUP(C214,Lookup!$P$5:$R$6,3,0),VLOOKUP(C214,Lookup!$P$5:$Q$6,2,0),C214)</f>
        <v>card</v>
      </c>
      <c r="D215" s="22">
        <f>IF(D214=VLOOKUP(C214,Lookup!$P$5:$R$6,3,0),1,D214+1)</f>
        <v>161</v>
      </c>
      <c r="E215" s="9" t="str">
        <f>IF(C215=Lookup!$P$5,INDEX('view-code'!$P$3:$P$502,'group-code'!D215),"")</f>
        <v/>
      </c>
      <c r="F215" s="9" t="str">
        <f>IF(C215=Lookup!$P$6,INDEX('card-code'!$P$3:$P$502,'group-code'!D215),"")</f>
        <v>iot_devices:</v>
      </c>
      <c r="G215" s="9" t="str">
        <f t="shared" si="7"/>
        <v>iot_devices:</v>
      </c>
      <c r="H215" s="9" t="str">
        <f>_xlfn.IFNA(IF(C215=Lookup!$Q$6,"END",""),"")</f>
        <v/>
      </c>
    </row>
    <row r="216" spans="2:8" x14ac:dyDescent="0.45">
      <c r="B216" s="9">
        <f t="shared" si="6"/>
        <v>211</v>
      </c>
      <c r="C216" s="9" t="str">
        <f>IF(D215=VLOOKUP(C215,Lookup!$P$5:$R$6,3,0),VLOOKUP(C215,Lookup!$P$5:$Q$6,2,0),C215)</f>
        <v>card</v>
      </c>
      <c r="D216" s="22">
        <f>IF(D215=VLOOKUP(C215,Lookup!$P$5:$R$6,3,0),1,D215+1)</f>
        <v>162</v>
      </c>
      <c r="E216" s="9" t="str">
        <f>IF(C216=Lookup!$P$5,INDEX('view-code'!$P$3:$P$502,'group-code'!D216),"")</f>
        <v/>
      </c>
      <c r="F216" s="9" t="str">
        <f>IF(C216=Lookup!$P$6,INDEX('card-code'!$P$3:$P$502,'group-code'!D216),"")</f>
        <v xml:space="preserve">  name: "LAN || IoT"</v>
      </c>
      <c r="G216" s="9" t="str">
        <f t="shared" si="7"/>
        <v xml:space="preserve">  name: "LAN || IoT"</v>
      </c>
      <c r="H216" s="9" t="str">
        <f>_xlfn.IFNA(IF(C216=Lookup!$Q$6,"END",""),"")</f>
        <v/>
      </c>
    </row>
    <row r="217" spans="2:8" x14ac:dyDescent="0.45">
      <c r="B217" s="9">
        <f t="shared" si="6"/>
        <v>212</v>
      </c>
      <c r="C217" s="9" t="str">
        <f>IF(D216=VLOOKUP(C216,Lookup!$P$5:$R$6,3,0),VLOOKUP(C216,Lookup!$P$5:$Q$6,2,0),C216)</f>
        <v>card</v>
      </c>
      <c r="D217" s="22">
        <f>IF(D216=VLOOKUP(C216,Lookup!$P$5:$R$6,3,0),1,D216+1)</f>
        <v>163</v>
      </c>
      <c r="E217" s="9" t="str">
        <f>IF(C217=Lookup!$P$5,INDEX('view-code'!$P$3:$P$502,'group-code'!D217),"")</f>
        <v/>
      </c>
      <c r="F217" s="9" t="str">
        <f>IF(C217=Lookup!$P$6,INDEX('card-code'!$P$3:$P$502,'group-code'!D217),"")</f>
        <v xml:space="preserve">  entities:</v>
      </c>
      <c r="G217" s="9" t="str">
        <f t="shared" si="7"/>
        <v xml:space="preserve">  entities:</v>
      </c>
      <c r="H217" s="9" t="str">
        <f>_xlfn.IFNA(IF(C217=Lookup!$Q$6,"END",""),"")</f>
        <v/>
      </c>
    </row>
    <row r="218" spans="2:8" x14ac:dyDescent="0.45">
      <c r="B218" s="9">
        <f t="shared" si="6"/>
        <v>213</v>
      </c>
      <c r="C218" s="9" t="str">
        <f>IF(D217=VLOOKUP(C217,Lookup!$P$5:$R$6,3,0),VLOOKUP(C217,Lookup!$P$5:$Q$6,2,0),C217)</f>
        <v>card</v>
      </c>
      <c r="D218" s="22">
        <f>IF(D217=VLOOKUP(C217,Lookup!$P$5:$R$6,3,0),1,D217+1)</f>
        <v>164</v>
      </c>
      <c r="E218" s="9" t="str">
        <f>IF(C218=Lookup!$P$5,INDEX('view-code'!$P$3:$P$502,'group-code'!D218),"")</f>
        <v/>
      </c>
      <c r="F218" s="9" t="str">
        <f>IF(C218=Lookup!$P$6,INDEX('card-code'!$P$3:$P$502,'group-code'!D218),"")</f>
        <v xml:space="preserve">    - device_tracker.vera_lite</v>
      </c>
      <c r="G218" s="9" t="str">
        <f t="shared" si="7"/>
        <v xml:space="preserve">    - device_tracker.vera_lite</v>
      </c>
      <c r="H218" s="9" t="str">
        <f>_xlfn.IFNA(IF(C218=Lookup!$Q$6,"END",""),"")</f>
        <v/>
      </c>
    </row>
    <row r="219" spans="2:8" x14ac:dyDescent="0.45">
      <c r="B219" s="9">
        <f t="shared" si="6"/>
        <v>214</v>
      </c>
      <c r="C219" s="9" t="str">
        <f>IF(D218=VLOOKUP(C218,Lookup!$P$5:$R$6,3,0),VLOOKUP(C218,Lookup!$P$5:$Q$6,2,0),C218)</f>
        <v>card</v>
      </c>
      <c r="D219" s="22">
        <f>IF(D218=VLOOKUP(C218,Lookup!$P$5:$R$6,3,0),1,D218+1)</f>
        <v>165</v>
      </c>
      <c r="E219" s="9" t="str">
        <f>IF(C219=Lookup!$P$5,INDEX('view-code'!$P$3:$P$502,'group-code'!D219),"")</f>
        <v/>
      </c>
      <c r="F219" s="9" t="str">
        <f>IF(C219=Lookup!$P$6,INDEX('card-code'!$P$3:$P$502,'group-code'!D219),"")</f>
        <v xml:space="preserve">    - device_tracker.hue_hub</v>
      </c>
      <c r="G219" s="9" t="str">
        <f t="shared" si="7"/>
        <v xml:space="preserve">    - device_tracker.hue_hub</v>
      </c>
      <c r="H219" s="9" t="str">
        <f>_xlfn.IFNA(IF(C219=Lookup!$Q$6,"END",""),"")</f>
        <v/>
      </c>
    </row>
    <row r="220" spans="2:8" x14ac:dyDescent="0.45">
      <c r="B220" s="9">
        <f t="shared" si="6"/>
        <v>215</v>
      </c>
      <c r="C220" s="9" t="str">
        <f>IF(D219=VLOOKUP(C219,Lookup!$P$5:$R$6,3,0),VLOOKUP(C219,Lookup!$P$5:$Q$6,2,0),C219)</f>
        <v>card</v>
      </c>
      <c r="D220" s="22">
        <f>IF(D219=VLOOKUP(C219,Lookup!$P$5:$R$6,3,0),1,D219+1)</f>
        <v>166</v>
      </c>
      <c r="E220" s="9" t="str">
        <f>IF(C220=Lookup!$P$5,INDEX('view-code'!$P$3:$P$502,'group-code'!D220),"")</f>
        <v/>
      </c>
      <c r="F220" s="9" t="str">
        <f>IF(C220=Lookup!$P$6,INDEX('card-code'!$P$3:$P$502,'group-code'!D220),"")</f>
        <v xml:space="preserve">    - device_tracker.wf2ir</v>
      </c>
      <c r="G220" s="9" t="str">
        <f t="shared" si="7"/>
        <v xml:space="preserve">    - device_tracker.wf2ir</v>
      </c>
      <c r="H220" s="9" t="str">
        <f>_xlfn.IFNA(IF(C220=Lookup!$Q$6,"END",""),"")</f>
        <v/>
      </c>
    </row>
    <row r="221" spans="2:8" x14ac:dyDescent="0.45">
      <c r="B221" s="9">
        <f t="shared" si="6"/>
        <v>216</v>
      </c>
      <c r="C221" s="9" t="str">
        <f>IF(D220=VLOOKUP(C220,Lookup!$P$5:$R$6,3,0),VLOOKUP(C220,Lookup!$P$5:$Q$6,2,0),C220)</f>
        <v>card</v>
      </c>
      <c r="D221" s="22">
        <f>IF(D220=VLOOKUP(C220,Lookup!$P$5:$R$6,3,0),1,D220+1)</f>
        <v>167</v>
      </c>
      <c r="E221" s="9" t="str">
        <f>IF(C221=Lookup!$P$5,INDEX('view-code'!$P$3:$P$502,'group-code'!D221),"")</f>
        <v/>
      </c>
      <c r="F221" s="9" t="str">
        <f>IF(C221=Lookup!$P$6,INDEX('card-code'!$P$3:$P$502,'group-code'!D221),"")</f>
        <v xml:space="preserve">    - device_tracker.jtac</v>
      </c>
      <c r="G221" s="9" t="str">
        <f t="shared" si="7"/>
        <v xml:space="preserve">    - device_tracker.jtac</v>
      </c>
      <c r="H221" s="9" t="str">
        <f>_xlfn.IFNA(IF(C221=Lookup!$Q$6,"END",""),"")</f>
        <v/>
      </c>
    </row>
    <row r="222" spans="2:8" x14ac:dyDescent="0.45">
      <c r="B222" s="9">
        <f t="shared" si="6"/>
        <v>217</v>
      </c>
      <c r="C222" s="9" t="str">
        <f>IF(D221=VLOOKUP(C221,Lookup!$P$5:$R$6,3,0),VLOOKUP(C221,Lookup!$P$5:$Q$6,2,0),C221)</f>
        <v>card</v>
      </c>
      <c r="D222" s="22">
        <f>IF(D221=VLOOKUP(C221,Lookup!$P$5:$R$6,3,0),1,D221+1)</f>
        <v>168</v>
      </c>
      <c r="E222" s="9" t="str">
        <f>IF(C222=Lookup!$P$5,INDEX('view-code'!$P$3:$P$502,'group-code'!D222),"")</f>
        <v/>
      </c>
      <c r="F222" s="9" t="str">
        <f>IF(C222=Lookup!$P$6,INDEX('card-code'!$P$3:$P$502,'group-code'!D222),"")</f>
        <v xml:space="preserve">    - device_tracker.raspi_vpn</v>
      </c>
      <c r="G222" s="9" t="str">
        <f t="shared" si="7"/>
        <v xml:space="preserve">    - device_tracker.raspi_vpn</v>
      </c>
      <c r="H222" s="9" t="str">
        <f>_xlfn.IFNA(IF(C222=Lookup!$Q$6,"END",""),"")</f>
        <v/>
      </c>
    </row>
    <row r="223" spans="2:8" x14ac:dyDescent="0.45">
      <c r="B223" s="9">
        <f t="shared" si="6"/>
        <v>218</v>
      </c>
      <c r="C223" s="9" t="str">
        <f>IF(D222=VLOOKUP(C222,Lookup!$P$5:$R$6,3,0),VLOOKUP(C222,Lookup!$P$5:$Q$6,2,0),C222)</f>
        <v>card</v>
      </c>
      <c r="D223" s="22">
        <f>IF(D222=VLOOKUP(C222,Lookup!$P$5:$R$6,3,0),1,D222+1)</f>
        <v>169</v>
      </c>
      <c r="E223" s="9" t="str">
        <f>IF(C223=Lookup!$P$5,INDEX('view-code'!$P$3:$P$502,'group-code'!D223),"")</f>
        <v/>
      </c>
      <c r="F223" s="9" t="str">
        <f>IF(C223=Lookup!$P$6,INDEX('card-code'!$P$3:$P$502,'group-code'!D223),"")</f>
        <v xml:space="preserve">    - device_tracker.chromecast</v>
      </c>
      <c r="G223" s="9" t="str">
        <f t="shared" si="7"/>
        <v xml:space="preserve">    - device_tracker.chromecast</v>
      </c>
      <c r="H223" s="9" t="str">
        <f>_xlfn.IFNA(IF(C223=Lookup!$Q$6,"END",""),"")</f>
        <v/>
      </c>
    </row>
    <row r="224" spans="2:8" x14ac:dyDescent="0.45">
      <c r="B224" s="9">
        <f t="shared" si="6"/>
        <v>219</v>
      </c>
      <c r="C224" s="9" t="str">
        <f>IF(D223=VLOOKUP(C223,Lookup!$P$5:$R$6,3,0),VLOOKUP(C223,Lookup!$P$5:$Q$6,2,0),C223)</f>
        <v>card</v>
      </c>
      <c r="D224" s="22">
        <f>IF(D223=VLOOKUP(C223,Lookup!$P$5:$R$6,3,0),1,D223+1)</f>
        <v>170</v>
      </c>
      <c r="E224" s="9" t="str">
        <f>IF(C224=Lookup!$P$5,INDEX('view-code'!$P$3:$P$502,'group-code'!D224),"")</f>
        <v/>
      </c>
      <c r="F224" s="9" t="str">
        <f>IF(C224=Lookup!$P$6,INDEX('card-code'!$P$3:$P$502,'group-code'!D224),"")</f>
        <v xml:space="preserve">    - device_tracker.chromecast_2</v>
      </c>
      <c r="G224" s="9" t="str">
        <f t="shared" si="7"/>
        <v xml:space="preserve">    - device_tracker.chromecast_2</v>
      </c>
      <c r="H224" s="9" t="str">
        <f>_xlfn.IFNA(IF(C224=Lookup!$Q$6,"END",""),"")</f>
        <v/>
      </c>
    </row>
    <row r="225" spans="2:8" x14ac:dyDescent="0.45">
      <c r="B225" s="9">
        <f t="shared" si="6"/>
        <v>220</v>
      </c>
      <c r="C225" s="9" t="str">
        <f>IF(D224=VLOOKUP(C224,Lookup!$P$5:$R$6,3,0),VLOOKUP(C224,Lookup!$P$5:$Q$6,2,0),C224)</f>
        <v>card</v>
      </c>
      <c r="D225" s="22">
        <f>IF(D224=VLOOKUP(C224,Lookup!$P$5:$R$6,3,0),1,D224+1)</f>
        <v>171</v>
      </c>
      <c r="E225" s="9" t="str">
        <f>IF(C225=Lookup!$P$5,INDEX('view-code'!$P$3:$P$502,'group-code'!D225),"")</f>
        <v/>
      </c>
      <c r="F225" s="9" t="str">
        <f>IF(C225=Lookup!$P$6,INDEX('card-code'!$P$3:$P$502,'group-code'!D225),"")</f>
        <v xml:space="preserve">    - device_tracker.echo_dot</v>
      </c>
      <c r="G225" s="9" t="str">
        <f t="shared" si="7"/>
        <v xml:space="preserve">    - device_tracker.echo_dot</v>
      </c>
      <c r="H225" s="9" t="str">
        <f>_xlfn.IFNA(IF(C225=Lookup!$Q$6,"END",""),"")</f>
        <v/>
      </c>
    </row>
    <row r="226" spans="2:8" x14ac:dyDescent="0.45">
      <c r="B226" s="9">
        <f t="shared" si="6"/>
        <v>221</v>
      </c>
      <c r="C226" s="9" t="str">
        <f>IF(D225=VLOOKUP(C225,Lookup!$P$5:$R$6,3,0),VLOOKUP(C225,Lookup!$P$5:$Q$6,2,0),C225)</f>
        <v>card</v>
      </c>
      <c r="D226" s="22">
        <f>IF(D225=VLOOKUP(C225,Lookup!$P$5:$R$6,3,0),1,D225+1)</f>
        <v>172</v>
      </c>
      <c r="E226" s="9" t="str">
        <f>IF(C226=Lookup!$P$5,INDEX('view-code'!$P$3:$P$502,'group-code'!D226),"")</f>
        <v/>
      </c>
      <c r="F226" s="9" t="str">
        <f>IF(C226=Lookup!$P$6,INDEX('card-code'!$P$3:$P$502,'group-code'!D226),"")</f>
        <v xml:space="preserve">    - device_tracker.echo_tap</v>
      </c>
      <c r="G226" s="9" t="str">
        <f t="shared" si="7"/>
        <v xml:space="preserve">    - device_tracker.echo_tap</v>
      </c>
      <c r="H226" s="9" t="str">
        <f>_xlfn.IFNA(IF(C226=Lookup!$Q$6,"END",""),"")</f>
        <v/>
      </c>
    </row>
    <row r="227" spans="2:8" x14ac:dyDescent="0.45">
      <c r="B227" s="9">
        <f t="shared" si="6"/>
        <v>222</v>
      </c>
      <c r="C227" s="9" t="str">
        <f>IF(D226=VLOOKUP(C226,Lookup!$P$5:$R$6,3,0),VLOOKUP(C226,Lookup!$P$5:$Q$6,2,0),C226)</f>
        <v>card</v>
      </c>
      <c r="D227" s="22">
        <f>IF(D226=VLOOKUP(C226,Lookup!$P$5:$R$6,3,0),1,D226+1)</f>
        <v>173</v>
      </c>
      <c r="E227" s="9" t="str">
        <f>IF(C227=Lookup!$P$5,INDEX('view-code'!$P$3:$P$502,'group-code'!D227),"")</f>
        <v/>
      </c>
      <c r="F227" s="9" t="str">
        <f>IF(C227=Lookup!$P$6,INDEX('card-code'!$P$3:$P$502,'group-code'!D227),"")</f>
        <v xml:space="preserve">    - device_tracker.withings_scale</v>
      </c>
      <c r="G227" s="9" t="str">
        <f t="shared" si="7"/>
        <v xml:space="preserve">    - device_tracker.withings_scale</v>
      </c>
      <c r="H227" s="9" t="str">
        <f>_xlfn.IFNA(IF(C227=Lookup!$Q$6,"END",""),"")</f>
        <v/>
      </c>
    </row>
    <row r="228" spans="2:8" x14ac:dyDescent="0.45">
      <c r="B228" s="9">
        <f t="shared" si="6"/>
        <v>223</v>
      </c>
      <c r="C228" s="9" t="str">
        <f>IF(D227=VLOOKUP(C227,Lookup!$P$5:$R$6,3,0),VLOOKUP(C227,Lookup!$P$5:$Q$6,2,0),C227)</f>
        <v>card</v>
      </c>
      <c r="D228" s="22">
        <f>IF(D227=VLOOKUP(C227,Lookup!$P$5:$R$6,3,0),1,D227+1)</f>
        <v>174</v>
      </c>
      <c r="E228" s="9" t="str">
        <f>IF(C228=Lookup!$P$5,INDEX('view-code'!$P$3:$P$502,'group-code'!D228),"")</f>
        <v/>
      </c>
      <c r="F228" s="9" t="str">
        <f>IF(C228=Lookup!$P$6,INDEX('card-code'!$P$3:$P$502,'group-code'!D228),"")</f>
        <v/>
      </c>
      <c r="G228" s="9" t="str">
        <f t="shared" si="7"/>
        <v/>
      </c>
      <c r="H228" s="9" t="str">
        <f>_xlfn.IFNA(IF(C228=Lookup!$Q$6,"END",""),"")</f>
        <v/>
      </c>
    </row>
    <row r="229" spans="2:8" x14ac:dyDescent="0.45">
      <c r="B229" s="9">
        <f t="shared" si="6"/>
        <v>224</v>
      </c>
      <c r="C229" s="9" t="str">
        <f>IF(D228=VLOOKUP(C228,Lookup!$P$5:$R$6,3,0),VLOOKUP(C228,Lookup!$P$5:$Q$6,2,0),C228)</f>
        <v>card</v>
      </c>
      <c r="D229" s="22">
        <f>IF(D228=VLOOKUP(C228,Lookup!$P$5:$R$6,3,0),1,D228+1)</f>
        <v>175</v>
      </c>
      <c r="E229" s="9" t="str">
        <f>IF(C229=Lookup!$P$5,INDEX('view-code'!$P$3:$P$502,'group-code'!D229),"")</f>
        <v/>
      </c>
      <c r="F229" s="9" t="str">
        <f>IF(C229=Lookup!$P$6,INDEX('card-code'!$P$3:$P$502,'group-code'!D229),"")</f>
        <v>network:</v>
      </c>
      <c r="G229" s="9" t="str">
        <f t="shared" si="7"/>
        <v>network:</v>
      </c>
      <c r="H229" s="9" t="str">
        <f>_xlfn.IFNA(IF(C229=Lookup!$Q$6,"END",""),"")</f>
        <v/>
      </c>
    </row>
    <row r="230" spans="2:8" x14ac:dyDescent="0.45">
      <c r="B230" s="9">
        <f t="shared" si="6"/>
        <v>225</v>
      </c>
      <c r="C230" s="9" t="str">
        <f>IF(D229=VLOOKUP(C229,Lookup!$P$5:$R$6,3,0),VLOOKUP(C229,Lookup!$P$5:$Q$6,2,0),C229)</f>
        <v>card</v>
      </c>
      <c r="D230" s="22">
        <f>IF(D229=VLOOKUP(C229,Lookup!$P$5:$R$6,3,0),1,D229+1)</f>
        <v>176</v>
      </c>
      <c r="E230" s="9" t="str">
        <f>IF(C230=Lookup!$P$5,INDEX('view-code'!$P$3:$P$502,'group-code'!D230),"")</f>
        <v/>
      </c>
      <c r="F230" s="9" t="str">
        <f>IF(C230=Lookup!$P$6,INDEX('card-code'!$P$3:$P$502,'group-code'!D230),"")</f>
        <v xml:space="preserve">  name: "Network"</v>
      </c>
      <c r="G230" s="9" t="str">
        <f t="shared" si="7"/>
        <v xml:space="preserve">  name: "Network"</v>
      </c>
      <c r="H230" s="9" t="str">
        <f>_xlfn.IFNA(IF(C230=Lookup!$Q$6,"END",""),"")</f>
        <v/>
      </c>
    </row>
    <row r="231" spans="2:8" x14ac:dyDescent="0.45">
      <c r="B231" s="9">
        <f t="shared" si="6"/>
        <v>226</v>
      </c>
      <c r="C231" s="9" t="str">
        <f>IF(D230=VLOOKUP(C230,Lookup!$P$5:$R$6,3,0),VLOOKUP(C230,Lookup!$P$5:$Q$6,2,0),C230)</f>
        <v>card</v>
      </c>
      <c r="D231" s="22">
        <f>IF(D230=VLOOKUP(C230,Lookup!$P$5:$R$6,3,0),1,D230+1)</f>
        <v>177</v>
      </c>
      <c r="E231" s="9" t="str">
        <f>IF(C231=Lookup!$P$5,INDEX('view-code'!$P$3:$P$502,'group-code'!D231),"")</f>
        <v/>
      </c>
      <c r="F231" s="9" t="str">
        <f>IF(C231=Lookup!$P$6,INDEX('card-code'!$P$3:$P$502,'group-code'!D231),"")</f>
        <v xml:space="preserve">  entities:</v>
      </c>
      <c r="G231" s="9" t="str">
        <f t="shared" si="7"/>
        <v xml:space="preserve">  entities:</v>
      </c>
      <c r="H231" s="9" t="str">
        <f>_xlfn.IFNA(IF(C231=Lookup!$Q$6,"END",""),"")</f>
        <v/>
      </c>
    </row>
    <row r="232" spans="2:8" x14ac:dyDescent="0.45">
      <c r="B232" s="9">
        <f t="shared" si="6"/>
        <v>227</v>
      </c>
      <c r="C232" s="9" t="str">
        <f>IF(D231=VLOOKUP(C231,Lookup!$P$5:$R$6,3,0),VLOOKUP(C231,Lookup!$P$5:$Q$6,2,0),C231)</f>
        <v>card</v>
      </c>
      <c r="D232" s="22">
        <f>IF(D231=VLOOKUP(C231,Lookup!$P$5:$R$6,3,0),1,D231+1)</f>
        <v>178</v>
      </c>
      <c r="E232" s="9" t="str">
        <f>IF(C232=Lookup!$P$5,INDEX('view-code'!$P$3:$P$502,'group-code'!D232),"")</f>
        <v/>
      </c>
      <c r="F232" s="9" t="str">
        <f>IF(C232=Lookup!$P$6,INDEX('card-code'!$P$3:$P$502,'group-code'!D232),"")</f>
        <v xml:space="preserve">    - sensor.speedtest_download</v>
      </c>
      <c r="G232" s="9" t="str">
        <f t="shared" si="7"/>
        <v xml:space="preserve">    - sensor.speedtest_download</v>
      </c>
      <c r="H232" s="9" t="str">
        <f>_xlfn.IFNA(IF(C232=Lookup!$Q$6,"END",""),"")</f>
        <v/>
      </c>
    </row>
    <row r="233" spans="2:8" x14ac:dyDescent="0.45">
      <c r="B233" s="9">
        <f t="shared" si="6"/>
        <v>228</v>
      </c>
      <c r="C233" s="9" t="str">
        <f>IF(D232=VLOOKUP(C232,Lookup!$P$5:$R$6,3,0),VLOOKUP(C232,Lookup!$P$5:$Q$6,2,0),C232)</f>
        <v>card</v>
      </c>
      <c r="D233" s="22">
        <f>IF(D232=VLOOKUP(C232,Lookup!$P$5:$R$6,3,0),1,D232+1)</f>
        <v>179</v>
      </c>
      <c r="E233" s="9" t="str">
        <f>IF(C233=Lookup!$P$5,INDEX('view-code'!$P$3:$P$502,'group-code'!D233),"")</f>
        <v/>
      </c>
      <c r="F233" s="9" t="str">
        <f>IF(C233=Lookup!$P$6,INDEX('card-code'!$P$3:$P$502,'group-code'!D233),"")</f>
        <v xml:space="preserve">    - sensor.speedtest_upload</v>
      </c>
      <c r="G233" s="9" t="str">
        <f t="shared" si="7"/>
        <v xml:space="preserve">    - sensor.speedtest_upload</v>
      </c>
      <c r="H233" s="9" t="str">
        <f>_xlfn.IFNA(IF(C233=Lookup!$Q$6,"END",""),"")</f>
        <v/>
      </c>
    </row>
    <row r="234" spans="2:8" x14ac:dyDescent="0.45">
      <c r="B234" s="9">
        <f t="shared" si="6"/>
        <v>229</v>
      </c>
      <c r="C234" s="9" t="str">
        <f>IF(D233=VLOOKUP(C233,Lookup!$P$5:$R$6,3,0),VLOOKUP(C233,Lookup!$P$5:$Q$6,2,0),C233)</f>
        <v>card</v>
      </c>
      <c r="D234" s="22">
        <f>IF(D233=VLOOKUP(C233,Lookup!$P$5:$R$6,3,0),1,D233+1)</f>
        <v>180</v>
      </c>
      <c r="E234" s="9" t="str">
        <f>IF(C234=Lookup!$P$5,INDEX('view-code'!$P$3:$P$502,'group-code'!D234),"")</f>
        <v/>
      </c>
      <c r="F234" s="9" t="str">
        <f>IF(C234=Lookup!$P$6,INDEX('card-code'!$P$3:$P$502,'group-code'!D234),"")</f>
        <v xml:space="preserve">    - sensor.speedtest_ping</v>
      </c>
      <c r="G234" s="9" t="str">
        <f t="shared" si="7"/>
        <v xml:space="preserve">    - sensor.speedtest_ping</v>
      </c>
      <c r="H234" s="9" t="str">
        <f>_xlfn.IFNA(IF(C234=Lookup!$Q$6,"END",""),"")</f>
        <v/>
      </c>
    </row>
    <row r="235" spans="2:8" x14ac:dyDescent="0.45">
      <c r="B235" s="9">
        <f t="shared" si="6"/>
        <v>230</v>
      </c>
      <c r="C235" s="9" t="str">
        <f>IF(D234=VLOOKUP(C234,Lookup!$P$5:$R$6,3,0),VLOOKUP(C234,Lookup!$P$5:$Q$6,2,0),C234)</f>
        <v>card</v>
      </c>
      <c r="D235" s="22">
        <f>IF(D234=VLOOKUP(C234,Lookup!$P$5:$R$6,3,0),1,D234+1)</f>
        <v>181</v>
      </c>
      <c r="E235" s="9" t="str">
        <f>IF(C235=Lookup!$P$5,INDEX('view-code'!$P$3:$P$502,'group-code'!D235),"")</f>
        <v/>
      </c>
      <c r="F235" s="9" t="str">
        <f>IF(C235=Lookup!$P$6,INDEX('card-code'!$P$3:$P$502,'group-code'!D235),"")</f>
        <v/>
      </c>
      <c r="G235" s="9" t="str">
        <f t="shared" si="7"/>
        <v/>
      </c>
      <c r="H235" s="9" t="str">
        <f>_xlfn.IFNA(IF(C235=Lookup!$Q$6,"END",""),"")</f>
        <v/>
      </c>
    </row>
    <row r="236" spans="2:8" x14ac:dyDescent="0.45">
      <c r="B236" s="9">
        <f t="shared" si="6"/>
        <v>231</v>
      </c>
      <c r="C236" s="9" t="str">
        <f>IF(D235=VLOOKUP(C235,Lookup!$P$5:$R$6,3,0),VLOOKUP(C235,Lookup!$P$5:$Q$6,2,0),C235)</f>
        <v>card</v>
      </c>
      <c r="D236" s="22">
        <f>IF(D235=VLOOKUP(C235,Lookup!$P$5:$R$6,3,0),1,D235+1)</f>
        <v>182</v>
      </c>
      <c r="E236" s="9" t="str">
        <f>IF(C236=Lookup!$P$5,INDEX('view-code'!$P$3:$P$502,'group-code'!D236),"")</f>
        <v/>
      </c>
      <c r="F236" s="9" t="str">
        <f>IF(C236=Lookup!$P$6,INDEX('card-code'!$P$3:$P$502,'group-code'!D236),"")</f>
        <v>host_device:</v>
      </c>
      <c r="G236" s="9" t="str">
        <f t="shared" si="7"/>
        <v>host_device:</v>
      </c>
      <c r="H236" s="9" t="str">
        <f>_xlfn.IFNA(IF(C236=Lookup!$Q$6,"END",""),"")</f>
        <v/>
      </c>
    </row>
    <row r="237" spans="2:8" x14ac:dyDescent="0.45">
      <c r="B237" s="9">
        <f t="shared" si="6"/>
        <v>232</v>
      </c>
      <c r="C237" s="9" t="str">
        <f>IF(D236=VLOOKUP(C236,Lookup!$P$5:$R$6,3,0),VLOOKUP(C236,Lookup!$P$5:$Q$6,2,0),C236)</f>
        <v>card</v>
      </c>
      <c r="D237" s="22">
        <f>IF(D236=VLOOKUP(C236,Lookup!$P$5:$R$6,3,0),1,D236+1)</f>
        <v>183</v>
      </c>
      <c r="E237" s="9" t="str">
        <f>IF(C237=Lookup!$P$5,INDEX('view-code'!$P$3:$P$502,'group-code'!D237),"")</f>
        <v/>
      </c>
      <c r="F237" s="9" t="str">
        <f>IF(C237=Lookup!$P$6,INDEX('card-code'!$P$3:$P$502,'group-code'!D237),"")</f>
        <v xml:space="preserve">  name: "HA Host"</v>
      </c>
      <c r="G237" s="9" t="str">
        <f t="shared" si="7"/>
        <v xml:space="preserve">  name: "HA Host"</v>
      </c>
      <c r="H237" s="9" t="str">
        <f>_xlfn.IFNA(IF(C237=Lookup!$Q$6,"END",""),"")</f>
        <v/>
      </c>
    </row>
    <row r="238" spans="2:8" x14ac:dyDescent="0.45">
      <c r="B238" s="9">
        <f t="shared" si="6"/>
        <v>233</v>
      </c>
      <c r="C238" s="9" t="str">
        <f>IF(D237=VLOOKUP(C237,Lookup!$P$5:$R$6,3,0),VLOOKUP(C237,Lookup!$P$5:$Q$6,2,0),C237)</f>
        <v>card</v>
      </c>
      <c r="D238" s="22">
        <f>IF(D237=VLOOKUP(C237,Lookup!$P$5:$R$6,3,0),1,D237+1)</f>
        <v>184</v>
      </c>
      <c r="E238" s="9" t="str">
        <f>IF(C238=Lookup!$P$5,INDEX('view-code'!$P$3:$P$502,'group-code'!D238),"")</f>
        <v/>
      </c>
      <c r="F238" s="9" t="str">
        <f>IF(C238=Lookup!$P$6,INDEX('card-code'!$P$3:$P$502,'group-code'!D238),"")</f>
        <v xml:space="preserve">  entities:</v>
      </c>
      <c r="G238" s="9" t="str">
        <f t="shared" si="7"/>
        <v xml:space="preserve">  entities:</v>
      </c>
      <c r="H238" s="9" t="str">
        <f>_xlfn.IFNA(IF(C238=Lookup!$Q$6,"END",""),"")</f>
        <v/>
      </c>
    </row>
    <row r="239" spans="2:8" x14ac:dyDescent="0.45">
      <c r="B239" s="9">
        <f t="shared" si="6"/>
        <v>234</v>
      </c>
      <c r="C239" s="9" t="str">
        <f>IF(D238=VLOOKUP(C238,Lookup!$P$5:$R$6,3,0),VLOOKUP(C238,Lookup!$P$5:$Q$6,2,0),C238)</f>
        <v>card</v>
      </c>
      <c r="D239" s="22">
        <f>IF(D238=VLOOKUP(C238,Lookup!$P$5:$R$6,3,0),1,D238+1)</f>
        <v>185</v>
      </c>
      <c r="E239" s="9" t="str">
        <f>IF(C239=Lookup!$P$5,INDEX('view-code'!$P$3:$P$502,'group-code'!D239),"")</f>
        <v/>
      </c>
      <c r="F239" s="9" t="str">
        <f>IF(C239=Lookup!$P$6,INDEX('card-code'!$P$3:$P$502,'group-code'!D239),"")</f>
        <v xml:space="preserve">    - sensor.cpu_temp</v>
      </c>
      <c r="G239" s="9" t="str">
        <f t="shared" si="7"/>
        <v xml:space="preserve">    - sensor.cpu_temp</v>
      </c>
      <c r="H239" s="9" t="str">
        <f>_xlfn.IFNA(IF(C239=Lookup!$Q$6,"END",""),"")</f>
        <v/>
      </c>
    </row>
    <row r="240" spans="2:8" x14ac:dyDescent="0.45">
      <c r="B240" s="9">
        <f t="shared" si="6"/>
        <v>235</v>
      </c>
      <c r="C240" s="9" t="str">
        <f>IF(D239=VLOOKUP(C239,Lookup!$P$5:$R$6,3,0),VLOOKUP(C239,Lookup!$P$5:$Q$6,2,0),C239)</f>
        <v>card</v>
      </c>
      <c r="D240" s="22">
        <f>IF(D239=VLOOKUP(C239,Lookup!$P$5:$R$6,3,0),1,D239+1)</f>
        <v>186</v>
      </c>
      <c r="E240" s="9" t="str">
        <f>IF(C240=Lookup!$P$5,INDEX('view-code'!$P$3:$P$502,'group-code'!D240),"")</f>
        <v/>
      </c>
      <c r="F240" s="9" t="str">
        <f>IF(C240=Lookup!$P$6,INDEX('card-code'!$P$3:$P$502,'group-code'!D240),"")</f>
        <v xml:space="preserve">    - sensor.cpu_use</v>
      </c>
      <c r="G240" s="9" t="str">
        <f t="shared" si="7"/>
        <v xml:space="preserve">    - sensor.cpu_use</v>
      </c>
      <c r="H240" s="9" t="str">
        <f>_xlfn.IFNA(IF(C240=Lookup!$Q$6,"END",""),"")</f>
        <v/>
      </c>
    </row>
    <row r="241" spans="2:8" x14ac:dyDescent="0.45">
      <c r="B241" s="9">
        <f t="shared" si="6"/>
        <v>236</v>
      </c>
      <c r="C241" s="9" t="str">
        <f>IF(D240=VLOOKUP(C240,Lookup!$P$5:$R$6,3,0),VLOOKUP(C240,Lookup!$P$5:$Q$6,2,0),C240)</f>
        <v>card</v>
      </c>
      <c r="D241" s="22">
        <f>IF(D240=VLOOKUP(C240,Lookup!$P$5:$R$6,3,0),1,D240+1)</f>
        <v>187</v>
      </c>
      <c r="E241" s="9" t="str">
        <f>IF(C241=Lookup!$P$5,INDEX('view-code'!$P$3:$P$502,'group-code'!D241),"")</f>
        <v/>
      </c>
      <c r="F241" s="9" t="str">
        <f>IF(C241=Lookup!$P$6,INDEX('card-code'!$P$3:$P$502,'group-code'!D241),"")</f>
        <v xml:space="preserve">    - sensor.ram_free</v>
      </c>
      <c r="G241" s="9" t="str">
        <f t="shared" si="7"/>
        <v xml:space="preserve">    - sensor.ram_free</v>
      </c>
      <c r="H241" s="9" t="str">
        <f>_xlfn.IFNA(IF(C241=Lookup!$Q$6,"END",""),"")</f>
        <v/>
      </c>
    </row>
    <row r="242" spans="2:8" x14ac:dyDescent="0.45">
      <c r="B242" s="9">
        <f t="shared" si="6"/>
        <v>237</v>
      </c>
      <c r="C242" s="9" t="str">
        <f>IF(D241=VLOOKUP(C241,Lookup!$P$5:$R$6,3,0),VLOOKUP(C241,Lookup!$P$5:$Q$6,2,0),C241)</f>
        <v>card</v>
      </c>
      <c r="D242" s="22">
        <f>IF(D241=VLOOKUP(C241,Lookup!$P$5:$R$6,3,0),1,D241+1)</f>
        <v>188</v>
      </c>
      <c r="E242" s="9" t="str">
        <f>IF(C242=Lookup!$P$5,INDEX('view-code'!$P$3:$P$502,'group-code'!D242),"")</f>
        <v/>
      </c>
      <c r="F242" s="9" t="str">
        <f>IF(C242=Lookup!$P$6,INDEX('card-code'!$P$3:$P$502,'group-code'!D242),"")</f>
        <v xml:space="preserve">    - sensor.disk_use_home</v>
      </c>
      <c r="G242" s="9" t="str">
        <f t="shared" si="7"/>
        <v xml:space="preserve">    - sensor.disk_use_home</v>
      </c>
      <c r="H242" s="9" t="str">
        <f>_xlfn.IFNA(IF(C242=Lookup!$Q$6,"END",""),"")</f>
        <v/>
      </c>
    </row>
    <row r="243" spans="2:8" x14ac:dyDescent="0.45">
      <c r="B243" s="9">
        <f t="shared" si="6"/>
        <v>238</v>
      </c>
      <c r="C243" s="9" t="str">
        <f>IF(D242=VLOOKUP(C242,Lookup!$P$5:$R$6,3,0),VLOOKUP(C242,Lookup!$P$5:$Q$6,2,0),C242)</f>
        <v>card</v>
      </c>
      <c r="D243" s="22">
        <f>IF(D242=VLOOKUP(C242,Lookup!$P$5:$R$6,3,0),1,D242+1)</f>
        <v>189</v>
      </c>
      <c r="E243" s="9" t="str">
        <f>IF(C243=Lookup!$P$5,INDEX('view-code'!$P$3:$P$502,'group-code'!D243),"")</f>
        <v/>
      </c>
      <c r="F243" s="9" t="str">
        <f>IF(C243=Lookup!$P$6,INDEX('card-code'!$P$3:$P$502,'group-code'!D243),"")</f>
        <v xml:space="preserve">    - sensor.last_boot</v>
      </c>
      <c r="G243" s="9" t="str">
        <f t="shared" si="7"/>
        <v xml:space="preserve">    - sensor.last_boot</v>
      </c>
      <c r="H243" s="9" t="str">
        <f>_xlfn.IFNA(IF(C243=Lookup!$Q$6,"END",""),"")</f>
        <v/>
      </c>
    </row>
    <row r="244" spans="2:8" x14ac:dyDescent="0.45">
      <c r="B244" s="9">
        <f t="shared" si="6"/>
        <v>239</v>
      </c>
      <c r="C244" s="9" t="str">
        <f>IF(D243=VLOOKUP(C243,Lookup!$P$5:$R$6,3,0),VLOOKUP(C243,Lookup!$P$5:$Q$6,2,0),C243)</f>
        <v>card</v>
      </c>
      <c r="D244" s="22">
        <f>IF(D243=VLOOKUP(C243,Lookup!$P$5:$R$6,3,0),1,D243+1)</f>
        <v>190</v>
      </c>
      <c r="E244" s="9" t="str">
        <f>IF(C244=Lookup!$P$5,INDEX('view-code'!$P$3:$P$502,'group-code'!D244),"")</f>
        <v/>
      </c>
      <c r="F244" s="9" t="str">
        <f>IF(C244=Lookup!$P$6,INDEX('card-code'!$P$3:$P$502,'group-code'!D244),"")</f>
        <v/>
      </c>
      <c r="G244" s="9" t="str">
        <f t="shared" si="7"/>
        <v/>
      </c>
      <c r="H244" s="9" t="str">
        <f>_xlfn.IFNA(IF(C244=Lookup!$Q$6,"END",""),"")</f>
        <v/>
      </c>
    </row>
    <row r="245" spans="2:8" x14ac:dyDescent="0.45">
      <c r="B245" s="9">
        <f t="shared" si="6"/>
        <v>240</v>
      </c>
      <c r="C245" s="9" t="str">
        <f>IF(D244=VLOOKUP(C244,Lookup!$P$5:$R$6,3,0),VLOOKUP(C244,Lookup!$P$5:$Q$6,2,0),C244)</f>
        <v>card</v>
      </c>
      <c r="D245" s="22">
        <f>IF(D244=VLOOKUP(C244,Lookup!$P$5:$R$6,3,0),1,D244+1)</f>
        <v>191</v>
      </c>
      <c r="E245" s="9" t="str">
        <f>IF(C245=Lookup!$P$5,INDEX('view-code'!$P$3:$P$502,'group-code'!D245),"")</f>
        <v/>
      </c>
      <c r="F245" s="9" t="str">
        <f>IF(C245=Lookup!$P$6,INDEX('card-code'!$P$3:$P$502,'group-code'!D245),"")</f>
        <v>misc_devices:</v>
      </c>
      <c r="G245" s="9" t="str">
        <f t="shared" si="7"/>
        <v>misc_devices:</v>
      </c>
      <c r="H245" s="9" t="str">
        <f>_xlfn.IFNA(IF(C245=Lookup!$Q$6,"END",""),"")</f>
        <v/>
      </c>
    </row>
    <row r="246" spans="2:8" x14ac:dyDescent="0.45">
      <c r="B246" s="9">
        <f t="shared" si="6"/>
        <v>241</v>
      </c>
      <c r="C246" s="9" t="str">
        <f>IF(D245=VLOOKUP(C245,Lookup!$P$5:$R$6,3,0),VLOOKUP(C245,Lookup!$P$5:$Q$6,2,0),C245)</f>
        <v>card</v>
      </c>
      <c r="D246" s="22">
        <f>IF(D245=VLOOKUP(C245,Lookup!$P$5:$R$6,3,0),1,D245+1)</f>
        <v>192</v>
      </c>
      <c r="E246" s="9" t="str">
        <f>IF(C246=Lookup!$P$5,INDEX('view-code'!$P$3:$P$502,'group-code'!D246),"")</f>
        <v/>
      </c>
      <c r="F246" s="9" t="str">
        <f>IF(C246=Lookup!$P$6,INDEX('card-code'!$P$3:$P$502,'group-code'!D246),"")</f>
        <v xml:space="preserve">  name: "Misc Devices"</v>
      </c>
      <c r="G246" s="9" t="str">
        <f t="shared" si="7"/>
        <v xml:space="preserve">  name: "Misc Devices"</v>
      </c>
      <c r="H246" s="9" t="str">
        <f>_xlfn.IFNA(IF(C246=Lookup!$Q$6,"END",""),"")</f>
        <v/>
      </c>
    </row>
    <row r="247" spans="2:8" x14ac:dyDescent="0.45">
      <c r="B247" s="9">
        <f t="shared" si="6"/>
        <v>242</v>
      </c>
      <c r="C247" s="9" t="str">
        <f>IF(D246=VLOOKUP(C246,Lookup!$P$5:$R$6,3,0),VLOOKUP(C246,Lookup!$P$5:$Q$6,2,0),C246)</f>
        <v>card</v>
      </c>
      <c r="D247" s="22">
        <f>IF(D246=VLOOKUP(C246,Lookup!$P$5:$R$6,3,0),1,D246+1)</f>
        <v>193</v>
      </c>
      <c r="E247" s="9" t="str">
        <f>IF(C247=Lookup!$P$5,INDEX('view-code'!$P$3:$P$502,'group-code'!D247),"")</f>
        <v/>
      </c>
      <c r="F247" s="9" t="str">
        <f>IF(C247=Lookup!$P$6,INDEX('card-code'!$P$3:$P$502,'group-code'!D247),"")</f>
        <v xml:space="preserve">  entities:</v>
      </c>
      <c r="G247" s="9" t="str">
        <f t="shared" si="7"/>
        <v xml:space="preserve">  entities:</v>
      </c>
      <c r="H247" s="9" t="str">
        <f>_xlfn.IFNA(IF(C247=Lookup!$Q$6,"END",""),"")</f>
        <v/>
      </c>
    </row>
    <row r="248" spans="2:8" x14ac:dyDescent="0.45">
      <c r="B248" s="9">
        <f t="shared" si="6"/>
        <v>243</v>
      </c>
      <c r="C248" s="9" t="str">
        <f>IF(D247=VLOOKUP(C247,Lookup!$P$5:$R$6,3,0),VLOOKUP(C247,Lookup!$P$5:$Q$6,2,0),C247)</f>
        <v>card</v>
      </c>
      <c r="D248" s="22">
        <f>IF(D247=VLOOKUP(C247,Lookup!$P$5:$R$6,3,0),1,D247+1)</f>
        <v>194</v>
      </c>
      <c r="E248" s="9" t="str">
        <f>IF(C248=Lookup!$P$5,INDEX('view-code'!$P$3:$P$502,'group-code'!D248),"")</f>
        <v/>
      </c>
      <c r="F248" s="9" t="str">
        <f>IF(C248=Lookup!$P$6,INDEX('card-code'!$P$3:$P$502,'group-code'!D248),"")</f>
        <v xml:space="preserve">    - device_tracker.gear_fit_2</v>
      </c>
      <c r="G248" s="9" t="str">
        <f t="shared" si="7"/>
        <v xml:space="preserve">    - device_tracker.gear_fit_2</v>
      </c>
      <c r="H248" s="9" t="str">
        <f>_xlfn.IFNA(IF(C248=Lookup!$Q$6,"END",""),"")</f>
        <v/>
      </c>
    </row>
    <row r="249" spans="2:8" x14ac:dyDescent="0.45">
      <c r="B249" s="9">
        <f t="shared" si="6"/>
        <v>244</v>
      </c>
      <c r="C249" s="9" t="str">
        <f>IF(D248=VLOOKUP(C248,Lookup!$P$5:$R$6,3,0),VLOOKUP(C248,Lookup!$P$5:$Q$6,2,0),C248)</f>
        <v>end</v>
      </c>
      <c r="D249" s="22">
        <f>IF(D248=VLOOKUP(C248,Lookup!$P$5:$R$6,3,0),1,D248+1)</f>
        <v>1</v>
      </c>
      <c r="E249" s="9" t="str">
        <f>IF(C249=Lookup!$P$5,INDEX('view-code'!$P$3:$P$502,'group-code'!D249),"")</f>
        <v/>
      </c>
      <c r="F249" s="9" t="str">
        <f>IF(C249=Lookup!$P$6,INDEX('card-code'!$P$3:$P$502,'group-code'!D249),"")</f>
        <v/>
      </c>
      <c r="G249" s="9" t="str">
        <f t="shared" si="7"/>
        <v/>
      </c>
      <c r="H249" s="9" t="str">
        <f>_xlfn.IFNA(IF(C249=Lookup!$Q$6,"END",""),"")</f>
        <v>END</v>
      </c>
    </row>
    <row r="250" spans="2:8" x14ac:dyDescent="0.45">
      <c r="B250" s="9">
        <f t="shared" si="6"/>
        <v>245</v>
      </c>
      <c r="C250" s="9" t="e">
        <f>IF(D249=VLOOKUP(C249,Lookup!$P$5:$R$6,3,0),VLOOKUP(C249,Lookup!$P$5:$Q$6,2,0),C249)</f>
        <v>#N/A</v>
      </c>
      <c r="D250" s="22" t="e">
        <f>IF(D249=VLOOKUP(C249,Lookup!$P$5:$R$6,3,0),1,D249+1)</f>
        <v>#N/A</v>
      </c>
      <c r="E250" s="9" t="e">
        <f>IF(C250=Lookup!$P$5,INDEX('view-code'!$P$3:$P$502,'group-code'!D250),"")</f>
        <v>#N/A</v>
      </c>
      <c r="F250" s="9" t="e">
        <f>IF(C250=Lookup!$P$6,INDEX('card-code'!$P$3:$P$502,'group-code'!D250),"")</f>
        <v>#N/A</v>
      </c>
      <c r="G250" s="9" t="str">
        <f t="shared" si="7"/>
        <v/>
      </c>
      <c r="H250" s="9" t="str">
        <f>_xlfn.IFNA(IF(C250=Lookup!$Q$6,"END",""),"")</f>
        <v/>
      </c>
    </row>
    <row r="251" spans="2:8" x14ac:dyDescent="0.45">
      <c r="B251" s="9">
        <f t="shared" si="6"/>
        <v>246</v>
      </c>
      <c r="C251" s="9" t="e">
        <f>IF(D250=VLOOKUP(C250,Lookup!$P$5:$R$6,3,0),VLOOKUP(C250,Lookup!$P$5:$Q$6,2,0),C250)</f>
        <v>#N/A</v>
      </c>
      <c r="D251" s="22" t="e">
        <f>IF(D250=VLOOKUP(C250,Lookup!$P$5:$R$6,3,0),1,D250+1)</f>
        <v>#N/A</v>
      </c>
      <c r="E251" s="9" t="e">
        <f>IF(C251=Lookup!$P$5,INDEX('view-code'!$P$3:$P$502,'group-code'!D251),"")</f>
        <v>#N/A</v>
      </c>
      <c r="F251" s="9" t="e">
        <f>IF(C251=Lookup!$P$6,INDEX('card-code'!$P$3:$P$502,'group-code'!D251),"")</f>
        <v>#N/A</v>
      </c>
      <c r="G251" s="9" t="str">
        <f t="shared" si="7"/>
        <v/>
      </c>
      <c r="H251" s="9" t="str">
        <f>_xlfn.IFNA(IF(C251=Lookup!$Q$6,"END",""),"")</f>
        <v/>
      </c>
    </row>
    <row r="252" spans="2:8" x14ac:dyDescent="0.45">
      <c r="B252" s="9">
        <f t="shared" si="6"/>
        <v>247</v>
      </c>
      <c r="C252" s="9" t="e">
        <f>IF(D251=VLOOKUP(C251,Lookup!$P$5:$R$6,3,0),VLOOKUP(C251,Lookup!$P$5:$Q$6,2,0),C251)</f>
        <v>#N/A</v>
      </c>
      <c r="D252" s="22" t="e">
        <f>IF(D251=VLOOKUP(C251,Lookup!$P$5:$R$6,3,0),1,D251+1)</f>
        <v>#N/A</v>
      </c>
      <c r="E252" s="9" t="e">
        <f>IF(C252=Lookup!$P$5,INDEX('view-code'!$P$3:$P$502,'group-code'!D252),"")</f>
        <v>#N/A</v>
      </c>
      <c r="F252" s="9" t="e">
        <f>IF(C252=Lookup!$P$6,INDEX('card-code'!$P$3:$P$502,'group-code'!D252),"")</f>
        <v>#N/A</v>
      </c>
      <c r="G252" s="9" t="str">
        <f t="shared" si="7"/>
        <v/>
      </c>
      <c r="H252" s="9" t="str">
        <f>_xlfn.IFNA(IF(C252=Lookup!$Q$6,"END",""),"")</f>
        <v/>
      </c>
    </row>
    <row r="253" spans="2:8" x14ac:dyDescent="0.45">
      <c r="B253" s="9">
        <f t="shared" si="6"/>
        <v>248</v>
      </c>
      <c r="C253" s="9" t="e">
        <f>IF(D252=VLOOKUP(C252,Lookup!$P$5:$R$6,3,0),VLOOKUP(C252,Lookup!$P$5:$Q$6,2,0),C252)</f>
        <v>#N/A</v>
      </c>
      <c r="D253" s="22" t="e">
        <f>IF(D252=VLOOKUP(C252,Lookup!$P$5:$R$6,3,0),1,D252+1)</f>
        <v>#N/A</v>
      </c>
      <c r="E253" s="9" t="e">
        <f>IF(C253=Lookup!$P$5,INDEX('view-code'!$P$3:$P$502,'group-code'!D253),"")</f>
        <v>#N/A</v>
      </c>
      <c r="F253" s="9" t="e">
        <f>IF(C253=Lookup!$P$6,INDEX('card-code'!$P$3:$P$502,'group-code'!D253),"")</f>
        <v>#N/A</v>
      </c>
      <c r="G253" s="9" t="str">
        <f t="shared" si="7"/>
        <v/>
      </c>
      <c r="H253" s="9" t="str">
        <f>_xlfn.IFNA(IF(C253=Lookup!$Q$6,"END",""),"")</f>
        <v/>
      </c>
    </row>
    <row r="254" spans="2:8" x14ac:dyDescent="0.45">
      <c r="B254" s="9">
        <f t="shared" si="6"/>
        <v>249</v>
      </c>
      <c r="C254" s="9" t="e">
        <f>IF(D253=VLOOKUP(C253,Lookup!$P$5:$R$6,3,0),VLOOKUP(C253,Lookup!$P$5:$Q$6,2,0),C253)</f>
        <v>#N/A</v>
      </c>
      <c r="D254" s="22" t="e">
        <f>IF(D253=VLOOKUP(C253,Lookup!$P$5:$R$6,3,0),1,D253+1)</f>
        <v>#N/A</v>
      </c>
      <c r="E254" s="9" t="e">
        <f>IF(C254=Lookup!$P$5,INDEX('view-code'!$P$3:$P$502,'group-code'!D254),"")</f>
        <v>#N/A</v>
      </c>
      <c r="F254" s="9" t="e">
        <f>IF(C254=Lookup!$P$6,INDEX('card-code'!$P$3:$P$502,'group-code'!D254),"")</f>
        <v>#N/A</v>
      </c>
      <c r="G254" s="9" t="str">
        <f t="shared" si="7"/>
        <v/>
      </c>
      <c r="H254" s="9" t="str">
        <f>_xlfn.IFNA(IF(C254=Lookup!$Q$6,"END",""),"")</f>
        <v/>
      </c>
    </row>
    <row r="255" spans="2:8" x14ac:dyDescent="0.45">
      <c r="B255" s="9">
        <f t="shared" si="6"/>
        <v>250</v>
      </c>
      <c r="C255" s="9" t="e">
        <f>IF(D254=VLOOKUP(C254,Lookup!$P$5:$R$6,3,0),VLOOKUP(C254,Lookup!$P$5:$Q$6,2,0),C254)</f>
        <v>#N/A</v>
      </c>
      <c r="D255" s="22" t="e">
        <f>IF(D254=VLOOKUP(C254,Lookup!$P$5:$R$6,3,0),1,D254+1)</f>
        <v>#N/A</v>
      </c>
      <c r="E255" s="9" t="e">
        <f>IF(C255=Lookup!$P$5,INDEX('view-code'!$P$3:$P$502,'group-code'!D255),"")</f>
        <v>#N/A</v>
      </c>
      <c r="F255" s="9" t="e">
        <f>IF(C255=Lookup!$P$6,INDEX('card-code'!$P$3:$P$502,'group-code'!D255),"")</f>
        <v>#N/A</v>
      </c>
      <c r="G255" s="9" t="str">
        <f t="shared" si="7"/>
        <v/>
      </c>
      <c r="H255" s="9" t="str">
        <f>_xlfn.IFNA(IF(C255=Lookup!$Q$6,"END",""),"")</f>
        <v/>
      </c>
    </row>
    <row r="256" spans="2:8" x14ac:dyDescent="0.45">
      <c r="B256" s="9">
        <f t="shared" si="6"/>
        <v>251</v>
      </c>
      <c r="C256" s="9" t="e">
        <f>IF(D255=VLOOKUP(C255,Lookup!$P$5:$R$6,3,0),VLOOKUP(C255,Lookup!$P$5:$Q$6,2,0),C255)</f>
        <v>#N/A</v>
      </c>
      <c r="D256" s="22" t="e">
        <f>IF(D255=VLOOKUP(C255,Lookup!$P$5:$R$6,3,0),1,D255+1)</f>
        <v>#N/A</v>
      </c>
      <c r="E256" s="9" t="e">
        <f>IF(C256=Lookup!$P$5,INDEX('view-code'!$P$3:$P$502,'group-code'!D256),"")</f>
        <v>#N/A</v>
      </c>
      <c r="F256" s="9" t="e">
        <f>IF(C256=Lookup!$P$6,INDEX('card-code'!$P$3:$P$502,'group-code'!D256),"")</f>
        <v>#N/A</v>
      </c>
      <c r="G256" s="9" t="str">
        <f t="shared" si="7"/>
        <v/>
      </c>
      <c r="H256" s="9" t="str">
        <f>_xlfn.IFNA(IF(C256=Lookup!$Q$6,"END",""),"")</f>
        <v/>
      </c>
    </row>
    <row r="257" spans="2:8" x14ac:dyDescent="0.45">
      <c r="B257" s="9">
        <f t="shared" si="6"/>
        <v>252</v>
      </c>
      <c r="C257" s="9" t="e">
        <f>IF(D256=VLOOKUP(C256,Lookup!$P$5:$R$6,3,0),VLOOKUP(C256,Lookup!$P$5:$Q$6,2,0),C256)</f>
        <v>#N/A</v>
      </c>
      <c r="D257" s="22" t="e">
        <f>IF(D256=VLOOKUP(C256,Lookup!$P$5:$R$6,3,0),1,D256+1)</f>
        <v>#N/A</v>
      </c>
      <c r="E257" s="9" t="e">
        <f>IF(C257=Lookup!$P$5,INDEX('view-code'!$P$3:$P$502,'group-code'!D257),"")</f>
        <v>#N/A</v>
      </c>
      <c r="F257" s="9" t="e">
        <f>IF(C257=Lookup!$P$6,INDEX('card-code'!$P$3:$P$502,'group-code'!D257),"")</f>
        <v>#N/A</v>
      </c>
      <c r="G257" s="9" t="str">
        <f t="shared" si="7"/>
        <v/>
      </c>
      <c r="H257" s="9" t="str">
        <f>_xlfn.IFNA(IF(C257=Lookup!$Q$6,"END",""),"")</f>
        <v/>
      </c>
    </row>
    <row r="258" spans="2:8" x14ac:dyDescent="0.45">
      <c r="B258" s="9">
        <f t="shared" si="6"/>
        <v>253</v>
      </c>
      <c r="C258" s="9" t="e">
        <f>IF(D257=VLOOKUP(C257,Lookup!$P$5:$R$6,3,0),VLOOKUP(C257,Lookup!$P$5:$Q$6,2,0),C257)</f>
        <v>#N/A</v>
      </c>
      <c r="D258" s="22" t="e">
        <f>IF(D257=VLOOKUP(C257,Lookup!$P$5:$R$6,3,0),1,D257+1)</f>
        <v>#N/A</v>
      </c>
      <c r="E258" s="9" t="e">
        <f>IF(C258=Lookup!$P$5,INDEX('view-code'!$P$3:$P$502,'group-code'!D258),"")</f>
        <v>#N/A</v>
      </c>
      <c r="F258" s="9" t="e">
        <f>IF(C258=Lookup!$P$6,INDEX('card-code'!$P$3:$P$502,'group-code'!D258),"")</f>
        <v>#N/A</v>
      </c>
      <c r="G258" s="9" t="str">
        <f t="shared" si="7"/>
        <v/>
      </c>
      <c r="H258" s="9" t="str">
        <f>_xlfn.IFNA(IF(C258=Lookup!$Q$6,"END",""),"")</f>
        <v/>
      </c>
    </row>
    <row r="259" spans="2:8" x14ac:dyDescent="0.45">
      <c r="B259" s="9">
        <f t="shared" si="6"/>
        <v>254</v>
      </c>
      <c r="C259" s="9" t="e">
        <f>IF(D258=VLOOKUP(C258,Lookup!$P$5:$R$6,3,0),VLOOKUP(C258,Lookup!$P$5:$Q$6,2,0),C258)</f>
        <v>#N/A</v>
      </c>
      <c r="D259" s="22" t="e">
        <f>IF(D258=VLOOKUP(C258,Lookup!$P$5:$R$6,3,0),1,D258+1)</f>
        <v>#N/A</v>
      </c>
      <c r="E259" s="9" t="e">
        <f>IF(C259=Lookup!$P$5,INDEX('view-code'!$P$3:$P$502,'group-code'!D259),"")</f>
        <v>#N/A</v>
      </c>
      <c r="F259" s="9" t="e">
        <f>IF(C259=Lookup!$P$6,INDEX('card-code'!$P$3:$P$502,'group-code'!D259),"")</f>
        <v>#N/A</v>
      </c>
      <c r="G259" s="9" t="str">
        <f t="shared" si="7"/>
        <v/>
      </c>
      <c r="H259" s="9" t="str">
        <f>_xlfn.IFNA(IF(C259=Lookup!$Q$6,"END",""),"")</f>
        <v/>
      </c>
    </row>
    <row r="260" spans="2:8" x14ac:dyDescent="0.45">
      <c r="B260" s="9">
        <f t="shared" si="6"/>
        <v>255</v>
      </c>
      <c r="C260" s="9" t="e">
        <f>IF(D259=VLOOKUP(C259,Lookup!$P$5:$R$6,3,0),VLOOKUP(C259,Lookup!$P$5:$Q$6,2,0),C259)</f>
        <v>#N/A</v>
      </c>
      <c r="D260" s="22" t="e">
        <f>IF(D259=VLOOKUP(C259,Lookup!$P$5:$R$6,3,0),1,D259+1)</f>
        <v>#N/A</v>
      </c>
      <c r="E260" s="9" t="e">
        <f>IF(C260=Lookup!$P$5,INDEX('view-code'!$P$3:$P$502,'group-code'!D260),"")</f>
        <v>#N/A</v>
      </c>
      <c r="F260" s="9" t="e">
        <f>IF(C260=Lookup!$P$6,INDEX('card-code'!$P$3:$P$502,'group-code'!D260),"")</f>
        <v>#N/A</v>
      </c>
      <c r="G260" s="9" t="str">
        <f t="shared" si="7"/>
        <v/>
      </c>
      <c r="H260" s="9" t="str">
        <f>_xlfn.IFNA(IF(C260=Lookup!$Q$6,"END",""),"")</f>
        <v/>
      </c>
    </row>
    <row r="261" spans="2:8" x14ac:dyDescent="0.45">
      <c r="B261" s="9">
        <f t="shared" si="6"/>
        <v>256</v>
      </c>
      <c r="C261" s="9" t="e">
        <f>IF(D260=VLOOKUP(C260,Lookup!$P$5:$R$6,3,0),VLOOKUP(C260,Lookup!$P$5:$Q$6,2,0),C260)</f>
        <v>#N/A</v>
      </c>
      <c r="D261" s="22" t="e">
        <f>IF(D260=VLOOKUP(C260,Lookup!$P$5:$R$6,3,0),1,D260+1)</f>
        <v>#N/A</v>
      </c>
      <c r="E261" s="9" t="e">
        <f>IF(C261=Lookup!$P$5,INDEX('view-code'!$P$3:$P$502,'group-code'!D261),"")</f>
        <v>#N/A</v>
      </c>
      <c r="F261" s="9" t="e">
        <f>IF(C261=Lookup!$P$6,INDEX('card-code'!$P$3:$P$502,'group-code'!D261),"")</f>
        <v>#N/A</v>
      </c>
      <c r="G261" s="9" t="str">
        <f t="shared" si="7"/>
        <v/>
      </c>
      <c r="H261" s="9" t="str">
        <f>_xlfn.IFNA(IF(C261=Lookup!$Q$6,"END",""),"")</f>
        <v/>
      </c>
    </row>
    <row r="262" spans="2:8" x14ac:dyDescent="0.45">
      <c r="B262" s="9">
        <f t="shared" si="6"/>
        <v>257</v>
      </c>
      <c r="C262" s="9" t="e">
        <f>IF(D261=VLOOKUP(C261,Lookup!$P$5:$R$6,3,0),VLOOKUP(C261,Lookup!$P$5:$Q$6,2,0),C261)</f>
        <v>#N/A</v>
      </c>
      <c r="D262" s="22" t="e">
        <f>IF(D261=VLOOKUP(C261,Lookup!$P$5:$R$6,3,0),1,D261+1)</f>
        <v>#N/A</v>
      </c>
      <c r="E262" s="9" t="e">
        <f>IF(C262=Lookup!$P$5,INDEX('view-code'!$P$3:$P$502,'group-code'!D262),"")</f>
        <v>#N/A</v>
      </c>
      <c r="F262" s="9" t="e">
        <f>IF(C262=Lookup!$P$6,INDEX('card-code'!$P$3:$P$502,'group-code'!D262),"")</f>
        <v>#N/A</v>
      </c>
      <c r="G262" s="9" t="str">
        <f t="shared" si="7"/>
        <v/>
      </c>
      <c r="H262" s="9" t="str">
        <f>_xlfn.IFNA(IF(C262=Lookup!$Q$6,"END",""),"")</f>
        <v/>
      </c>
    </row>
    <row r="263" spans="2:8" x14ac:dyDescent="0.45">
      <c r="B263" s="9">
        <f t="shared" si="6"/>
        <v>258</v>
      </c>
      <c r="C263" s="9" t="e">
        <f>IF(D262=VLOOKUP(C262,Lookup!$P$5:$R$6,3,0),VLOOKUP(C262,Lookup!$P$5:$Q$6,2,0),C262)</f>
        <v>#N/A</v>
      </c>
      <c r="D263" s="22" t="e">
        <f>IF(D262=VLOOKUP(C262,Lookup!$P$5:$R$6,3,0),1,D262+1)</f>
        <v>#N/A</v>
      </c>
      <c r="E263" s="9" t="e">
        <f>IF(C263=Lookup!$P$5,INDEX('view-code'!$P$3:$P$502,'group-code'!D263),"")</f>
        <v>#N/A</v>
      </c>
      <c r="F263" s="9" t="e">
        <f>IF(C263=Lookup!$P$6,INDEX('card-code'!$P$3:$P$502,'group-code'!D263),"")</f>
        <v>#N/A</v>
      </c>
      <c r="G263" s="9" t="str">
        <f t="shared" si="7"/>
        <v/>
      </c>
      <c r="H263" s="9" t="str">
        <f>_xlfn.IFNA(IF(C263=Lookup!$Q$6,"END",""),"")</f>
        <v/>
      </c>
    </row>
    <row r="264" spans="2:8" x14ac:dyDescent="0.45">
      <c r="B264" s="9">
        <f t="shared" ref="B264:B327" si="8">B263+1</f>
        <v>259</v>
      </c>
      <c r="C264" s="9" t="e">
        <f>IF(D263=VLOOKUP(C263,Lookup!$P$5:$R$6,3,0),VLOOKUP(C263,Lookup!$P$5:$Q$6,2,0),C263)</f>
        <v>#N/A</v>
      </c>
      <c r="D264" s="22" t="e">
        <f>IF(D263=VLOOKUP(C263,Lookup!$P$5:$R$6,3,0),1,D263+1)</f>
        <v>#N/A</v>
      </c>
      <c r="E264" s="9" t="e">
        <f>IF(C264=Lookup!$P$5,INDEX('view-code'!$P$3:$P$502,'group-code'!D264),"")</f>
        <v>#N/A</v>
      </c>
      <c r="F264" s="9" t="e">
        <f>IF(C264=Lookup!$P$6,INDEX('card-code'!$P$3:$P$502,'group-code'!D264),"")</f>
        <v>#N/A</v>
      </c>
      <c r="G264" s="9" t="str">
        <f t="shared" ref="G264:G327" si="9">_xlfn.IFNA(  E264&amp;F264,  "")</f>
        <v/>
      </c>
      <c r="H264" s="9" t="str">
        <f>_xlfn.IFNA(IF(C264=Lookup!$Q$6,"END",""),"")</f>
        <v/>
      </c>
    </row>
    <row r="265" spans="2:8" x14ac:dyDescent="0.45">
      <c r="B265" s="9">
        <f t="shared" si="8"/>
        <v>260</v>
      </c>
      <c r="C265" s="9" t="e">
        <f>IF(D264=VLOOKUP(C264,Lookup!$P$5:$R$6,3,0),VLOOKUP(C264,Lookup!$P$5:$Q$6,2,0),C264)</f>
        <v>#N/A</v>
      </c>
      <c r="D265" s="22" t="e">
        <f>IF(D264=VLOOKUP(C264,Lookup!$P$5:$R$6,3,0),1,D264+1)</f>
        <v>#N/A</v>
      </c>
      <c r="E265" s="9" t="e">
        <f>IF(C265=Lookup!$P$5,INDEX('view-code'!$P$3:$P$502,'group-code'!D265),"")</f>
        <v>#N/A</v>
      </c>
      <c r="F265" s="9" t="e">
        <f>IF(C265=Lookup!$P$6,INDEX('card-code'!$P$3:$P$502,'group-code'!D265),"")</f>
        <v>#N/A</v>
      </c>
      <c r="G265" s="9" t="str">
        <f t="shared" si="9"/>
        <v/>
      </c>
      <c r="H265" s="9" t="str">
        <f>_xlfn.IFNA(IF(C265=Lookup!$Q$6,"END",""),"")</f>
        <v/>
      </c>
    </row>
    <row r="266" spans="2:8" x14ac:dyDescent="0.45">
      <c r="B266" s="9">
        <f t="shared" si="8"/>
        <v>261</v>
      </c>
      <c r="C266" s="9" t="e">
        <f>IF(D265=VLOOKUP(C265,Lookup!$P$5:$R$6,3,0),VLOOKUP(C265,Lookup!$P$5:$Q$6,2,0),C265)</f>
        <v>#N/A</v>
      </c>
      <c r="D266" s="22" t="e">
        <f>IF(D265=VLOOKUP(C265,Lookup!$P$5:$R$6,3,0),1,D265+1)</f>
        <v>#N/A</v>
      </c>
      <c r="E266" s="9" t="e">
        <f>IF(C266=Lookup!$P$5,INDEX('view-code'!$P$3:$P$502,'group-code'!D266),"")</f>
        <v>#N/A</v>
      </c>
      <c r="F266" s="9" t="e">
        <f>IF(C266=Lookup!$P$6,INDEX('card-code'!$P$3:$P$502,'group-code'!D266),"")</f>
        <v>#N/A</v>
      </c>
      <c r="G266" s="9" t="str">
        <f t="shared" si="9"/>
        <v/>
      </c>
      <c r="H266" s="9" t="str">
        <f>_xlfn.IFNA(IF(C266=Lookup!$Q$6,"END",""),"")</f>
        <v/>
      </c>
    </row>
    <row r="267" spans="2:8" x14ac:dyDescent="0.45">
      <c r="B267" s="9">
        <f t="shared" si="8"/>
        <v>262</v>
      </c>
      <c r="C267" s="9" t="e">
        <f>IF(D266=VLOOKUP(C266,Lookup!$P$5:$R$6,3,0),VLOOKUP(C266,Lookup!$P$5:$Q$6,2,0),C266)</f>
        <v>#N/A</v>
      </c>
      <c r="D267" s="22" t="e">
        <f>IF(D266=VLOOKUP(C266,Lookup!$P$5:$R$6,3,0),1,D266+1)</f>
        <v>#N/A</v>
      </c>
      <c r="E267" s="9" t="e">
        <f>IF(C267=Lookup!$P$5,INDEX('view-code'!$P$3:$P$502,'group-code'!D267),"")</f>
        <v>#N/A</v>
      </c>
      <c r="F267" s="9" t="e">
        <f>IF(C267=Lookup!$P$6,INDEX('card-code'!$P$3:$P$502,'group-code'!D267),"")</f>
        <v>#N/A</v>
      </c>
      <c r="G267" s="9" t="str">
        <f t="shared" si="9"/>
        <v/>
      </c>
      <c r="H267" s="9" t="str">
        <f>_xlfn.IFNA(IF(C267=Lookup!$Q$6,"END",""),"")</f>
        <v/>
      </c>
    </row>
    <row r="268" spans="2:8" x14ac:dyDescent="0.45">
      <c r="B268" s="9">
        <f t="shared" si="8"/>
        <v>263</v>
      </c>
      <c r="C268" s="9" t="e">
        <f>IF(D267=VLOOKUP(C267,Lookup!$P$5:$R$6,3,0),VLOOKUP(C267,Lookup!$P$5:$Q$6,2,0),C267)</f>
        <v>#N/A</v>
      </c>
      <c r="D268" s="22" t="e">
        <f>IF(D267=VLOOKUP(C267,Lookup!$P$5:$R$6,3,0),1,D267+1)</f>
        <v>#N/A</v>
      </c>
      <c r="E268" s="9" t="e">
        <f>IF(C268=Lookup!$P$5,INDEX('view-code'!$P$3:$P$502,'group-code'!D268),"")</f>
        <v>#N/A</v>
      </c>
      <c r="F268" s="9" t="e">
        <f>IF(C268=Lookup!$P$6,INDEX('card-code'!$P$3:$P$502,'group-code'!D268),"")</f>
        <v>#N/A</v>
      </c>
      <c r="G268" s="9" t="str">
        <f t="shared" si="9"/>
        <v/>
      </c>
      <c r="H268" s="9" t="str">
        <f>_xlfn.IFNA(IF(C268=Lookup!$Q$6,"END",""),"")</f>
        <v/>
      </c>
    </row>
    <row r="269" spans="2:8" x14ac:dyDescent="0.45">
      <c r="B269" s="9">
        <f t="shared" si="8"/>
        <v>264</v>
      </c>
      <c r="C269" s="9" t="e">
        <f>IF(D268=VLOOKUP(C268,Lookup!$P$5:$R$6,3,0),VLOOKUP(C268,Lookup!$P$5:$Q$6,2,0),C268)</f>
        <v>#N/A</v>
      </c>
      <c r="D269" s="22" t="e">
        <f>IF(D268=VLOOKUP(C268,Lookup!$P$5:$R$6,3,0),1,D268+1)</f>
        <v>#N/A</v>
      </c>
      <c r="E269" s="9" t="e">
        <f>IF(C269=Lookup!$P$5,INDEX('view-code'!$P$3:$P$502,'group-code'!D269),"")</f>
        <v>#N/A</v>
      </c>
      <c r="F269" s="9" t="e">
        <f>IF(C269=Lookup!$P$6,INDEX('card-code'!$P$3:$P$502,'group-code'!D269),"")</f>
        <v>#N/A</v>
      </c>
      <c r="G269" s="9" t="str">
        <f t="shared" si="9"/>
        <v/>
      </c>
      <c r="H269" s="9" t="str">
        <f>_xlfn.IFNA(IF(C269=Lookup!$Q$6,"END",""),"")</f>
        <v/>
      </c>
    </row>
    <row r="270" spans="2:8" x14ac:dyDescent="0.45">
      <c r="B270" s="9">
        <f t="shared" si="8"/>
        <v>265</v>
      </c>
      <c r="C270" s="9" t="e">
        <f>IF(D269=VLOOKUP(C269,Lookup!$P$5:$R$6,3,0),VLOOKUP(C269,Lookup!$P$5:$Q$6,2,0),C269)</f>
        <v>#N/A</v>
      </c>
      <c r="D270" s="22" t="e">
        <f>IF(D269=VLOOKUP(C269,Lookup!$P$5:$R$6,3,0),1,D269+1)</f>
        <v>#N/A</v>
      </c>
      <c r="E270" s="9" t="e">
        <f>IF(C270=Lookup!$P$5,INDEX('view-code'!$P$3:$P$502,'group-code'!D270),"")</f>
        <v>#N/A</v>
      </c>
      <c r="F270" s="9" t="e">
        <f>IF(C270=Lookup!$P$6,INDEX('card-code'!$P$3:$P$502,'group-code'!D270),"")</f>
        <v>#N/A</v>
      </c>
      <c r="G270" s="9" t="str">
        <f t="shared" si="9"/>
        <v/>
      </c>
      <c r="H270" s="9" t="str">
        <f>_xlfn.IFNA(IF(C270=Lookup!$Q$6,"END",""),"")</f>
        <v/>
      </c>
    </row>
    <row r="271" spans="2:8" x14ac:dyDescent="0.45">
      <c r="B271" s="9">
        <f t="shared" si="8"/>
        <v>266</v>
      </c>
      <c r="C271" s="9" t="e">
        <f>IF(D270=VLOOKUP(C270,Lookup!$P$5:$R$6,3,0),VLOOKUP(C270,Lookup!$P$5:$Q$6,2,0),C270)</f>
        <v>#N/A</v>
      </c>
      <c r="D271" s="22" t="e">
        <f>IF(D270=VLOOKUP(C270,Lookup!$P$5:$R$6,3,0),1,D270+1)</f>
        <v>#N/A</v>
      </c>
      <c r="E271" s="9" t="e">
        <f>IF(C271=Lookup!$P$5,INDEX('view-code'!$P$3:$P$502,'group-code'!D271),"")</f>
        <v>#N/A</v>
      </c>
      <c r="F271" s="9" t="e">
        <f>IF(C271=Lookup!$P$6,INDEX('card-code'!$P$3:$P$502,'group-code'!D271),"")</f>
        <v>#N/A</v>
      </c>
      <c r="G271" s="9" t="str">
        <f t="shared" si="9"/>
        <v/>
      </c>
      <c r="H271" s="9" t="str">
        <f>_xlfn.IFNA(IF(C271=Lookup!$Q$6,"END",""),"")</f>
        <v/>
      </c>
    </row>
    <row r="272" spans="2:8" x14ac:dyDescent="0.45">
      <c r="B272" s="9">
        <f t="shared" si="8"/>
        <v>267</v>
      </c>
      <c r="C272" s="9" t="e">
        <f>IF(D271=VLOOKUP(C271,Lookup!$P$5:$R$6,3,0),VLOOKUP(C271,Lookup!$P$5:$Q$6,2,0),C271)</f>
        <v>#N/A</v>
      </c>
      <c r="D272" s="22" t="e">
        <f>IF(D271=VLOOKUP(C271,Lookup!$P$5:$R$6,3,0),1,D271+1)</f>
        <v>#N/A</v>
      </c>
      <c r="E272" s="9" t="e">
        <f>IF(C272=Lookup!$P$5,INDEX('view-code'!$P$3:$P$502,'group-code'!D272),"")</f>
        <v>#N/A</v>
      </c>
      <c r="F272" s="9" t="e">
        <f>IF(C272=Lookup!$P$6,INDEX('card-code'!$P$3:$P$502,'group-code'!D272),"")</f>
        <v>#N/A</v>
      </c>
      <c r="G272" s="9" t="str">
        <f t="shared" si="9"/>
        <v/>
      </c>
      <c r="H272" s="9" t="str">
        <f>_xlfn.IFNA(IF(C272=Lookup!$Q$6,"END",""),"")</f>
        <v/>
      </c>
    </row>
    <row r="273" spans="2:8" x14ac:dyDescent="0.45">
      <c r="B273" s="9">
        <f t="shared" si="8"/>
        <v>268</v>
      </c>
      <c r="C273" s="9" t="e">
        <f>IF(D272=VLOOKUP(C272,Lookup!$P$5:$R$6,3,0),VLOOKUP(C272,Lookup!$P$5:$Q$6,2,0),C272)</f>
        <v>#N/A</v>
      </c>
      <c r="D273" s="22" t="e">
        <f>IF(D272=VLOOKUP(C272,Lookup!$P$5:$R$6,3,0),1,D272+1)</f>
        <v>#N/A</v>
      </c>
      <c r="E273" s="9" t="e">
        <f>IF(C273=Lookup!$P$5,INDEX('view-code'!$P$3:$P$502,'group-code'!D273),"")</f>
        <v>#N/A</v>
      </c>
      <c r="F273" s="9" t="e">
        <f>IF(C273=Lookup!$P$6,INDEX('card-code'!$P$3:$P$502,'group-code'!D273),"")</f>
        <v>#N/A</v>
      </c>
      <c r="G273" s="9" t="str">
        <f t="shared" si="9"/>
        <v/>
      </c>
      <c r="H273" s="9" t="str">
        <f>_xlfn.IFNA(IF(C273=Lookup!$Q$6,"END",""),"")</f>
        <v/>
      </c>
    </row>
    <row r="274" spans="2:8" x14ac:dyDescent="0.45">
      <c r="B274" s="9">
        <f t="shared" si="8"/>
        <v>269</v>
      </c>
      <c r="C274" s="9" t="e">
        <f>IF(D273=VLOOKUP(C273,Lookup!$P$5:$R$6,3,0),VLOOKUP(C273,Lookup!$P$5:$Q$6,2,0),C273)</f>
        <v>#N/A</v>
      </c>
      <c r="D274" s="22" t="e">
        <f>IF(D273=VLOOKUP(C273,Lookup!$P$5:$R$6,3,0),1,D273+1)</f>
        <v>#N/A</v>
      </c>
      <c r="E274" s="9" t="e">
        <f>IF(C274=Lookup!$P$5,INDEX('view-code'!$P$3:$P$502,'group-code'!D274),"")</f>
        <v>#N/A</v>
      </c>
      <c r="F274" s="9" t="e">
        <f>IF(C274=Lookup!$P$6,INDEX('card-code'!$P$3:$P$502,'group-code'!D274),"")</f>
        <v>#N/A</v>
      </c>
      <c r="G274" s="9" t="str">
        <f t="shared" si="9"/>
        <v/>
      </c>
      <c r="H274" s="9" t="str">
        <f>_xlfn.IFNA(IF(C274=Lookup!$Q$6,"END",""),"")</f>
        <v/>
      </c>
    </row>
    <row r="275" spans="2:8" x14ac:dyDescent="0.45">
      <c r="B275" s="9">
        <f t="shared" si="8"/>
        <v>270</v>
      </c>
      <c r="C275" s="9" t="e">
        <f>IF(D274=VLOOKUP(C274,Lookup!$P$5:$R$6,3,0),VLOOKUP(C274,Lookup!$P$5:$Q$6,2,0),C274)</f>
        <v>#N/A</v>
      </c>
      <c r="D275" s="22" t="e">
        <f>IF(D274=VLOOKUP(C274,Lookup!$P$5:$R$6,3,0),1,D274+1)</f>
        <v>#N/A</v>
      </c>
      <c r="E275" s="9" t="e">
        <f>IF(C275=Lookup!$P$5,INDEX('view-code'!$P$3:$P$502,'group-code'!D275),"")</f>
        <v>#N/A</v>
      </c>
      <c r="F275" s="9" t="e">
        <f>IF(C275=Lookup!$P$6,INDEX('card-code'!$P$3:$P$502,'group-code'!D275),"")</f>
        <v>#N/A</v>
      </c>
      <c r="G275" s="9" t="str">
        <f t="shared" si="9"/>
        <v/>
      </c>
      <c r="H275" s="9" t="str">
        <f>_xlfn.IFNA(IF(C275=Lookup!$Q$6,"END",""),"")</f>
        <v/>
      </c>
    </row>
    <row r="276" spans="2:8" x14ac:dyDescent="0.45">
      <c r="B276" s="9">
        <f t="shared" si="8"/>
        <v>271</v>
      </c>
      <c r="C276" s="9" t="e">
        <f>IF(D275=VLOOKUP(C275,Lookup!$P$5:$R$6,3,0),VLOOKUP(C275,Lookup!$P$5:$Q$6,2,0),C275)</f>
        <v>#N/A</v>
      </c>
      <c r="D276" s="22" t="e">
        <f>IF(D275=VLOOKUP(C275,Lookup!$P$5:$R$6,3,0),1,D275+1)</f>
        <v>#N/A</v>
      </c>
      <c r="E276" s="9" t="e">
        <f>IF(C276=Lookup!$P$5,INDEX('view-code'!$P$3:$P$502,'group-code'!D276),"")</f>
        <v>#N/A</v>
      </c>
      <c r="F276" s="9" t="e">
        <f>IF(C276=Lookup!$P$6,INDEX('card-code'!$P$3:$P$502,'group-code'!D276),"")</f>
        <v>#N/A</v>
      </c>
      <c r="G276" s="9" t="str">
        <f t="shared" si="9"/>
        <v/>
      </c>
      <c r="H276" s="9" t="str">
        <f>_xlfn.IFNA(IF(C276=Lookup!$Q$6,"END",""),"")</f>
        <v/>
      </c>
    </row>
    <row r="277" spans="2:8" x14ac:dyDescent="0.45">
      <c r="B277" s="9">
        <f t="shared" si="8"/>
        <v>272</v>
      </c>
      <c r="C277" s="9" t="e">
        <f>IF(D276=VLOOKUP(C276,Lookup!$P$5:$R$6,3,0),VLOOKUP(C276,Lookup!$P$5:$Q$6,2,0),C276)</f>
        <v>#N/A</v>
      </c>
      <c r="D277" s="22" t="e">
        <f>IF(D276=VLOOKUP(C276,Lookup!$P$5:$R$6,3,0),1,D276+1)</f>
        <v>#N/A</v>
      </c>
      <c r="E277" s="9" t="e">
        <f>IF(C277=Lookup!$P$5,INDEX('view-code'!$P$3:$P$502,'group-code'!D277),"")</f>
        <v>#N/A</v>
      </c>
      <c r="F277" s="9" t="e">
        <f>IF(C277=Lookup!$P$6,INDEX('card-code'!$P$3:$P$502,'group-code'!D277),"")</f>
        <v>#N/A</v>
      </c>
      <c r="G277" s="9" t="str">
        <f t="shared" si="9"/>
        <v/>
      </c>
      <c r="H277" s="9" t="str">
        <f>_xlfn.IFNA(IF(C277=Lookup!$Q$6,"END",""),"")</f>
        <v/>
      </c>
    </row>
    <row r="278" spans="2:8" x14ac:dyDescent="0.45">
      <c r="B278" s="9">
        <f t="shared" si="8"/>
        <v>273</v>
      </c>
      <c r="C278" s="9" t="e">
        <f>IF(D277=VLOOKUP(C277,Lookup!$P$5:$R$6,3,0),VLOOKUP(C277,Lookup!$P$5:$Q$6,2,0),C277)</f>
        <v>#N/A</v>
      </c>
      <c r="D278" s="22" t="e">
        <f>IF(D277=VLOOKUP(C277,Lookup!$P$5:$R$6,3,0),1,D277+1)</f>
        <v>#N/A</v>
      </c>
      <c r="E278" s="9" t="e">
        <f>IF(C278=Lookup!$P$5,INDEX('view-code'!$P$3:$P$502,'group-code'!D278),"")</f>
        <v>#N/A</v>
      </c>
      <c r="F278" s="9" t="e">
        <f>IF(C278=Lookup!$P$6,INDEX('card-code'!$P$3:$P$502,'group-code'!D278),"")</f>
        <v>#N/A</v>
      </c>
      <c r="G278" s="9" t="str">
        <f t="shared" si="9"/>
        <v/>
      </c>
      <c r="H278" s="9" t="str">
        <f>_xlfn.IFNA(IF(C278=Lookup!$Q$6,"END",""),"")</f>
        <v/>
      </c>
    </row>
    <row r="279" spans="2:8" x14ac:dyDescent="0.45">
      <c r="B279" s="9">
        <f t="shared" si="8"/>
        <v>274</v>
      </c>
      <c r="C279" s="9" t="e">
        <f>IF(D278=VLOOKUP(C278,Lookup!$P$5:$R$6,3,0),VLOOKUP(C278,Lookup!$P$5:$Q$6,2,0),C278)</f>
        <v>#N/A</v>
      </c>
      <c r="D279" s="22" t="e">
        <f>IF(D278=VLOOKUP(C278,Lookup!$P$5:$R$6,3,0),1,D278+1)</f>
        <v>#N/A</v>
      </c>
      <c r="E279" s="9" t="e">
        <f>IF(C279=Lookup!$P$5,INDEX('view-code'!$P$3:$P$502,'group-code'!D279),"")</f>
        <v>#N/A</v>
      </c>
      <c r="F279" s="9" t="e">
        <f>IF(C279=Lookup!$P$6,INDEX('card-code'!$P$3:$P$502,'group-code'!D279),"")</f>
        <v>#N/A</v>
      </c>
      <c r="G279" s="9" t="str">
        <f t="shared" si="9"/>
        <v/>
      </c>
      <c r="H279" s="9" t="str">
        <f>_xlfn.IFNA(IF(C279=Lookup!$Q$6,"END",""),"")</f>
        <v/>
      </c>
    </row>
    <row r="280" spans="2:8" x14ac:dyDescent="0.45">
      <c r="B280" s="9">
        <f t="shared" si="8"/>
        <v>275</v>
      </c>
      <c r="C280" s="9" t="e">
        <f>IF(D279=VLOOKUP(C279,Lookup!$P$5:$R$6,3,0),VLOOKUP(C279,Lookup!$P$5:$Q$6,2,0),C279)</f>
        <v>#N/A</v>
      </c>
      <c r="D280" s="22" t="e">
        <f>IF(D279=VLOOKUP(C279,Lookup!$P$5:$R$6,3,0),1,D279+1)</f>
        <v>#N/A</v>
      </c>
      <c r="E280" s="9" t="e">
        <f>IF(C280=Lookup!$P$5,INDEX('view-code'!$P$3:$P$502,'group-code'!D280),"")</f>
        <v>#N/A</v>
      </c>
      <c r="F280" s="9" t="e">
        <f>IF(C280=Lookup!$P$6,INDEX('card-code'!$P$3:$P$502,'group-code'!D280),"")</f>
        <v>#N/A</v>
      </c>
      <c r="G280" s="9" t="str">
        <f t="shared" si="9"/>
        <v/>
      </c>
      <c r="H280" s="9" t="str">
        <f>_xlfn.IFNA(IF(C280=Lookup!$Q$6,"END",""),"")</f>
        <v/>
      </c>
    </row>
    <row r="281" spans="2:8" x14ac:dyDescent="0.45">
      <c r="B281" s="9">
        <f t="shared" si="8"/>
        <v>276</v>
      </c>
      <c r="C281" s="9" t="e">
        <f>IF(D280=VLOOKUP(C280,Lookup!$P$5:$R$6,3,0),VLOOKUP(C280,Lookup!$P$5:$Q$6,2,0),C280)</f>
        <v>#N/A</v>
      </c>
      <c r="D281" s="22" t="e">
        <f>IF(D280=VLOOKUP(C280,Lookup!$P$5:$R$6,3,0),1,D280+1)</f>
        <v>#N/A</v>
      </c>
      <c r="E281" s="9" t="e">
        <f>IF(C281=Lookup!$P$5,INDEX('view-code'!$P$3:$P$502,'group-code'!D281),"")</f>
        <v>#N/A</v>
      </c>
      <c r="F281" s="9" t="e">
        <f>IF(C281=Lookup!$P$6,INDEX('card-code'!$P$3:$P$502,'group-code'!D281),"")</f>
        <v>#N/A</v>
      </c>
      <c r="G281" s="9" t="str">
        <f t="shared" si="9"/>
        <v/>
      </c>
      <c r="H281" s="9" t="str">
        <f>_xlfn.IFNA(IF(C281=Lookup!$Q$6,"END",""),"")</f>
        <v/>
      </c>
    </row>
    <row r="282" spans="2:8" x14ac:dyDescent="0.45">
      <c r="B282" s="9">
        <f t="shared" si="8"/>
        <v>277</v>
      </c>
      <c r="C282" s="9" t="e">
        <f>IF(D281=VLOOKUP(C281,Lookup!$P$5:$R$6,3,0),VLOOKUP(C281,Lookup!$P$5:$Q$6,2,0),C281)</f>
        <v>#N/A</v>
      </c>
      <c r="D282" s="22" t="e">
        <f>IF(D281=VLOOKUP(C281,Lookup!$P$5:$R$6,3,0),1,D281+1)</f>
        <v>#N/A</v>
      </c>
      <c r="E282" s="9" t="e">
        <f>IF(C282=Lookup!$P$5,INDEX('view-code'!$P$3:$P$502,'group-code'!D282),"")</f>
        <v>#N/A</v>
      </c>
      <c r="F282" s="9" t="e">
        <f>IF(C282=Lookup!$P$6,INDEX('card-code'!$P$3:$P$502,'group-code'!D282),"")</f>
        <v>#N/A</v>
      </c>
      <c r="G282" s="9" t="str">
        <f t="shared" si="9"/>
        <v/>
      </c>
      <c r="H282" s="9" t="str">
        <f>_xlfn.IFNA(IF(C282=Lookup!$Q$6,"END",""),"")</f>
        <v/>
      </c>
    </row>
    <row r="283" spans="2:8" x14ac:dyDescent="0.45">
      <c r="B283" s="9">
        <f t="shared" si="8"/>
        <v>278</v>
      </c>
      <c r="C283" s="9" t="e">
        <f>IF(D282=VLOOKUP(C282,Lookup!$P$5:$R$6,3,0),VLOOKUP(C282,Lookup!$P$5:$Q$6,2,0),C282)</f>
        <v>#N/A</v>
      </c>
      <c r="D283" s="22" t="e">
        <f>IF(D282=VLOOKUP(C282,Lookup!$P$5:$R$6,3,0),1,D282+1)</f>
        <v>#N/A</v>
      </c>
      <c r="E283" s="9" t="e">
        <f>IF(C283=Lookup!$P$5,INDEX('view-code'!$P$3:$P$502,'group-code'!D283),"")</f>
        <v>#N/A</v>
      </c>
      <c r="F283" s="9" t="e">
        <f>IF(C283=Lookup!$P$6,INDEX('card-code'!$P$3:$P$502,'group-code'!D283),"")</f>
        <v>#N/A</v>
      </c>
      <c r="G283" s="9" t="str">
        <f t="shared" si="9"/>
        <v/>
      </c>
      <c r="H283" s="9" t="str">
        <f>_xlfn.IFNA(IF(C283=Lookup!$Q$6,"END",""),"")</f>
        <v/>
      </c>
    </row>
    <row r="284" spans="2:8" x14ac:dyDescent="0.45">
      <c r="B284" s="9">
        <f t="shared" si="8"/>
        <v>279</v>
      </c>
      <c r="C284" s="9" t="e">
        <f>IF(D283=VLOOKUP(C283,Lookup!$P$5:$R$6,3,0),VLOOKUP(C283,Lookup!$P$5:$Q$6,2,0),C283)</f>
        <v>#N/A</v>
      </c>
      <c r="D284" s="22" t="e">
        <f>IF(D283=VLOOKUP(C283,Lookup!$P$5:$R$6,3,0),1,D283+1)</f>
        <v>#N/A</v>
      </c>
      <c r="E284" s="9" t="e">
        <f>IF(C284=Lookup!$P$5,INDEX('view-code'!$P$3:$P$502,'group-code'!D284),"")</f>
        <v>#N/A</v>
      </c>
      <c r="F284" s="9" t="e">
        <f>IF(C284=Lookup!$P$6,INDEX('card-code'!$P$3:$P$502,'group-code'!D284),"")</f>
        <v>#N/A</v>
      </c>
      <c r="G284" s="9" t="str">
        <f t="shared" si="9"/>
        <v/>
      </c>
      <c r="H284" s="9" t="str">
        <f>_xlfn.IFNA(IF(C284=Lookup!$Q$6,"END",""),"")</f>
        <v/>
      </c>
    </row>
    <row r="285" spans="2:8" x14ac:dyDescent="0.45">
      <c r="B285" s="9">
        <f t="shared" si="8"/>
        <v>280</v>
      </c>
      <c r="C285" s="9" t="e">
        <f>IF(D284=VLOOKUP(C284,Lookup!$P$5:$R$6,3,0),VLOOKUP(C284,Lookup!$P$5:$Q$6,2,0),C284)</f>
        <v>#N/A</v>
      </c>
      <c r="D285" s="22" t="e">
        <f>IF(D284=VLOOKUP(C284,Lookup!$P$5:$R$6,3,0),1,D284+1)</f>
        <v>#N/A</v>
      </c>
      <c r="E285" s="9" t="e">
        <f>IF(C285=Lookup!$P$5,INDEX('view-code'!$P$3:$P$502,'group-code'!D285),"")</f>
        <v>#N/A</v>
      </c>
      <c r="F285" s="9" t="e">
        <f>IF(C285=Lookup!$P$6,INDEX('card-code'!$P$3:$P$502,'group-code'!D285),"")</f>
        <v>#N/A</v>
      </c>
      <c r="G285" s="9" t="str">
        <f t="shared" si="9"/>
        <v/>
      </c>
      <c r="H285" s="9" t="str">
        <f>_xlfn.IFNA(IF(C285=Lookup!$Q$6,"END",""),"")</f>
        <v/>
      </c>
    </row>
    <row r="286" spans="2:8" x14ac:dyDescent="0.45">
      <c r="B286" s="9">
        <f t="shared" si="8"/>
        <v>281</v>
      </c>
      <c r="C286" s="9" t="e">
        <f>IF(D285=VLOOKUP(C285,Lookup!$P$5:$R$6,3,0),VLOOKUP(C285,Lookup!$P$5:$Q$6,2,0),C285)</f>
        <v>#N/A</v>
      </c>
      <c r="D286" s="22" t="e">
        <f>IF(D285=VLOOKUP(C285,Lookup!$P$5:$R$6,3,0),1,D285+1)</f>
        <v>#N/A</v>
      </c>
      <c r="E286" s="9" t="e">
        <f>IF(C286=Lookup!$P$5,INDEX('view-code'!$P$3:$P$502,'group-code'!D286),"")</f>
        <v>#N/A</v>
      </c>
      <c r="F286" s="9" t="e">
        <f>IF(C286=Lookup!$P$6,INDEX('card-code'!$P$3:$P$502,'group-code'!D286),"")</f>
        <v>#N/A</v>
      </c>
      <c r="G286" s="9" t="str">
        <f t="shared" si="9"/>
        <v/>
      </c>
      <c r="H286" s="9" t="str">
        <f>_xlfn.IFNA(IF(C286=Lookup!$Q$6,"END",""),"")</f>
        <v/>
      </c>
    </row>
    <row r="287" spans="2:8" x14ac:dyDescent="0.45">
      <c r="B287" s="9">
        <f t="shared" si="8"/>
        <v>282</v>
      </c>
      <c r="C287" s="9" t="e">
        <f>IF(D286=VLOOKUP(C286,Lookup!$P$5:$R$6,3,0),VLOOKUP(C286,Lookup!$P$5:$Q$6,2,0),C286)</f>
        <v>#N/A</v>
      </c>
      <c r="D287" s="22" t="e">
        <f>IF(D286=VLOOKUP(C286,Lookup!$P$5:$R$6,3,0),1,D286+1)</f>
        <v>#N/A</v>
      </c>
      <c r="E287" s="9" t="e">
        <f>IF(C287=Lookup!$P$5,INDEX('view-code'!$P$3:$P$502,'group-code'!D287),"")</f>
        <v>#N/A</v>
      </c>
      <c r="F287" s="9" t="e">
        <f>IF(C287=Lookup!$P$6,INDEX('card-code'!$P$3:$P$502,'group-code'!D287),"")</f>
        <v>#N/A</v>
      </c>
      <c r="G287" s="9" t="str">
        <f t="shared" si="9"/>
        <v/>
      </c>
      <c r="H287" s="9" t="str">
        <f>_xlfn.IFNA(IF(C287=Lookup!$Q$6,"END",""),"")</f>
        <v/>
      </c>
    </row>
    <row r="288" spans="2:8" x14ac:dyDescent="0.45">
      <c r="B288" s="9">
        <f t="shared" si="8"/>
        <v>283</v>
      </c>
      <c r="C288" s="9" t="e">
        <f>IF(D287=VLOOKUP(C287,Lookup!$P$5:$R$6,3,0),VLOOKUP(C287,Lookup!$P$5:$Q$6,2,0),C287)</f>
        <v>#N/A</v>
      </c>
      <c r="D288" s="22" t="e">
        <f>IF(D287=VLOOKUP(C287,Lookup!$P$5:$R$6,3,0),1,D287+1)</f>
        <v>#N/A</v>
      </c>
      <c r="E288" s="9" t="e">
        <f>IF(C288=Lookup!$P$5,INDEX('view-code'!$P$3:$P$502,'group-code'!D288),"")</f>
        <v>#N/A</v>
      </c>
      <c r="F288" s="9" t="e">
        <f>IF(C288=Lookup!$P$6,INDEX('card-code'!$P$3:$P$502,'group-code'!D288),"")</f>
        <v>#N/A</v>
      </c>
      <c r="G288" s="9" t="str">
        <f t="shared" si="9"/>
        <v/>
      </c>
      <c r="H288" s="9" t="str">
        <f>_xlfn.IFNA(IF(C288=Lookup!$Q$6,"END",""),"")</f>
        <v/>
      </c>
    </row>
    <row r="289" spans="2:8" x14ac:dyDescent="0.45">
      <c r="B289" s="9">
        <f t="shared" si="8"/>
        <v>284</v>
      </c>
      <c r="C289" s="9" t="e">
        <f>IF(D288=VLOOKUP(C288,Lookup!$P$5:$R$6,3,0),VLOOKUP(C288,Lookup!$P$5:$Q$6,2,0),C288)</f>
        <v>#N/A</v>
      </c>
      <c r="D289" s="22" t="e">
        <f>IF(D288=VLOOKUP(C288,Lookup!$P$5:$R$6,3,0),1,D288+1)</f>
        <v>#N/A</v>
      </c>
      <c r="E289" s="9" t="e">
        <f>IF(C289=Lookup!$P$5,INDEX('view-code'!$P$3:$P$502,'group-code'!D289),"")</f>
        <v>#N/A</v>
      </c>
      <c r="F289" s="9" t="e">
        <f>IF(C289=Lookup!$P$6,INDEX('card-code'!$P$3:$P$502,'group-code'!D289),"")</f>
        <v>#N/A</v>
      </c>
      <c r="G289" s="9" t="str">
        <f t="shared" si="9"/>
        <v/>
      </c>
      <c r="H289" s="9" t="str">
        <f>_xlfn.IFNA(IF(C289=Lookup!$Q$6,"END",""),"")</f>
        <v/>
      </c>
    </row>
    <row r="290" spans="2:8" x14ac:dyDescent="0.45">
      <c r="B290" s="9">
        <f t="shared" si="8"/>
        <v>285</v>
      </c>
      <c r="C290" s="9" t="e">
        <f>IF(D289=VLOOKUP(C289,Lookup!$P$5:$R$6,3,0),VLOOKUP(C289,Lookup!$P$5:$Q$6,2,0),C289)</f>
        <v>#N/A</v>
      </c>
      <c r="D290" s="22" t="e">
        <f>IF(D289=VLOOKUP(C289,Lookup!$P$5:$R$6,3,0),1,D289+1)</f>
        <v>#N/A</v>
      </c>
      <c r="E290" s="9" t="e">
        <f>IF(C290=Lookup!$P$5,INDEX('view-code'!$P$3:$P$502,'group-code'!D290),"")</f>
        <v>#N/A</v>
      </c>
      <c r="F290" s="9" t="e">
        <f>IF(C290=Lookup!$P$6,INDEX('card-code'!$P$3:$P$502,'group-code'!D290),"")</f>
        <v>#N/A</v>
      </c>
      <c r="G290" s="9" t="str">
        <f t="shared" si="9"/>
        <v/>
      </c>
      <c r="H290" s="9" t="str">
        <f>_xlfn.IFNA(IF(C290=Lookup!$Q$6,"END",""),"")</f>
        <v/>
      </c>
    </row>
    <row r="291" spans="2:8" x14ac:dyDescent="0.45">
      <c r="B291" s="9">
        <f t="shared" si="8"/>
        <v>286</v>
      </c>
      <c r="C291" s="9" t="e">
        <f>IF(D290=VLOOKUP(C290,Lookup!$P$5:$R$6,3,0),VLOOKUP(C290,Lookup!$P$5:$Q$6,2,0),C290)</f>
        <v>#N/A</v>
      </c>
      <c r="D291" s="22" t="e">
        <f>IF(D290=VLOOKUP(C290,Lookup!$P$5:$R$6,3,0),1,D290+1)</f>
        <v>#N/A</v>
      </c>
      <c r="E291" s="9" t="e">
        <f>IF(C291=Lookup!$P$5,INDEX('view-code'!$P$3:$P$502,'group-code'!D291),"")</f>
        <v>#N/A</v>
      </c>
      <c r="F291" s="9" t="e">
        <f>IF(C291=Lookup!$P$6,INDEX('card-code'!$P$3:$P$502,'group-code'!D291),"")</f>
        <v>#N/A</v>
      </c>
      <c r="G291" s="9" t="str">
        <f t="shared" si="9"/>
        <v/>
      </c>
      <c r="H291" s="9" t="str">
        <f>_xlfn.IFNA(IF(C291=Lookup!$Q$6,"END",""),"")</f>
        <v/>
      </c>
    </row>
    <row r="292" spans="2:8" x14ac:dyDescent="0.45">
      <c r="B292" s="9">
        <f t="shared" si="8"/>
        <v>287</v>
      </c>
      <c r="C292" s="9" t="e">
        <f>IF(D291=VLOOKUP(C291,Lookup!$P$5:$R$6,3,0),VLOOKUP(C291,Lookup!$P$5:$Q$6,2,0),C291)</f>
        <v>#N/A</v>
      </c>
      <c r="D292" s="22" t="e">
        <f>IF(D291=VLOOKUP(C291,Lookup!$P$5:$R$6,3,0),1,D291+1)</f>
        <v>#N/A</v>
      </c>
      <c r="E292" s="9" t="e">
        <f>IF(C292=Lookup!$P$5,INDEX('view-code'!$P$3:$P$502,'group-code'!D292),"")</f>
        <v>#N/A</v>
      </c>
      <c r="F292" s="9" t="e">
        <f>IF(C292=Lookup!$P$6,INDEX('card-code'!$P$3:$P$502,'group-code'!D292),"")</f>
        <v>#N/A</v>
      </c>
      <c r="G292" s="9" t="str">
        <f t="shared" si="9"/>
        <v/>
      </c>
      <c r="H292" s="9" t="str">
        <f>_xlfn.IFNA(IF(C292=Lookup!$Q$6,"END",""),"")</f>
        <v/>
      </c>
    </row>
    <row r="293" spans="2:8" x14ac:dyDescent="0.45">
      <c r="B293" s="9">
        <f t="shared" si="8"/>
        <v>288</v>
      </c>
      <c r="C293" s="9" t="e">
        <f>IF(D292=VLOOKUP(C292,Lookup!$P$5:$R$6,3,0),VLOOKUP(C292,Lookup!$P$5:$Q$6,2,0),C292)</f>
        <v>#N/A</v>
      </c>
      <c r="D293" s="22" t="e">
        <f>IF(D292=VLOOKUP(C292,Lookup!$P$5:$R$6,3,0),1,D292+1)</f>
        <v>#N/A</v>
      </c>
      <c r="E293" s="9" t="e">
        <f>IF(C293=Lookup!$P$5,INDEX('view-code'!$P$3:$P$502,'group-code'!D293),"")</f>
        <v>#N/A</v>
      </c>
      <c r="F293" s="9" t="e">
        <f>IF(C293=Lookup!$P$6,INDEX('card-code'!$P$3:$P$502,'group-code'!D293),"")</f>
        <v>#N/A</v>
      </c>
      <c r="G293" s="9" t="str">
        <f t="shared" si="9"/>
        <v/>
      </c>
      <c r="H293" s="9" t="str">
        <f>_xlfn.IFNA(IF(C293=Lookup!$Q$6,"END",""),"")</f>
        <v/>
      </c>
    </row>
    <row r="294" spans="2:8" x14ac:dyDescent="0.45">
      <c r="B294" s="9">
        <f t="shared" si="8"/>
        <v>289</v>
      </c>
      <c r="C294" s="9" t="e">
        <f>IF(D293=VLOOKUP(C293,Lookup!$P$5:$R$6,3,0),VLOOKUP(C293,Lookup!$P$5:$Q$6,2,0),C293)</f>
        <v>#N/A</v>
      </c>
      <c r="D294" s="22" t="e">
        <f>IF(D293=VLOOKUP(C293,Lookup!$P$5:$R$6,3,0),1,D293+1)</f>
        <v>#N/A</v>
      </c>
      <c r="E294" s="9" t="e">
        <f>IF(C294=Lookup!$P$5,INDEX('view-code'!$P$3:$P$502,'group-code'!D294),"")</f>
        <v>#N/A</v>
      </c>
      <c r="F294" s="9" t="e">
        <f>IF(C294=Lookup!$P$6,INDEX('card-code'!$P$3:$P$502,'group-code'!D294),"")</f>
        <v>#N/A</v>
      </c>
      <c r="G294" s="9" t="str">
        <f t="shared" si="9"/>
        <v/>
      </c>
      <c r="H294" s="9" t="str">
        <f>_xlfn.IFNA(IF(C294=Lookup!$Q$6,"END",""),"")</f>
        <v/>
      </c>
    </row>
    <row r="295" spans="2:8" x14ac:dyDescent="0.45">
      <c r="B295" s="9">
        <f t="shared" si="8"/>
        <v>290</v>
      </c>
      <c r="C295" s="9" t="e">
        <f>IF(D294=VLOOKUP(C294,Lookup!$P$5:$R$6,3,0),VLOOKUP(C294,Lookup!$P$5:$Q$6,2,0),C294)</f>
        <v>#N/A</v>
      </c>
      <c r="D295" s="22" t="e">
        <f>IF(D294=VLOOKUP(C294,Lookup!$P$5:$R$6,3,0),1,D294+1)</f>
        <v>#N/A</v>
      </c>
      <c r="E295" s="9" t="e">
        <f>IF(C295=Lookup!$P$5,INDEX('view-code'!$P$3:$P$502,'group-code'!D295),"")</f>
        <v>#N/A</v>
      </c>
      <c r="F295" s="9" t="e">
        <f>IF(C295=Lookup!$P$6,INDEX('card-code'!$P$3:$P$502,'group-code'!D295),"")</f>
        <v>#N/A</v>
      </c>
      <c r="G295" s="9" t="str">
        <f t="shared" si="9"/>
        <v/>
      </c>
      <c r="H295" s="9" t="str">
        <f>_xlfn.IFNA(IF(C295=Lookup!$Q$6,"END",""),"")</f>
        <v/>
      </c>
    </row>
    <row r="296" spans="2:8" x14ac:dyDescent="0.45">
      <c r="B296" s="9">
        <f t="shared" si="8"/>
        <v>291</v>
      </c>
      <c r="C296" s="9" t="e">
        <f>IF(D295=VLOOKUP(C295,Lookup!$P$5:$R$6,3,0),VLOOKUP(C295,Lookup!$P$5:$Q$6,2,0),C295)</f>
        <v>#N/A</v>
      </c>
      <c r="D296" s="22" t="e">
        <f>IF(D295=VLOOKUP(C295,Lookup!$P$5:$R$6,3,0),1,D295+1)</f>
        <v>#N/A</v>
      </c>
      <c r="E296" s="9" t="e">
        <f>IF(C296=Lookup!$P$5,INDEX('view-code'!$P$3:$P$502,'group-code'!D296),"")</f>
        <v>#N/A</v>
      </c>
      <c r="F296" s="9" t="e">
        <f>IF(C296=Lookup!$P$6,INDEX('card-code'!$P$3:$P$502,'group-code'!D296),"")</f>
        <v>#N/A</v>
      </c>
      <c r="G296" s="9" t="str">
        <f t="shared" si="9"/>
        <v/>
      </c>
      <c r="H296" s="9" t="str">
        <f>_xlfn.IFNA(IF(C296=Lookup!$Q$6,"END",""),"")</f>
        <v/>
      </c>
    </row>
    <row r="297" spans="2:8" x14ac:dyDescent="0.45">
      <c r="B297" s="9">
        <f t="shared" si="8"/>
        <v>292</v>
      </c>
      <c r="C297" s="9" t="e">
        <f>IF(D296=VLOOKUP(C296,Lookup!$P$5:$R$6,3,0),VLOOKUP(C296,Lookup!$P$5:$Q$6,2,0),C296)</f>
        <v>#N/A</v>
      </c>
      <c r="D297" s="22" t="e">
        <f>IF(D296=VLOOKUP(C296,Lookup!$P$5:$R$6,3,0),1,D296+1)</f>
        <v>#N/A</v>
      </c>
      <c r="E297" s="9" t="e">
        <f>IF(C297=Lookup!$P$5,INDEX('view-code'!$P$3:$P$502,'group-code'!D297),"")</f>
        <v>#N/A</v>
      </c>
      <c r="F297" s="9" t="e">
        <f>IF(C297=Lookup!$P$6,INDEX('card-code'!$P$3:$P$502,'group-code'!D297),"")</f>
        <v>#N/A</v>
      </c>
      <c r="G297" s="9" t="str">
        <f t="shared" si="9"/>
        <v/>
      </c>
      <c r="H297" s="9" t="str">
        <f>_xlfn.IFNA(IF(C297=Lookup!$Q$6,"END",""),"")</f>
        <v/>
      </c>
    </row>
    <row r="298" spans="2:8" x14ac:dyDescent="0.45">
      <c r="B298" s="9">
        <f t="shared" si="8"/>
        <v>293</v>
      </c>
      <c r="C298" s="9" t="e">
        <f>IF(D297=VLOOKUP(C297,Lookup!$P$5:$R$6,3,0),VLOOKUP(C297,Lookup!$P$5:$Q$6,2,0),C297)</f>
        <v>#N/A</v>
      </c>
      <c r="D298" s="22" t="e">
        <f>IF(D297=VLOOKUP(C297,Lookup!$P$5:$R$6,3,0),1,D297+1)</f>
        <v>#N/A</v>
      </c>
      <c r="E298" s="9" t="e">
        <f>IF(C298=Lookup!$P$5,INDEX('view-code'!$P$3:$P$502,'group-code'!D298),"")</f>
        <v>#N/A</v>
      </c>
      <c r="F298" s="9" t="e">
        <f>IF(C298=Lookup!$P$6,INDEX('card-code'!$P$3:$P$502,'group-code'!D298),"")</f>
        <v>#N/A</v>
      </c>
      <c r="G298" s="9" t="str">
        <f t="shared" si="9"/>
        <v/>
      </c>
      <c r="H298" s="9" t="str">
        <f>_xlfn.IFNA(IF(C298=Lookup!$Q$6,"END",""),"")</f>
        <v/>
      </c>
    </row>
    <row r="299" spans="2:8" x14ac:dyDescent="0.45">
      <c r="B299" s="9">
        <f t="shared" si="8"/>
        <v>294</v>
      </c>
      <c r="C299" s="9" t="e">
        <f>IF(D298=VLOOKUP(C298,Lookup!$P$5:$R$6,3,0),VLOOKUP(C298,Lookup!$P$5:$Q$6,2,0),C298)</f>
        <v>#N/A</v>
      </c>
      <c r="D299" s="22" t="e">
        <f>IF(D298=VLOOKUP(C298,Lookup!$P$5:$R$6,3,0),1,D298+1)</f>
        <v>#N/A</v>
      </c>
      <c r="E299" s="9" t="e">
        <f>IF(C299=Lookup!$P$5,INDEX('view-code'!$P$3:$P$502,'group-code'!D299),"")</f>
        <v>#N/A</v>
      </c>
      <c r="F299" s="9" t="e">
        <f>IF(C299=Lookup!$P$6,INDEX('card-code'!$P$3:$P$502,'group-code'!D299),"")</f>
        <v>#N/A</v>
      </c>
      <c r="G299" s="9" t="str">
        <f t="shared" si="9"/>
        <v/>
      </c>
      <c r="H299" s="9" t="str">
        <f>_xlfn.IFNA(IF(C299=Lookup!$Q$6,"END",""),"")</f>
        <v/>
      </c>
    </row>
    <row r="300" spans="2:8" x14ac:dyDescent="0.45">
      <c r="B300" s="9">
        <f t="shared" si="8"/>
        <v>295</v>
      </c>
      <c r="C300" s="9" t="e">
        <f>IF(D299=VLOOKUP(C299,Lookup!$P$5:$R$6,3,0),VLOOKUP(C299,Lookup!$P$5:$Q$6,2,0),C299)</f>
        <v>#N/A</v>
      </c>
      <c r="D300" s="22" t="e">
        <f>IF(D299=VLOOKUP(C299,Lookup!$P$5:$R$6,3,0),1,D299+1)</f>
        <v>#N/A</v>
      </c>
      <c r="E300" s="9" t="e">
        <f>IF(C300=Lookup!$P$5,INDEX('view-code'!$P$3:$P$502,'group-code'!D300),"")</f>
        <v>#N/A</v>
      </c>
      <c r="F300" s="9" t="e">
        <f>IF(C300=Lookup!$P$6,INDEX('card-code'!$P$3:$P$502,'group-code'!D300),"")</f>
        <v>#N/A</v>
      </c>
      <c r="G300" s="9" t="str">
        <f t="shared" si="9"/>
        <v/>
      </c>
      <c r="H300" s="9" t="str">
        <f>_xlfn.IFNA(IF(C300=Lookup!$Q$6,"END",""),"")</f>
        <v/>
      </c>
    </row>
    <row r="301" spans="2:8" x14ac:dyDescent="0.45">
      <c r="B301" s="9">
        <f t="shared" si="8"/>
        <v>296</v>
      </c>
      <c r="C301" s="9" t="e">
        <f>IF(D300=VLOOKUP(C300,Lookup!$P$5:$R$6,3,0),VLOOKUP(C300,Lookup!$P$5:$Q$6,2,0),C300)</f>
        <v>#N/A</v>
      </c>
      <c r="D301" s="22" t="e">
        <f>IF(D300=VLOOKUP(C300,Lookup!$P$5:$R$6,3,0),1,D300+1)</f>
        <v>#N/A</v>
      </c>
      <c r="E301" s="9" t="e">
        <f>IF(C301=Lookup!$P$5,INDEX('view-code'!$P$3:$P$502,'group-code'!D301),"")</f>
        <v>#N/A</v>
      </c>
      <c r="F301" s="9" t="e">
        <f>IF(C301=Lookup!$P$6,INDEX('card-code'!$P$3:$P$502,'group-code'!D301),"")</f>
        <v>#N/A</v>
      </c>
      <c r="G301" s="9" t="str">
        <f t="shared" si="9"/>
        <v/>
      </c>
      <c r="H301" s="9" t="str">
        <f>_xlfn.IFNA(IF(C301=Lookup!$Q$6,"END",""),"")</f>
        <v/>
      </c>
    </row>
    <row r="302" spans="2:8" x14ac:dyDescent="0.45">
      <c r="B302" s="9">
        <f t="shared" si="8"/>
        <v>297</v>
      </c>
      <c r="C302" s="9" t="e">
        <f>IF(D301=VLOOKUP(C301,Lookup!$P$5:$R$6,3,0),VLOOKUP(C301,Lookup!$P$5:$Q$6,2,0),C301)</f>
        <v>#N/A</v>
      </c>
      <c r="D302" s="22" t="e">
        <f>IF(D301=VLOOKUP(C301,Lookup!$P$5:$R$6,3,0),1,D301+1)</f>
        <v>#N/A</v>
      </c>
      <c r="E302" s="9" t="e">
        <f>IF(C302=Lookup!$P$5,INDEX('view-code'!$P$3:$P$502,'group-code'!D302),"")</f>
        <v>#N/A</v>
      </c>
      <c r="F302" s="9" t="e">
        <f>IF(C302=Lookup!$P$6,INDEX('card-code'!$P$3:$P$502,'group-code'!D302),"")</f>
        <v>#N/A</v>
      </c>
      <c r="G302" s="9" t="str">
        <f t="shared" si="9"/>
        <v/>
      </c>
      <c r="H302" s="9" t="str">
        <f>_xlfn.IFNA(IF(C302=Lookup!$Q$6,"END",""),"")</f>
        <v/>
      </c>
    </row>
    <row r="303" spans="2:8" x14ac:dyDescent="0.45">
      <c r="B303" s="9">
        <f t="shared" si="8"/>
        <v>298</v>
      </c>
      <c r="C303" s="9" t="e">
        <f>IF(D302=VLOOKUP(C302,Lookup!$P$5:$R$6,3,0),VLOOKUP(C302,Lookup!$P$5:$Q$6,2,0),C302)</f>
        <v>#N/A</v>
      </c>
      <c r="D303" s="22" t="e">
        <f>IF(D302=VLOOKUP(C302,Lookup!$P$5:$R$6,3,0),1,D302+1)</f>
        <v>#N/A</v>
      </c>
      <c r="E303" s="9" t="e">
        <f>IF(C303=Lookup!$P$5,INDEX('view-code'!$P$3:$P$502,'group-code'!D303),"")</f>
        <v>#N/A</v>
      </c>
      <c r="F303" s="9" t="e">
        <f>IF(C303=Lookup!$P$6,INDEX('card-code'!$P$3:$P$502,'group-code'!D303),"")</f>
        <v>#N/A</v>
      </c>
      <c r="G303" s="9" t="str">
        <f t="shared" si="9"/>
        <v/>
      </c>
      <c r="H303" s="9" t="str">
        <f>_xlfn.IFNA(IF(C303=Lookup!$Q$6,"END",""),"")</f>
        <v/>
      </c>
    </row>
    <row r="304" spans="2:8" x14ac:dyDescent="0.45">
      <c r="B304" s="9">
        <f t="shared" si="8"/>
        <v>299</v>
      </c>
      <c r="C304" s="9" t="e">
        <f>IF(D303=VLOOKUP(C303,Lookup!$P$5:$R$6,3,0),VLOOKUP(C303,Lookup!$P$5:$Q$6,2,0),C303)</f>
        <v>#N/A</v>
      </c>
      <c r="D304" s="22" t="e">
        <f>IF(D303=VLOOKUP(C303,Lookup!$P$5:$R$6,3,0),1,D303+1)</f>
        <v>#N/A</v>
      </c>
      <c r="E304" s="9" t="e">
        <f>IF(C304=Lookup!$P$5,INDEX('view-code'!$P$3:$P$502,'group-code'!D304),"")</f>
        <v>#N/A</v>
      </c>
      <c r="F304" s="9" t="e">
        <f>IF(C304=Lookup!$P$6,INDEX('card-code'!$P$3:$P$502,'group-code'!D304),"")</f>
        <v>#N/A</v>
      </c>
      <c r="G304" s="9" t="str">
        <f t="shared" si="9"/>
        <v/>
      </c>
      <c r="H304" s="9" t="str">
        <f>_xlfn.IFNA(IF(C304=Lookup!$Q$6,"END",""),"")</f>
        <v/>
      </c>
    </row>
    <row r="305" spans="2:8" x14ac:dyDescent="0.45">
      <c r="B305" s="9">
        <f t="shared" si="8"/>
        <v>300</v>
      </c>
      <c r="C305" s="9" t="e">
        <f>IF(D304=VLOOKUP(C304,Lookup!$P$5:$R$6,3,0),VLOOKUP(C304,Lookup!$P$5:$Q$6,2,0),C304)</f>
        <v>#N/A</v>
      </c>
      <c r="D305" s="22" t="e">
        <f>IF(D304=VLOOKUP(C304,Lookup!$P$5:$R$6,3,0),1,D304+1)</f>
        <v>#N/A</v>
      </c>
      <c r="E305" s="9" t="e">
        <f>IF(C305=Lookup!$P$5,INDEX('view-code'!$P$3:$P$502,'group-code'!D305),"")</f>
        <v>#N/A</v>
      </c>
      <c r="F305" s="9" t="e">
        <f>IF(C305=Lookup!$P$6,INDEX('card-code'!$P$3:$P$502,'group-code'!D305),"")</f>
        <v>#N/A</v>
      </c>
      <c r="G305" s="9" t="str">
        <f t="shared" si="9"/>
        <v/>
      </c>
      <c r="H305" s="9" t="str">
        <f>_xlfn.IFNA(IF(C305=Lookup!$Q$6,"END",""),"")</f>
        <v/>
      </c>
    </row>
    <row r="306" spans="2:8" x14ac:dyDescent="0.45">
      <c r="B306" s="9">
        <f t="shared" si="8"/>
        <v>301</v>
      </c>
      <c r="C306" s="9" t="e">
        <f>IF(D305=VLOOKUP(C305,Lookup!$P$5:$R$6,3,0),VLOOKUP(C305,Lookup!$P$5:$Q$6,2,0),C305)</f>
        <v>#N/A</v>
      </c>
      <c r="D306" s="22" t="e">
        <f>IF(D305=VLOOKUP(C305,Lookup!$P$5:$R$6,3,0),1,D305+1)</f>
        <v>#N/A</v>
      </c>
      <c r="E306" s="9" t="e">
        <f>IF(C306=Lookup!$P$5,INDEX('view-code'!$P$3:$P$502,'group-code'!D306),"")</f>
        <v>#N/A</v>
      </c>
      <c r="F306" s="9" t="e">
        <f>IF(C306=Lookup!$P$6,INDEX('card-code'!$P$3:$P$502,'group-code'!D306),"")</f>
        <v>#N/A</v>
      </c>
      <c r="G306" s="9" t="str">
        <f t="shared" si="9"/>
        <v/>
      </c>
      <c r="H306" s="9" t="str">
        <f>_xlfn.IFNA(IF(C306=Lookup!$Q$6,"END",""),"")</f>
        <v/>
      </c>
    </row>
    <row r="307" spans="2:8" x14ac:dyDescent="0.45">
      <c r="B307" s="9">
        <f t="shared" si="8"/>
        <v>302</v>
      </c>
      <c r="C307" s="9" t="e">
        <f>IF(D306=VLOOKUP(C306,Lookup!$P$5:$R$6,3,0),VLOOKUP(C306,Lookup!$P$5:$Q$6,2,0),C306)</f>
        <v>#N/A</v>
      </c>
      <c r="D307" s="22" t="e">
        <f>IF(D306=VLOOKUP(C306,Lookup!$P$5:$R$6,3,0),1,D306+1)</f>
        <v>#N/A</v>
      </c>
      <c r="E307" s="9" t="e">
        <f>IF(C307=Lookup!$P$5,INDEX('view-code'!$P$3:$P$502,'group-code'!D307),"")</f>
        <v>#N/A</v>
      </c>
      <c r="F307" s="9" t="e">
        <f>IF(C307=Lookup!$P$6,INDEX('card-code'!$P$3:$P$502,'group-code'!D307),"")</f>
        <v>#N/A</v>
      </c>
      <c r="G307" s="9" t="str">
        <f t="shared" si="9"/>
        <v/>
      </c>
      <c r="H307" s="9" t="str">
        <f>_xlfn.IFNA(IF(C307=Lookup!$Q$6,"END",""),"")</f>
        <v/>
      </c>
    </row>
    <row r="308" spans="2:8" x14ac:dyDescent="0.45">
      <c r="B308" s="9">
        <f t="shared" si="8"/>
        <v>303</v>
      </c>
      <c r="C308" s="9" t="e">
        <f>IF(D307=VLOOKUP(C307,Lookup!$P$5:$R$6,3,0),VLOOKUP(C307,Lookup!$P$5:$Q$6,2,0),C307)</f>
        <v>#N/A</v>
      </c>
      <c r="D308" s="22" t="e">
        <f>IF(D307=VLOOKUP(C307,Lookup!$P$5:$R$6,3,0),1,D307+1)</f>
        <v>#N/A</v>
      </c>
      <c r="E308" s="9" t="e">
        <f>IF(C308=Lookup!$P$5,INDEX('view-code'!$P$3:$P$502,'group-code'!D308),"")</f>
        <v>#N/A</v>
      </c>
      <c r="F308" s="9" t="e">
        <f>IF(C308=Lookup!$P$6,INDEX('card-code'!$P$3:$P$502,'group-code'!D308),"")</f>
        <v>#N/A</v>
      </c>
      <c r="G308" s="9" t="str">
        <f t="shared" si="9"/>
        <v/>
      </c>
      <c r="H308" s="9" t="str">
        <f>_xlfn.IFNA(IF(C308=Lookup!$Q$6,"END",""),"")</f>
        <v/>
      </c>
    </row>
    <row r="309" spans="2:8" x14ac:dyDescent="0.45">
      <c r="B309" s="9">
        <f t="shared" si="8"/>
        <v>304</v>
      </c>
      <c r="C309" s="9" t="e">
        <f>IF(D308=VLOOKUP(C308,Lookup!$P$5:$R$6,3,0),VLOOKUP(C308,Lookup!$P$5:$Q$6,2,0),C308)</f>
        <v>#N/A</v>
      </c>
      <c r="D309" s="22" t="e">
        <f>IF(D308=VLOOKUP(C308,Lookup!$P$5:$R$6,3,0),1,D308+1)</f>
        <v>#N/A</v>
      </c>
      <c r="E309" s="9" t="e">
        <f>IF(C309=Lookup!$P$5,INDEX('view-code'!$P$3:$P$502,'group-code'!D309),"")</f>
        <v>#N/A</v>
      </c>
      <c r="F309" s="9" t="e">
        <f>IF(C309=Lookup!$P$6,INDEX('card-code'!$P$3:$P$502,'group-code'!D309),"")</f>
        <v>#N/A</v>
      </c>
      <c r="G309" s="9" t="str">
        <f t="shared" si="9"/>
        <v/>
      </c>
      <c r="H309" s="9" t="str">
        <f>_xlfn.IFNA(IF(C309=Lookup!$Q$6,"END",""),"")</f>
        <v/>
      </c>
    </row>
    <row r="310" spans="2:8" x14ac:dyDescent="0.45">
      <c r="B310" s="9">
        <f t="shared" si="8"/>
        <v>305</v>
      </c>
      <c r="C310" s="9" t="e">
        <f>IF(D309=VLOOKUP(C309,Lookup!$P$5:$R$6,3,0),VLOOKUP(C309,Lookup!$P$5:$Q$6,2,0),C309)</f>
        <v>#N/A</v>
      </c>
      <c r="D310" s="22" t="e">
        <f>IF(D309=VLOOKUP(C309,Lookup!$P$5:$R$6,3,0),1,D309+1)</f>
        <v>#N/A</v>
      </c>
      <c r="E310" s="9" t="e">
        <f>IF(C310=Lookup!$P$5,INDEX('view-code'!$P$3:$P$502,'group-code'!D310),"")</f>
        <v>#N/A</v>
      </c>
      <c r="F310" s="9" t="e">
        <f>IF(C310=Lookup!$P$6,INDEX('card-code'!$P$3:$P$502,'group-code'!D310),"")</f>
        <v>#N/A</v>
      </c>
      <c r="G310" s="9" t="str">
        <f t="shared" si="9"/>
        <v/>
      </c>
      <c r="H310" s="9" t="str">
        <f>_xlfn.IFNA(IF(C310=Lookup!$Q$6,"END",""),"")</f>
        <v/>
      </c>
    </row>
    <row r="311" spans="2:8" x14ac:dyDescent="0.45">
      <c r="B311" s="9">
        <f t="shared" si="8"/>
        <v>306</v>
      </c>
      <c r="C311" s="9" t="e">
        <f>IF(D310=VLOOKUP(C310,Lookup!$P$5:$R$6,3,0),VLOOKUP(C310,Lookup!$P$5:$Q$6,2,0),C310)</f>
        <v>#N/A</v>
      </c>
      <c r="D311" s="22" t="e">
        <f>IF(D310=VLOOKUP(C310,Lookup!$P$5:$R$6,3,0),1,D310+1)</f>
        <v>#N/A</v>
      </c>
      <c r="E311" s="9" t="e">
        <f>IF(C311=Lookup!$P$5,INDEX('view-code'!$P$3:$P$502,'group-code'!D311),"")</f>
        <v>#N/A</v>
      </c>
      <c r="F311" s="9" t="e">
        <f>IF(C311=Lookup!$P$6,INDEX('card-code'!$P$3:$P$502,'group-code'!D311),"")</f>
        <v>#N/A</v>
      </c>
      <c r="G311" s="9" t="str">
        <f t="shared" si="9"/>
        <v/>
      </c>
      <c r="H311" s="9" t="str">
        <f>_xlfn.IFNA(IF(C311=Lookup!$Q$6,"END",""),"")</f>
        <v/>
      </c>
    </row>
    <row r="312" spans="2:8" x14ac:dyDescent="0.45">
      <c r="B312" s="9">
        <f t="shared" si="8"/>
        <v>307</v>
      </c>
      <c r="C312" s="9" t="e">
        <f>IF(D311=VLOOKUP(C311,Lookup!$P$5:$R$6,3,0),VLOOKUP(C311,Lookup!$P$5:$Q$6,2,0),C311)</f>
        <v>#N/A</v>
      </c>
      <c r="D312" s="22" t="e">
        <f>IF(D311=VLOOKUP(C311,Lookup!$P$5:$R$6,3,0),1,D311+1)</f>
        <v>#N/A</v>
      </c>
      <c r="E312" s="9" t="e">
        <f>IF(C312=Lookup!$P$5,INDEX('view-code'!$P$3:$P$502,'group-code'!D312),"")</f>
        <v>#N/A</v>
      </c>
      <c r="F312" s="9" t="e">
        <f>IF(C312=Lookup!$P$6,INDEX('card-code'!$P$3:$P$502,'group-code'!D312),"")</f>
        <v>#N/A</v>
      </c>
      <c r="G312" s="9" t="str">
        <f t="shared" si="9"/>
        <v/>
      </c>
      <c r="H312" s="9" t="str">
        <f>_xlfn.IFNA(IF(C312=Lookup!$Q$6,"END",""),"")</f>
        <v/>
      </c>
    </row>
    <row r="313" spans="2:8" x14ac:dyDescent="0.45">
      <c r="B313" s="9">
        <f t="shared" si="8"/>
        <v>308</v>
      </c>
      <c r="C313" s="9" t="e">
        <f>IF(D312=VLOOKUP(C312,Lookup!$P$5:$R$6,3,0),VLOOKUP(C312,Lookup!$P$5:$Q$6,2,0),C312)</f>
        <v>#N/A</v>
      </c>
      <c r="D313" s="22" t="e">
        <f>IF(D312=VLOOKUP(C312,Lookup!$P$5:$R$6,3,0),1,D312+1)</f>
        <v>#N/A</v>
      </c>
      <c r="E313" s="9" t="e">
        <f>IF(C313=Lookup!$P$5,INDEX('view-code'!$P$3:$P$502,'group-code'!D313),"")</f>
        <v>#N/A</v>
      </c>
      <c r="F313" s="9" t="e">
        <f>IF(C313=Lookup!$P$6,INDEX('card-code'!$P$3:$P$502,'group-code'!D313),"")</f>
        <v>#N/A</v>
      </c>
      <c r="G313" s="9" t="str">
        <f t="shared" si="9"/>
        <v/>
      </c>
      <c r="H313" s="9" t="str">
        <f>_xlfn.IFNA(IF(C313=Lookup!$Q$6,"END",""),"")</f>
        <v/>
      </c>
    </row>
    <row r="314" spans="2:8" x14ac:dyDescent="0.45">
      <c r="B314" s="9">
        <f t="shared" si="8"/>
        <v>309</v>
      </c>
      <c r="C314" s="9" t="e">
        <f>IF(D313=VLOOKUP(C313,Lookup!$P$5:$R$6,3,0),VLOOKUP(C313,Lookup!$P$5:$Q$6,2,0),C313)</f>
        <v>#N/A</v>
      </c>
      <c r="D314" s="22" t="e">
        <f>IF(D313=VLOOKUP(C313,Lookup!$P$5:$R$6,3,0),1,D313+1)</f>
        <v>#N/A</v>
      </c>
      <c r="E314" s="9" t="e">
        <f>IF(C314=Lookup!$P$5,INDEX('view-code'!$P$3:$P$502,'group-code'!D314),"")</f>
        <v>#N/A</v>
      </c>
      <c r="F314" s="9" t="e">
        <f>IF(C314=Lookup!$P$6,INDEX('card-code'!$P$3:$P$502,'group-code'!D314),"")</f>
        <v>#N/A</v>
      </c>
      <c r="G314" s="9" t="str">
        <f t="shared" si="9"/>
        <v/>
      </c>
      <c r="H314" s="9" t="str">
        <f>_xlfn.IFNA(IF(C314=Lookup!$Q$6,"END",""),"")</f>
        <v/>
      </c>
    </row>
    <row r="315" spans="2:8" x14ac:dyDescent="0.45">
      <c r="B315" s="9">
        <f t="shared" si="8"/>
        <v>310</v>
      </c>
      <c r="C315" s="9" t="e">
        <f>IF(D314=VLOOKUP(C314,Lookup!$P$5:$R$6,3,0),VLOOKUP(C314,Lookup!$P$5:$Q$6,2,0),C314)</f>
        <v>#N/A</v>
      </c>
      <c r="D315" s="22" t="e">
        <f>IF(D314=VLOOKUP(C314,Lookup!$P$5:$R$6,3,0),1,D314+1)</f>
        <v>#N/A</v>
      </c>
      <c r="E315" s="9" t="e">
        <f>IF(C315=Lookup!$P$5,INDEX('view-code'!$P$3:$P$502,'group-code'!D315),"")</f>
        <v>#N/A</v>
      </c>
      <c r="F315" s="9" t="e">
        <f>IF(C315=Lookup!$P$6,INDEX('card-code'!$P$3:$P$502,'group-code'!D315),"")</f>
        <v>#N/A</v>
      </c>
      <c r="G315" s="9" t="str">
        <f t="shared" si="9"/>
        <v/>
      </c>
      <c r="H315" s="9" t="str">
        <f>_xlfn.IFNA(IF(C315=Lookup!$Q$6,"END",""),"")</f>
        <v/>
      </c>
    </row>
    <row r="316" spans="2:8" x14ac:dyDescent="0.45">
      <c r="B316" s="9">
        <f t="shared" si="8"/>
        <v>311</v>
      </c>
      <c r="C316" s="9" t="e">
        <f>IF(D315=VLOOKUP(C315,Lookup!$P$5:$R$6,3,0),VLOOKUP(C315,Lookup!$P$5:$Q$6,2,0),C315)</f>
        <v>#N/A</v>
      </c>
      <c r="D316" s="22" t="e">
        <f>IF(D315=VLOOKUP(C315,Lookup!$P$5:$R$6,3,0),1,D315+1)</f>
        <v>#N/A</v>
      </c>
      <c r="E316" s="9" t="e">
        <f>IF(C316=Lookup!$P$5,INDEX('view-code'!$P$3:$P$502,'group-code'!D316),"")</f>
        <v>#N/A</v>
      </c>
      <c r="F316" s="9" t="e">
        <f>IF(C316=Lookup!$P$6,INDEX('card-code'!$P$3:$P$502,'group-code'!D316),"")</f>
        <v>#N/A</v>
      </c>
      <c r="G316" s="9" t="str">
        <f t="shared" si="9"/>
        <v/>
      </c>
      <c r="H316" s="9" t="str">
        <f>_xlfn.IFNA(IF(C316=Lookup!$Q$6,"END",""),"")</f>
        <v/>
      </c>
    </row>
    <row r="317" spans="2:8" x14ac:dyDescent="0.45">
      <c r="B317" s="9">
        <f t="shared" si="8"/>
        <v>312</v>
      </c>
      <c r="C317" s="9" t="e">
        <f>IF(D316=VLOOKUP(C316,Lookup!$P$5:$R$6,3,0),VLOOKUP(C316,Lookup!$P$5:$Q$6,2,0),C316)</f>
        <v>#N/A</v>
      </c>
      <c r="D317" s="22" t="e">
        <f>IF(D316=VLOOKUP(C316,Lookup!$P$5:$R$6,3,0),1,D316+1)</f>
        <v>#N/A</v>
      </c>
      <c r="E317" s="9" t="e">
        <f>IF(C317=Lookup!$P$5,INDEX('view-code'!$P$3:$P$502,'group-code'!D317),"")</f>
        <v>#N/A</v>
      </c>
      <c r="F317" s="9" t="e">
        <f>IF(C317=Lookup!$P$6,INDEX('card-code'!$P$3:$P$502,'group-code'!D317),"")</f>
        <v>#N/A</v>
      </c>
      <c r="G317" s="9" t="str">
        <f t="shared" si="9"/>
        <v/>
      </c>
      <c r="H317" s="9" t="str">
        <f>_xlfn.IFNA(IF(C317=Lookup!$Q$6,"END",""),"")</f>
        <v/>
      </c>
    </row>
    <row r="318" spans="2:8" x14ac:dyDescent="0.45">
      <c r="B318" s="9">
        <f t="shared" si="8"/>
        <v>313</v>
      </c>
      <c r="C318" s="9" t="e">
        <f>IF(D317=VLOOKUP(C317,Lookup!$P$5:$R$6,3,0),VLOOKUP(C317,Lookup!$P$5:$Q$6,2,0),C317)</f>
        <v>#N/A</v>
      </c>
      <c r="D318" s="22" t="e">
        <f>IF(D317=VLOOKUP(C317,Lookup!$P$5:$R$6,3,0),1,D317+1)</f>
        <v>#N/A</v>
      </c>
      <c r="E318" s="9" t="e">
        <f>IF(C318=Lookup!$P$5,INDEX('view-code'!$P$3:$P$502,'group-code'!D318),"")</f>
        <v>#N/A</v>
      </c>
      <c r="F318" s="9" t="e">
        <f>IF(C318=Lookup!$P$6,INDEX('card-code'!$P$3:$P$502,'group-code'!D318),"")</f>
        <v>#N/A</v>
      </c>
      <c r="G318" s="9" t="str">
        <f t="shared" si="9"/>
        <v/>
      </c>
      <c r="H318" s="9" t="str">
        <f>_xlfn.IFNA(IF(C318=Lookup!$Q$6,"END",""),"")</f>
        <v/>
      </c>
    </row>
    <row r="319" spans="2:8" x14ac:dyDescent="0.45">
      <c r="B319" s="9">
        <f t="shared" si="8"/>
        <v>314</v>
      </c>
      <c r="C319" s="9" t="e">
        <f>IF(D318=VLOOKUP(C318,Lookup!$P$5:$R$6,3,0),VLOOKUP(C318,Lookup!$P$5:$Q$6,2,0),C318)</f>
        <v>#N/A</v>
      </c>
      <c r="D319" s="22" t="e">
        <f>IF(D318=VLOOKUP(C318,Lookup!$P$5:$R$6,3,0),1,D318+1)</f>
        <v>#N/A</v>
      </c>
      <c r="E319" s="9" t="e">
        <f>IF(C319=Lookup!$P$5,INDEX('view-code'!$P$3:$P$502,'group-code'!D319),"")</f>
        <v>#N/A</v>
      </c>
      <c r="F319" s="9" t="e">
        <f>IF(C319=Lookup!$P$6,INDEX('card-code'!$P$3:$P$502,'group-code'!D319),"")</f>
        <v>#N/A</v>
      </c>
      <c r="G319" s="9" t="str">
        <f t="shared" si="9"/>
        <v/>
      </c>
      <c r="H319" s="9" t="str">
        <f>_xlfn.IFNA(IF(C319=Lookup!$Q$6,"END",""),"")</f>
        <v/>
      </c>
    </row>
    <row r="320" spans="2:8" x14ac:dyDescent="0.45">
      <c r="B320" s="9">
        <f t="shared" si="8"/>
        <v>315</v>
      </c>
      <c r="C320" s="9" t="e">
        <f>IF(D319=VLOOKUP(C319,Lookup!$P$5:$R$6,3,0),VLOOKUP(C319,Lookup!$P$5:$Q$6,2,0),C319)</f>
        <v>#N/A</v>
      </c>
      <c r="D320" s="22" t="e">
        <f>IF(D319=VLOOKUP(C319,Lookup!$P$5:$R$6,3,0),1,D319+1)</f>
        <v>#N/A</v>
      </c>
      <c r="E320" s="9" t="e">
        <f>IF(C320=Lookup!$P$5,INDEX('view-code'!$P$3:$P$502,'group-code'!D320),"")</f>
        <v>#N/A</v>
      </c>
      <c r="F320" s="9" t="e">
        <f>IF(C320=Lookup!$P$6,INDEX('card-code'!$P$3:$P$502,'group-code'!D320),"")</f>
        <v>#N/A</v>
      </c>
      <c r="G320" s="9" t="str">
        <f t="shared" si="9"/>
        <v/>
      </c>
      <c r="H320" s="9" t="str">
        <f>_xlfn.IFNA(IF(C320=Lookup!$Q$6,"END",""),"")</f>
        <v/>
      </c>
    </row>
    <row r="321" spans="2:8" x14ac:dyDescent="0.45">
      <c r="B321" s="9">
        <f t="shared" si="8"/>
        <v>316</v>
      </c>
      <c r="C321" s="9" t="e">
        <f>IF(D320=VLOOKUP(C320,Lookup!$P$5:$R$6,3,0),VLOOKUP(C320,Lookup!$P$5:$Q$6,2,0),C320)</f>
        <v>#N/A</v>
      </c>
      <c r="D321" s="22" t="e">
        <f>IF(D320=VLOOKUP(C320,Lookup!$P$5:$R$6,3,0),1,D320+1)</f>
        <v>#N/A</v>
      </c>
      <c r="E321" s="9" t="e">
        <f>IF(C321=Lookup!$P$5,INDEX('view-code'!$P$3:$P$502,'group-code'!D321),"")</f>
        <v>#N/A</v>
      </c>
      <c r="F321" s="9" t="e">
        <f>IF(C321=Lookup!$P$6,INDEX('card-code'!$P$3:$P$502,'group-code'!D321),"")</f>
        <v>#N/A</v>
      </c>
      <c r="G321" s="9" t="str">
        <f t="shared" si="9"/>
        <v/>
      </c>
      <c r="H321" s="9" t="str">
        <f>_xlfn.IFNA(IF(C321=Lookup!$Q$6,"END",""),"")</f>
        <v/>
      </c>
    </row>
    <row r="322" spans="2:8" x14ac:dyDescent="0.45">
      <c r="B322" s="9">
        <f t="shared" si="8"/>
        <v>317</v>
      </c>
      <c r="C322" s="9" t="e">
        <f>IF(D321=VLOOKUP(C321,Lookup!$P$5:$R$6,3,0),VLOOKUP(C321,Lookup!$P$5:$Q$6,2,0),C321)</f>
        <v>#N/A</v>
      </c>
      <c r="D322" s="22" t="e">
        <f>IF(D321=VLOOKUP(C321,Lookup!$P$5:$R$6,3,0),1,D321+1)</f>
        <v>#N/A</v>
      </c>
      <c r="E322" s="9" t="e">
        <f>IF(C322=Lookup!$P$5,INDEX('view-code'!$P$3:$P$502,'group-code'!D322),"")</f>
        <v>#N/A</v>
      </c>
      <c r="F322" s="9" t="e">
        <f>IF(C322=Lookup!$P$6,INDEX('card-code'!$P$3:$P$502,'group-code'!D322),"")</f>
        <v>#N/A</v>
      </c>
      <c r="G322" s="9" t="str">
        <f t="shared" si="9"/>
        <v/>
      </c>
      <c r="H322" s="9" t="str">
        <f>_xlfn.IFNA(IF(C322=Lookup!$Q$6,"END",""),"")</f>
        <v/>
      </c>
    </row>
    <row r="323" spans="2:8" x14ac:dyDescent="0.45">
      <c r="B323" s="9">
        <f t="shared" si="8"/>
        <v>318</v>
      </c>
      <c r="C323" s="9" t="e">
        <f>IF(D322=VLOOKUP(C322,Lookup!$P$5:$R$6,3,0),VLOOKUP(C322,Lookup!$P$5:$Q$6,2,0),C322)</f>
        <v>#N/A</v>
      </c>
      <c r="D323" s="22" t="e">
        <f>IF(D322=VLOOKUP(C322,Lookup!$P$5:$R$6,3,0),1,D322+1)</f>
        <v>#N/A</v>
      </c>
      <c r="E323" s="9" t="e">
        <f>IF(C323=Lookup!$P$5,INDEX('view-code'!$P$3:$P$502,'group-code'!D323),"")</f>
        <v>#N/A</v>
      </c>
      <c r="F323" s="9" t="e">
        <f>IF(C323=Lookup!$P$6,INDEX('card-code'!$P$3:$P$502,'group-code'!D323),"")</f>
        <v>#N/A</v>
      </c>
      <c r="G323" s="9" t="str">
        <f t="shared" si="9"/>
        <v/>
      </c>
      <c r="H323" s="9" t="str">
        <f>_xlfn.IFNA(IF(C323=Lookup!$Q$6,"END",""),"")</f>
        <v/>
      </c>
    </row>
    <row r="324" spans="2:8" x14ac:dyDescent="0.45">
      <c r="B324" s="9">
        <f t="shared" si="8"/>
        <v>319</v>
      </c>
      <c r="C324" s="9" t="e">
        <f>IF(D323=VLOOKUP(C323,Lookup!$P$5:$R$6,3,0),VLOOKUP(C323,Lookup!$P$5:$Q$6,2,0),C323)</f>
        <v>#N/A</v>
      </c>
      <c r="D324" s="22" t="e">
        <f>IF(D323=VLOOKUP(C323,Lookup!$P$5:$R$6,3,0),1,D323+1)</f>
        <v>#N/A</v>
      </c>
      <c r="E324" s="9" t="e">
        <f>IF(C324=Lookup!$P$5,INDEX('view-code'!$P$3:$P$502,'group-code'!D324),"")</f>
        <v>#N/A</v>
      </c>
      <c r="F324" s="9" t="e">
        <f>IF(C324=Lookup!$P$6,INDEX('card-code'!$P$3:$P$502,'group-code'!D324),"")</f>
        <v>#N/A</v>
      </c>
      <c r="G324" s="9" t="str">
        <f t="shared" si="9"/>
        <v/>
      </c>
      <c r="H324" s="9" t="str">
        <f>_xlfn.IFNA(IF(C324=Lookup!$Q$6,"END",""),"")</f>
        <v/>
      </c>
    </row>
    <row r="325" spans="2:8" x14ac:dyDescent="0.45">
      <c r="B325" s="9">
        <f t="shared" si="8"/>
        <v>320</v>
      </c>
      <c r="C325" s="9" t="e">
        <f>IF(D324=VLOOKUP(C324,Lookup!$P$5:$R$6,3,0),VLOOKUP(C324,Lookup!$P$5:$Q$6,2,0),C324)</f>
        <v>#N/A</v>
      </c>
      <c r="D325" s="22" t="e">
        <f>IF(D324=VLOOKUP(C324,Lookup!$P$5:$R$6,3,0),1,D324+1)</f>
        <v>#N/A</v>
      </c>
      <c r="E325" s="9" t="e">
        <f>IF(C325=Lookup!$P$5,INDEX('view-code'!$P$3:$P$502,'group-code'!D325),"")</f>
        <v>#N/A</v>
      </c>
      <c r="F325" s="9" t="e">
        <f>IF(C325=Lookup!$P$6,INDEX('card-code'!$P$3:$P$502,'group-code'!D325),"")</f>
        <v>#N/A</v>
      </c>
      <c r="G325" s="9" t="str">
        <f t="shared" si="9"/>
        <v/>
      </c>
      <c r="H325" s="9" t="str">
        <f>_xlfn.IFNA(IF(C325=Lookup!$Q$6,"END",""),"")</f>
        <v/>
      </c>
    </row>
    <row r="326" spans="2:8" x14ac:dyDescent="0.45">
      <c r="B326" s="9">
        <f t="shared" si="8"/>
        <v>321</v>
      </c>
      <c r="C326" s="9" t="e">
        <f>IF(D325=VLOOKUP(C325,Lookup!$P$5:$R$6,3,0),VLOOKUP(C325,Lookup!$P$5:$Q$6,2,0),C325)</f>
        <v>#N/A</v>
      </c>
      <c r="D326" s="22" t="e">
        <f>IF(D325=VLOOKUP(C325,Lookup!$P$5:$R$6,3,0),1,D325+1)</f>
        <v>#N/A</v>
      </c>
      <c r="E326" s="9" t="e">
        <f>IF(C326=Lookup!$P$5,INDEX('view-code'!$P$3:$P$502,'group-code'!D326),"")</f>
        <v>#N/A</v>
      </c>
      <c r="F326" s="9" t="e">
        <f>IF(C326=Lookup!$P$6,INDEX('card-code'!$P$3:$P$502,'group-code'!D326),"")</f>
        <v>#N/A</v>
      </c>
      <c r="G326" s="9" t="str">
        <f t="shared" si="9"/>
        <v/>
      </c>
      <c r="H326" s="9" t="str">
        <f>_xlfn.IFNA(IF(C326=Lookup!$Q$6,"END",""),"")</f>
        <v/>
      </c>
    </row>
    <row r="327" spans="2:8" x14ac:dyDescent="0.45">
      <c r="B327" s="9">
        <f t="shared" si="8"/>
        <v>322</v>
      </c>
      <c r="C327" s="9" t="e">
        <f>IF(D326=VLOOKUP(C326,Lookup!$P$5:$R$6,3,0),VLOOKUP(C326,Lookup!$P$5:$Q$6,2,0),C326)</f>
        <v>#N/A</v>
      </c>
      <c r="D327" s="22" t="e">
        <f>IF(D326=VLOOKUP(C326,Lookup!$P$5:$R$6,3,0),1,D326+1)</f>
        <v>#N/A</v>
      </c>
      <c r="E327" s="9" t="e">
        <f>IF(C327=Lookup!$P$5,INDEX('view-code'!$P$3:$P$502,'group-code'!D327),"")</f>
        <v>#N/A</v>
      </c>
      <c r="F327" s="9" t="e">
        <f>IF(C327=Lookup!$P$6,INDEX('card-code'!$P$3:$P$502,'group-code'!D327),"")</f>
        <v>#N/A</v>
      </c>
      <c r="G327" s="9" t="str">
        <f t="shared" si="9"/>
        <v/>
      </c>
      <c r="H327" s="9" t="str">
        <f>_xlfn.IFNA(IF(C327=Lookup!$Q$6,"END",""),"")</f>
        <v/>
      </c>
    </row>
    <row r="328" spans="2:8" x14ac:dyDescent="0.45">
      <c r="B328" s="9">
        <f t="shared" ref="B328:B391" si="10">B327+1</f>
        <v>323</v>
      </c>
      <c r="C328" s="9" t="e">
        <f>IF(D327=VLOOKUP(C327,Lookup!$P$5:$R$6,3,0),VLOOKUP(C327,Lookup!$P$5:$Q$6,2,0),C327)</f>
        <v>#N/A</v>
      </c>
      <c r="D328" s="22" t="e">
        <f>IF(D327=VLOOKUP(C327,Lookup!$P$5:$R$6,3,0),1,D327+1)</f>
        <v>#N/A</v>
      </c>
      <c r="E328" s="9" t="e">
        <f>IF(C328=Lookup!$P$5,INDEX('view-code'!$P$3:$P$502,'group-code'!D328),"")</f>
        <v>#N/A</v>
      </c>
      <c r="F328" s="9" t="e">
        <f>IF(C328=Lookup!$P$6,INDEX('card-code'!$P$3:$P$502,'group-code'!D328),"")</f>
        <v>#N/A</v>
      </c>
      <c r="G328" s="9" t="str">
        <f t="shared" ref="G328:G391" si="11">_xlfn.IFNA(  E328&amp;F328,  "")</f>
        <v/>
      </c>
      <c r="H328" s="9" t="str">
        <f>_xlfn.IFNA(IF(C328=Lookup!$Q$6,"END",""),"")</f>
        <v/>
      </c>
    </row>
    <row r="329" spans="2:8" x14ac:dyDescent="0.45">
      <c r="B329" s="9">
        <f t="shared" si="10"/>
        <v>324</v>
      </c>
      <c r="C329" s="9" t="e">
        <f>IF(D328=VLOOKUP(C328,Lookup!$P$5:$R$6,3,0),VLOOKUP(C328,Lookup!$P$5:$Q$6,2,0),C328)</f>
        <v>#N/A</v>
      </c>
      <c r="D329" s="22" t="e">
        <f>IF(D328=VLOOKUP(C328,Lookup!$P$5:$R$6,3,0),1,D328+1)</f>
        <v>#N/A</v>
      </c>
      <c r="E329" s="9" t="e">
        <f>IF(C329=Lookup!$P$5,INDEX('view-code'!$P$3:$P$502,'group-code'!D329),"")</f>
        <v>#N/A</v>
      </c>
      <c r="F329" s="9" t="e">
        <f>IF(C329=Lookup!$P$6,INDEX('card-code'!$P$3:$P$502,'group-code'!D329),"")</f>
        <v>#N/A</v>
      </c>
      <c r="G329" s="9" t="str">
        <f t="shared" si="11"/>
        <v/>
      </c>
      <c r="H329" s="9" t="str">
        <f>_xlfn.IFNA(IF(C329=Lookup!$Q$6,"END",""),"")</f>
        <v/>
      </c>
    </row>
    <row r="330" spans="2:8" x14ac:dyDescent="0.45">
      <c r="B330" s="9">
        <f t="shared" si="10"/>
        <v>325</v>
      </c>
      <c r="C330" s="9" t="e">
        <f>IF(D329=VLOOKUP(C329,Lookup!$P$5:$R$6,3,0),VLOOKUP(C329,Lookup!$P$5:$Q$6,2,0),C329)</f>
        <v>#N/A</v>
      </c>
      <c r="D330" s="22" t="e">
        <f>IF(D329=VLOOKUP(C329,Lookup!$P$5:$R$6,3,0),1,D329+1)</f>
        <v>#N/A</v>
      </c>
      <c r="E330" s="9" t="e">
        <f>IF(C330=Lookup!$P$5,INDEX('view-code'!$P$3:$P$502,'group-code'!D330),"")</f>
        <v>#N/A</v>
      </c>
      <c r="F330" s="9" t="e">
        <f>IF(C330=Lookup!$P$6,INDEX('card-code'!$P$3:$P$502,'group-code'!D330),"")</f>
        <v>#N/A</v>
      </c>
      <c r="G330" s="9" t="str">
        <f t="shared" si="11"/>
        <v/>
      </c>
      <c r="H330" s="9" t="str">
        <f>_xlfn.IFNA(IF(C330=Lookup!$Q$6,"END",""),"")</f>
        <v/>
      </c>
    </row>
    <row r="331" spans="2:8" x14ac:dyDescent="0.45">
      <c r="B331" s="9">
        <f t="shared" si="10"/>
        <v>326</v>
      </c>
      <c r="C331" s="9" t="e">
        <f>IF(D330=VLOOKUP(C330,Lookup!$P$5:$R$6,3,0),VLOOKUP(C330,Lookup!$P$5:$Q$6,2,0),C330)</f>
        <v>#N/A</v>
      </c>
      <c r="D331" s="22" t="e">
        <f>IF(D330=VLOOKUP(C330,Lookup!$P$5:$R$6,3,0),1,D330+1)</f>
        <v>#N/A</v>
      </c>
      <c r="E331" s="9" t="e">
        <f>IF(C331=Lookup!$P$5,INDEX('view-code'!$P$3:$P$502,'group-code'!D331),"")</f>
        <v>#N/A</v>
      </c>
      <c r="F331" s="9" t="e">
        <f>IF(C331=Lookup!$P$6,INDEX('card-code'!$P$3:$P$502,'group-code'!D331),"")</f>
        <v>#N/A</v>
      </c>
      <c r="G331" s="9" t="str">
        <f t="shared" si="11"/>
        <v/>
      </c>
      <c r="H331" s="9" t="str">
        <f>_xlfn.IFNA(IF(C331=Lookup!$Q$6,"END",""),"")</f>
        <v/>
      </c>
    </row>
    <row r="332" spans="2:8" x14ac:dyDescent="0.45">
      <c r="B332" s="9">
        <f t="shared" si="10"/>
        <v>327</v>
      </c>
      <c r="C332" s="9" t="e">
        <f>IF(D331=VLOOKUP(C331,Lookup!$P$5:$R$6,3,0),VLOOKUP(C331,Lookup!$P$5:$Q$6,2,0),C331)</f>
        <v>#N/A</v>
      </c>
      <c r="D332" s="22" t="e">
        <f>IF(D331=VLOOKUP(C331,Lookup!$P$5:$R$6,3,0),1,D331+1)</f>
        <v>#N/A</v>
      </c>
      <c r="E332" s="9" t="e">
        <f>IF(C332=Lookup!$P$5,INDEX('view-code'!$P$3:$P$502,'group-code'!D332),"")</f>
        <v>#N/A</v>
      </c>
      <c r="F332" s="9" t="e">
        <f>IF(C332=Lookup!$P$6,INDEX('card-code'!$P$3:$P$502,'group-code'!D332),"")</f>
        <v>#N/A</v>
      </c>
      <c r="G332" s="9" t="str">
        <f t="shared" si="11"/>
        <v/>
      </c>
      <c r="H332" s="9" t="str">
        <f>_xlfn.IFNA(IF(C332=Lookup!$Q$6,"END",""),"")</f>
        <v/>
      </c>
    </row>
    <row r="333" spans="2:8" x14ac:dyDescent="0.45">
      <c r="B333" s="9">
        <f t="shared" si="10"/>
        <v>328</v>
      </c>
      <c r="C333" s="9" t="e">
        <f>IF(D332=VLOOKUP(C332,Lookup!$P$5:$R$6,3,0),VLOOKUP(C332,Lookup!$P$5:$Q$6,2,0),C332)</f>
        <v>#N/A</v>
      </c>
      <c r="D333" s="22" t="e">
        <f>IF(D332=VLOOKUP(C332,Lookup!$P$5:$R$6,3,0),1,D332+1)</f>
        <v>#N/A</v>
      </c>
      <c r="E333" s="9" t="e">
        <f>IF(C333=Lookup!$P$5,INDEX('view-code'!$P$3:$P$502,'group-code'!D333),"")</f>
        <v>#N/A</v>
      </c>
      <c r="F333" s="9" t="e">
        <f>IF(C333=Lookup!$P$6,INDEX('card-code'!$P$3:$P$502,'group-code'!D333),"")</f>
        <v>#N/A</v>
      </c>
      <c r="G333" s="9" t="str">
        <f t="shared" si="11"/>
        <v/>
      </c>
      <c r="H333" s="9" t="str">
        <f>_xlfn.IFNA(IF(C333=Lookup!$Q$6,"END",""),"")</f>
        <v/>
      </c>
    </row>
    <row r="334" spans="2:8" x14ac:dyDescent="0.45">
      <c r="B334" s="9">
        <f t="shared" si="10"/>
        <v>329</v>
      </c>
      <c r="C334" s="9" t="e">
        <f>IF(D333=VLOOKUP(C333,Lookup!$P$5:$R$6,3,0),VLOOKUP(C333,Lookup!$P$5:$Q$6,2,0),C333)</f>
        <v>#N/A</v>
      </c>
      <c r="D334" s="22" t="e">
        <f>IF(D333=VLOOKUP(C333,Lookup!$P$5:$R$6,3,0),1,D333+1)</f>
        <v>#N/A</v>
      </c>
      <c r="E334" s="9" t="e">
        <f>IF(C334=Lookup!$P$5,INDEX('view-code'!$P$3:$P$502,'group-code'!D334),"")</f>
        <v>#N/A</v>
      </c>
      <c r="F334" s="9" t="e">
        <f>IF(C334=Lookup!$P$6,INDEX('card-code'!$P$3:$P$502,'group-code'!D334),"")</f>
        <v>#N/A</v>
      </c>
      <c r="G334" s="9" t="str">
        <f t="shared" si="11"/>
        <v/>
      </c>
      <c r="H334" s="9" t="str">
        <f>_xlfn.IFNA(IF(C334=Lookup!$Q$6,"END",""),"")</f>
        <v/>
      </c>
    </row>
    <row r="335" spans="2:8" x14ac:dyDescent="0.45">
      <c r="B335" s="9">
        <f t="shared" si="10"/>
        <v>330</v>
      </c>
      <c r="C335" s="9" t="e">
        <f>IF(D334=VLOOKUP(C334,Lookup!$P$5:$R$6,3,0),VLOOKUP(C334,Lookup!$P$5:$Q$6,2,0),C334)</f>
        <v>#N/A</v>
      </c>
      <c r="D335" s="22" t="e">
        <f>IF(D334=VLOOKUP(C334,Lookup!$P$5:$R$6,3,0),1,D334+1)</f>
        <v>#N/A</v>
      </c>
      <c r="E335" s="9" t="e">
        <f>IF(C335=Lookup!$P$5,INDEX('view-code'!$P$3:$P$502,'group-code'!D335),"")</f>
        <v>#N/A</v>
      </c>
      <c r="F335" s="9" t="e">
        <f>IF(C335=Lookup!$P$6,INDEX('card-code'!$P$3:$P$502,'group-code'!D335),"")</f>
        <v>#N/A</v>
      </c>
      <c r="G335" s="9" t="str">
        <f t="shared" si="11"/>
        <v/>
      </c>
      <c r="H335" s="9" t="str">
        <f>_xlfn.IFNA(IF(C335=Lookup!$Q$6,"END",""),"")</f>
        <v/>
      </c>
    </row>
    <row r="336" spans="2:8" x14ac:dyDescent="0.45">
      <c r="B336" s="9">
        <f t="shared" si="10"/>
        <v>331</v>
      </c>
      <c r="C336" s="9" t="e">
        <f>IF(D335=VLOOKUP(C335,Lookup!$P$5:$R$6,3,0),VLOOKUP(C335,Lookup!$P$5:$Q$6,2,0),C335)</f>
        <v>#N/A</v>
      </c>
      <c r="D336" s="22" t="e">
        <f>IF(D335=VLOOKUP(C335,Lookup!$P$5:$R$6,3,0),1,D335+1)</f>
        <v>#N/A</v>
      </c>
      <c r="E336" s="9" t="e">
        <f>IF(C336=Lookup!$P$5,INDEX('view-code'!$P$3:$P$502,'group-code'!D336),"")</f>
        <v>#N/A</v>
      </c>
      <c r="F336" s="9" t="e">
        <f>IF(C336=Lookup!$P$6,INDEX('card-code'!$P$3:$P$502,'group-code'!D336),"")</f>
        <v>#N/A</v>
      </c>
      <c r="G336" s="9" t="str">
        <f t="shared" si="11"/>
        <v/>
      </c>
      <c r="H336" s="9" t="str">
        <f>_xlfn.IFNA(IF(C336=Lookup!$Q$6,"END",""),"")</f>
        <v/>
      </c>
    </row>
    <row r="337" spans="2:8" x14ac:dyDescent="0.45">
      <c r="B337" s="9">
        <f t="shared" si="10"/>
        <v>332</v>
      </c>
      <c r="C337" s="9" t="e">
        <f>IF(D336=VLOOKUP(C336,Lookup!$P$5:$R$6,3,0),VLOOKUP(C336,Lookup!$P$5:$Q$6,2,0),C336)</f>
        <v>#N/A</v>
      </c>
      <c r="D337" s="22" t="e">
        <f>IF(D336=VLOOKUP(C336,Lookup!$P$5:$R$6,3,0),1,D336+1)</f>
        <v>#N/A</v>
      </c>
      <c r="E337" s="9" t="e">
        <f>IF(C337=Lookup!$P$5,INDEX('view-code'!$P$3:$P$502,'group-code'!D337),"")</f>
        <v>#N/A</v>
      </c>
      <c r="F337" s="9" t="e">
        <f>IF(C337=Lookup!$P$6,INDEX('card-code'!$P$3:$P$502,'group-code'!D337),"")</f>
        <v>#N/A</v>
      </c>
      <c r="G337" s="9" t="str">
        <f t="shared" si="11"/>
        <v/>
      </c>
      <c r="H337" s="9" t="str">
        <f>_xlfn.IFNA(IF(C337=Lookup!$Q$6,"END",""),"")</f>
        <v/>
      </c>
    </row>
    <row r="338" spans="2:8" x14ac:dyDescent="0.45">
      <c r="B338" s="9">
        <f t="shared" si="10"/>
        <v>333</v>
      </c>
      <c r="C338" s="9" t="e">
        <f>IF(D337=VLOOKUP(C337,Lookup!$P$5:$R$6,3,0),VLOOKUP(C337,Lookup!$P$5:$Q$6,2,0),C337)</f>
        <v>#N/A</v>
      </c>
      <c r="D338" s="22" t="e">
        <f>IF(D337=VLOOKUP(C337,Lookup!$P$5:$R$6,3,0),1,D337+1)</f>
        <v>#N/A</v>
      </c>
      <c r="E338" s="9" t="e">
        <f>IF(C338=Lookup!$P$5,INDEX('view-code'!$P$3:$P$502,'group-code'!D338),"")</f>
        <v>#N/A</v>
      </c>
      <c r="F338" s="9" t="e">
        <f>IF(C338=Lookup!$P$6,INDEX('card-code'!$P$3:$P$502,'group-code'!D338),"")</f>
        <v>#N/A</v>
      </c>
      <c r="G338" s="9" t="str">
        <f t="shared" si="11"/>
        <v/>
      </c>
      <c r="H338" s="9" t="str">
        <f>_xlfn.IFNA(IF(C338=Lookup!$Q$6,"END",""),"")</f>
        <v/>
      </c>
    </row>
    <row r="339" spans="2:8" x14ac:dyDescent="0.45">
      <c r="B339" s="9">
        <f t="shared" si="10"/>
        <v>334</v>
      </c>
      <c r="C339" s="9" t="e">
        <f>IF(D338=VLOOKUP(C338,Lookup!$P$5:$R$6,3,0),VLOOKUP(C338,Lookup!$P$5:$Q$6,2,0),C338)</f>
        <v>#N/A</v>
      </c>
      <c r="D339" s="22" t="e">
        <f>IF(D338=VLOOKUP(C338,Lookup!$P$5:$R$6,3,0),1,D338+1)</f>
        <v>#N/A</v>
      </c>
      <c r="E339" s="9" t="e">
        <f>IF(C339=Lookup!$P$5,INDEX('view-code'!$P$3:$P$502,'group-code'!D339),"")</f>
        <v>#N/A</v>
      </c>
      <c r="F339" s="9" t="e">
        <f>IF(C339=Lookup!$P$6,INDEX('card-code'!$P$3:$P$502,'group-code'!D339),"")</f>
        <v>#N/A</v>
      </c>
      <c r="G339" s="9" t="str">
        <f t="shared" si="11"/>
        <v/>
      </c>
      <c r="H339" s="9" t="str">
        <f>_xlfn.IFNA(IF(C339=Lookup!$Q$6,"END",""),"")</f>
        <v/>
      </c>
    </row>
    <row r="340" spans="2:8" x14ac:dyDescent="0.45">
      <c r="B340" s="9">
        <f t="shared" si="10"/>
        <v>335</v>
      </c>
      <c r="C340" s="9" t="e">
        <f>IF(D339=VLOOKUP(C339,Lookup!$P$5:$R$6,3,0),VLOOKUP(C339,Lookup!$P$5:$Q$6,2,0),C339)</f>
        <v>#N/A</v>
      </c>
      <c r="D340" s="22" t="e">
        <f>IF(D339=VLOOKUP(C339,Lookup!$P$5:$R$6,3,0),1,D339+1)</f>
        <v>#N/A</v>
      </c>
      <c r="E340" s="9" t="e">
        <f>IF(C340=Lookup!$P$5,INDEX('view-code'!$P$3:$P$502,'group-code'!D340),"")</f>
        <v>#N/A</v>
      </c>
      <c r="F340" s="9" t="e">
        <f>IF(C340=Lookup!$P$6,INDEX('card-code'!$P$3:$P$502,'group-code'!D340),"")</f>
        <v>#N/A</v>
      </c>
      <c r="G340" s="9" t="str">
        <f t="shared" si="11"/>
        <v/>
      </c>
      <c r="H340" s="9" t="str">
        <f>_xlfn.IFNA(IF(C340=Lookup!$Q$6,"END",""),"")</f>
        <v/>
      </c>
    </row>
    <row r="341" spans="2:8" x14ac:dyDescent="0.45">
      <c r="B341" s="9">
        <f t="shared" si="10"/>
        <v>336</v>
      </c>
      <c r="C341" s="9" t="e">
        <f>IF(D340=VLOOKUP(C340,Lookup!$P$5:$R$6,3,0),VLOOKUP(C340,Lookup!$P$5:$Q$6,2,0),C340)</f>
        <v>#N/A</v>
      </c>
      <c r="D341" s="22" t="e">
        <f>IF(D340=VLOOKUP(C340,Lookup!$P$5:$R$6,3,0),1,D340+1)</f>
        <v>#N/A</v>
      </c>
      <c r="E341" s="9" t="e">
        <f>IF(C341=Lookup!$P$5,INDEX('view-code'!$P$3:$P$502,'group-code'!D341),"")</f>
        <v>#N/A</v>
      </c>
      <c r="F341" s="9" t="e">
        <f>IF(C341=Lookup!$P$6,INDEX('card-code'!$P$3:$P$502,'group-code'!D341),"")</f>
        <v>#N/A</v>
      </c>
      <c r="G341" s="9" t="str">
        <f t="shared" si="11"/>
        <v/>
      </c>
      <c r="H341" s="9" t="str">
        <f>_xlfn.IFNA(IF(C341=Lookup!$Q$6,"END",""),"")</f>
        <v/>
      </c>
    </row>
    <row r="342" spans="2:8" x14ac:dyDescent="0.45">
      <c r="B342" s="9">
        <f t="shared" si="10"/>
        <v>337</v>
      </c>
      <c r="C342" s="9" t="e">
        <f>IF(D341=VLOOKUP(C341,Lookup!$P$5:$R$6,3,0),VLOOKUP(C341,Lookup!$P$5:$Q$6,2,0),C341)</f>
        <v>#N/A</v>
      </c>
      <c r="D342" s="22" t="e">
        <f>IF(D341=VLOOKUP(C341,Lookup!$P$5:$R$6,3,0),1,D341+1)</f>
        <v>#N/A</v>
      </c>
      <c r="E342" s="9" t="e">
        <f>IF(C342=Lookup!$P$5,INDEX('view-code'!$P$3:$P$502,'group-code'!D342),"")</f>
        <v>#N/A</v>
      </c>
      <c r="F342" s="9" t="e">
        <f>IF(C342=Lookup!$P$6,INDEX('card-code'!$P$3:$P$502,'group-code'!D342),"")</f>
        <v>#N/A</v>
      </c>
      <c r="G342" s="9" t="str">
        <f t="shared" si="11"/>
        <v/>
      </c>
      <c r="H342" s="9" t="str">
        <f>_xlfn.IFNA(IF(C342=Lookup!$Q$6,"END",""),"")</f>
        <v/>
      </c>
    </row>
    <row r="343" spans="2:8" x14ac:dyDescent="0.45">
      <c r="B343" s="9">
        <f t="shared" si="10"/>
        <v>338</v>
      </c>
      <c r="C343" s="9" t="e">
        <f>IF(D342=VLOOKUP(C342,Lookup!$P$5:$R$6,3,0),VLOOKUP(C342,Lookup!$P$5:$Q$6,2,0),C342)</f>
        <v>#N/A</v>
      </c>
      <c r="D343" s="22" t="e">
        <f>IF(D342=VLOOKUP(C342,Lookup!$P$5:$R$6,3,0),1,D342+1)</f>
        <v>#N/A</v>
      </c>
      <c r="E343" s="9" t="e">
        <f>IF(C343=Lookup!$P$5,INDEX('view-code'!$P$3:$P$502,'group-code'!D343),"")</f>
        <v>#N/A</v>
      </c>
      <c r="F343" s="9" t="e">
        <f>IF(C343=Lookup!$P$6,INDEX('card-code'!$P$3:$P$502,'group-code'!D343),"")</f>
        <v>#N/A</v>
      </c>
      <c r="G343" s="9" t="str">
        <f t="shared" si="11"/>
        <v/>
      </c>
      <c r="H343" s="9" t="str">
        <f>_xlfn.IFNA(IF(C343=Lookup!$Q$6,"END",""),"")</f>
        <v/>
      </c>
    </row>
    <row r="344" spans="2:8" x14ac:dyDescent="0.45">
      <c r="B344" s="9">
        <f t="shared" si="10"/>
        <v>339</v>
      </c>
      <c r="C344" s="9" t="e">
        <f>IF(D343=VLOOKUP(C343,Lookup!$P$5:$R$6,3,0),VLOOKUP(C343,Lookup!$P$5:$Q$6,2,0),C343)</f>
        <v>#N/A</v>
      </c>
      <c r="D344" s="22" t="e">
        <f>IF(D343=VLOOKUP(C343,Lookup!$P$5:$R$6,3,0),1,D343+1)</f>
        <v>#N/A</v>
      </c>
      <c r="E344" s="9" t="e">
        <f>IF(C344=Lookup!$P$5,INDEX('view-code'!$P$3:$P$502,'group-code'!D344),"")</f>
        <v>#N/A</v>
      </c>
      <c r="F344" s="9" t="e">
        <f>IF(C344=Lookup!$P$6,INDEX('card-code'!$P$3:$P$502,'group-code'!D344),"")</f>
        <v>#N/A</v>
      </c>
      <c r="G344" s="9" t="str">
        <f t="shared" si="11"/>
        <v/>
      </c>
      <c r="H344" s="9" t="str">
        <f>_xlfn.IFNA(IF(C344=Lookup!$Q$6,"END",""),"")</f>
        <v/>
      </c>
    </row>
    <row r="345" spans="2:8" x14ac:dyDescent="0.45">
      <c r="B345" s="9">
        <f t="shared" si="10"/>
        <v>340</v>
      </c>
      <c r="C345" s="9" t="e">
        <f>IF(D344=VLOOKUP(C344,Lookup!$P$5:$R$6,3,0),VLOOKUP(C344,Lookup!$P$5:$Q$6,2,0),C344)</f>
        <v>#N/A</v>
      </c>
      <c r="D345" s="22" t="e">
        <f>IF(D344=VLOOKUP(C344,Lookup!$P$5:$R$6,3,0),1,D344+1)</f>
        <v>#N/A</v>
      </c>
      <c r="E345" s="9" t="e">
        <f>IF(C345=Lookup!$P$5,INDEX('view-code'!$P$3:$P$502,'group-code'!D345),"")</f>
        <v>#N/A</v>
      </c>
      <c r="F345" s="9" t="e">
        <f>IF(C345=Lookup!$P$6,INDEX('card-code'!$P$3:$P$502,'group-code'!D345),"")</f>
        <v>#N/A</v>
      </c>
      <c r="G345" s="9" t="str">
        <f t="shared" si="11"/>
        <v/>
      </c>
      <c r="H345" s="9" t="str">
        <f>_xlfn.IFNA(IF(C345=Lookup!$Q$6,"END",""),"")</f>
        <v/>
      </c>
    </row>
    <row r="346" spans="2:8" x14ac:dyDescent="0.45">
      <c r="B346" s="9">
        <f t="shared" si="10"/>
        <v>341</v>
      </c>
      <c r="C346" s="9" t="e">
        <f>IF(D345=VLOOKUP(C345,Lookup!$P$5:$R$6,3,0),VLOOKUP(C345,Lookup!$P$5:$Q$6,2,0),C345)</f>
        <v>#N/A</v>
      </c>
      <c r="D346" s="22" t="e">
        <f>IF(D345=VLOOKUP(C345,Lookup!$P$5:$R$6,3,0),1,D345+1)</f>
        <v>#N/A</v>
      </c>
      <c r="E346" s="9" t="e">
        <f>IF(C346=Lookup!$P$5,INDEX('view-code'!$P$3:$P$502,'group-code'!D346),"")</f>
        <v>#N/A</v>
      </c>
      <c r="F346" s="9" t="e">
        <f>IF(C346=Lookup!$P$6,INDEX('card-code'!$P$3:$P$502,'group-code'!D346),"")</f>
        <v>#N/A</v>
      </c>
      <c r="G346" s="9" t="str">
        <f t="shared" si="11"/>
        <v/>
      </c>
      <c r="H346" s="9" t="str">
        <f>_xlfn.IFNA(IF(C346=Lookup!$Q$6,"END",""),"")</f>
        <v/>
      </c>
    </row>
    <row r="347" spans="2:8" x14ac:dyDescent="0.45">
      <c r="B347" s="9">
        <f t="shared" si="10"/>
        <v>342</v>
      </c>
      <c r="C347" s="9" t="e">
        <f>IF(D346=VLOOKUP(C346,Lookup!$P$5:$R$6,3,0),VLOOKUP(C346,Lookup!$P$5:$Q$6,2,0),C346)</f>
        <v>#N/A</v>
      </c>
      <c r="D347" s="22" t="e">
        <f>IF(D346=VLOOKUP(C346,Lookup!$P$5:$R$6,3,0),1,D346+1)</f>
        <v>#N/A</v>
      </c>
      <c r="E347" s="9" t="e">
        <f>IF(C347=Lookup!$P$5,INDEX('view-code'!$P$3:$P$502,'group-code'!D347),"")</f>
        <v>#N/A</v>
      </c>
      <c r="F347" s="9" t="e">
        <f>IF(C347=Lookup!$P$6,INDEX('card-code'!$P$3:$P$502,'group-code'!D347),"")</f>
        <v>#N/A</v>
      </c>
      <c r="G347" s="9" t="str">
        <f t="shared" si="11"/>
        <v/>
      </c>
      <c r="H347" s="9" t="str">
        <f>_xlfn.IFNA(IF(C347=Lookup!$Q$6,"END",""),"")</f>
        <v/>
      </c>
    </row>
    <row r="348" spans="2:8" x14ac:dyDescent="0.45">
      <c r="B348" s="9">
        <f t="shared" si="10"/>
        <v>343</v>
      </c>
      <c r="C348" s="9" t="e">
        <f>IF(D347=VLOOKUP(C347,Lookup!$P$5:$R$6,3,0),VLOOKUP(C347,Lookup!$P$5:$Q$6,2,0),C347)</f>
        <v>#N/A</v>
      </c>
      <c r="D348" s="22" t="e">
        <f>IF(D347=VLOOKUP(C347,Lookup!$P$5:$R$6,3,0),1,D347+1)</f>
        <v>#N/A</v>
      </c>
      <c r="E348" s="9" t="e">
        <f>IF(C348=Lookup!$P$5,INDEX('view-code'!$P$3:$P$502,'group-code'!D348),"")</f>
        <v>#N/A</v>
      </c>
      <c r="F348" s="9" t="e">
        <f>IF(C348=Lookup!$P$6,INDEX('card-code'!$P$3:$P$502,'group-code'!D348),"")</f>
        <v>#N/A</v>
      </c>
      <c r="G348" s="9" t="str">
        <f t="shared" si="11"/>
        <v/>
      </c>
      <c r="H348" s="9" t="str">
        <f>_xlfn.IFNA(IF(C348=Lookup!$Q$6,"END",""),"")</f>
        <v/>
      </c>
    </row>
    <row r="349" spans="2:8" x14ac:dyDescent="0.45">
      <c r="B349" s="9">
        <f t="shared" si="10"/>
        <v>344</v>
      </c>
      <c r="C349" s="9" t="e">
        <f>IF(D348=VLOOKUP(C348,Lookup!$P$5:$R$6,3,0),VLOOKUP(C348,Lookup!$P$5:$Q$6,2,0),C348)</f>
        <v>#N/A</v>
      </c>
      <c r="D349" s="22" t="e">
        <f>IF(D348=VLOOKUP(C348,Lookup!$P$5:$R$6,3,0),1,D348+1)</f>
        <v>#N/A</v>
      </c>
      <c r="E349" s="9" t="e">
        <f>IF(C349=Lookup!$P$5,INDEX('view-code'!$P$3:$P$502,'group-code'!D349),"")</f>
        <v>#N/A</v>
      </c>
      <c r="F349" s="9" t="e">
        <f>IF(C349=Lookup!$P$6,INDEX('card-code'!$P$3:$P$502,'group-code'!D349),"")</f>
        <v>#N/A</v>
      </c>
      <c r="G349" s="9" t="str">
        <f t="shared" si="11"/>
        <v/>
      </c>
      <c r="H349" s="9" t="str">
        <f>_xlfn.IFNA(IF(C349=Lookup!$Q$6,"END",""),"")</f>
        <v/>
      </c>
    </row>
    <row r="350" spans="2:8" x14ac:dyDescent="0.45">
      <c r="B350" s="9">
        <f t="shared" si="10"/>
        <v>345</v>
      </c>
      <c r="C350" s="9" t="e">
        <f>IF(D349=VLOOKUP(C349,Lookup!$P$5:$R$6,3,0),VLOOKUP(C349,Lookup!$P$5:$Q$6,2,0),C349)</f>
        <v>#N/A</v>
      </c>
      <c r="D350" s="22" t="e">
        <f>IF(D349=VLOOKUP(C349,Lookup!$P$5:$R$6,3,0),1,D349+1)</f>
        <v>#N/A</v>
      </c>
      <c r="E350" s="9" t="e">
        <f>IF(C350=Lookup!$P$5,INDEX('view-code'!$P$3:$P$502,'group-code'!D350),"")</f>
        <v>#N/A</v>
      </c>
      <c r="F350" s="9" t="e">
        <f>IF(C350=Lookup!$P$6,INDEX('card-code'!$P$3:$P$502,'group-code'!D350),"")</f>
        <v>#N/A</v>
      </c>
      <c r="G350" s="9" t="str">
        <f t="shared" si="11"/>
        <v/>
      </c>
      <c r="H350" s="9" t="str">
        <f>_xlfn.IFNA(IF(C350=Lookup!$Q$6,"END",""),"")</f>
        <v/>
      </c>
    </row>
    <row r="351" spans="2:8" x14ac:dyDescent="0.45">
      <c r="B351" s="9">
        <f t="shared" si="10"/>
        <v>346</v>
      </c>
      <c r="C351" s="9" t="e">
        <f>IF(D350=VLOOKUP(C350,Lookup!$P$5:$R$6,3,0),VLOOKUP(C350,Lookup!$P$5:$Q$6,2,0),C350)</f>
        <v>#N/A</v>
      </c>
      <c r="D351" s="22" t="e">
        <f>IF(D350=VLOOKUP(C350,Lookup!$P$5:$R$6,3,0),1,D350+1)</f>
        <v>#N/A</v>
      </c>
      <c r="E351" s="9" t="e">
        <f>IF(C351=Lookup!$P$5,INDEX('view-code'!$P$3:$P$502,'group-code'!D351),"")</f>
        <v>#N/A</v>
      </c>
      <c r="F351" s="9" t="e">
        <f>IF(C351=Lookup!$P$6,INDEX('card-code'!$P$3:$P$502,'group-code'!D351),"")</f>
        <v>#N/A</v>
      </c>
      <c r="G351" s="9" t="str">
        <f t="shared" si="11"/>
        <v/>
      </c>
      <c r="H351" s="9" t="str">
        <f>_xlfn.IFNA(IF(C351=Lookup!$Q$6,"END",""),"")</f>
        <v/>
      </c>
    </row>
    <row r="352" spans="2:8" x14ac:dyDescent="0.45">
      <c r="B352" s="9">
        <f t="shared" si="10"/>
        <v>347</v>
      </c>
      <c r="C352" s="9" t="e">
        <f>IF(D351=VLOOKUP(C351,Lookup!$P$5:$R$6,3,0),VLOOKUP(C351,Lookup!$P$5:$Q$6,2,0),C351)</f>
        <v>#N/A</v>
      </c>
      <c r="D352" s="22" t="e">
        <f>IF(D351=VLOOKUP(C351,Lookup!$P$5:$R$6,3,0),1,D351+1)</f>
        <v>#N/A</v>
      </c>
      <c r="E352" s="9" t="e">
        <f>IF(C352=Lookup!$P$5,INDEX('view-code'!$P$3:$P$502,'group-code'!D352),"")</f>
        <v>#N/A</v>
      </c>
      <c r="F352" s="9" t="e">
        <f>IF(C352=Lookup!$P$6,INDEX('card-code'!$P$3:$P$502,'group-code'!D352),"")</f>
        <v>#N/A</v>
      </c>
      <c r="G352" s="9" t="str">
        <f t="shared" si="11"/>
        <v/>
      </c>
      <c r="H352" s="9" t="str">
        <f>_xlfn.IFNA(IF(C352=Lookup!$Q$6,"END",""),"")</f>
        <v/>
      </c>
    </row>
    <row r="353" spans="2:8" x14ac:dyDescent="0.45">
      <c r="B353" s="9">
        <f t="shared" si="10"/>
        <v>348</v>
      </c>
      <c r="C353" s="9" t="e">
        <f>IF(D352=VLOOKUP(C352,Lookup!$P$5:$R$6,3,0),VLOOKUP(C352,Lookup!$P$5:$Q$6,2,0),C352)</f>
        <v>#N/A</v>
      </c>
      <c r="D353" s="22" t="e">
        <f>IF(D352=VLOOKUP(C352,Lookup!$P$5:$R$6,3,0),1,D352+1)</f>
        <v>#N/A</v>
      </c>
      <c r="E353" s="9" t="e">
        <f>IF(C353=Lookup!$P$5,INDEX('view-code'!$P$3:$P$502,'group-code'!D353),"")</f>
        <v>#N/A</v>
      </c>
      <c r="F353" s="9" t="e">
        <f>IF(C353=Lookup!$P$6,INDEX('card-code'!$P$3:$P$502,'group-code'!D353),"")</f>
        <v>#N/A</v>
      </c>
      <c r="G353" s="9" t="str">
        <f t="shared" si="11"/>
        <v/>
      </c>
      <c r="H353" s="9" t="str">
        <f>_xlfn.IFNA(IF(C353=Lookup!$Q$6,"END",""),"")</f>
        <v/>
      </c>
    </row>
    <row r="354" spans="2:8" x14ac:dyDescent="0.45">
      <c r="B354" s="9">
        <f t="shared" si="10"/>
        <v>349</v>
      </c>
      <c r="C354" s="9" t="e">
        <f>IF(D353=VLOOKUP(C353,Lookup!$P$5:$R$6,3,0),VLOOKUP(C353,Lookup!$P$5:$Q$6,2,0),C353)</f>
        <v>#N/A</v>
      </c>
      <c r="D354" s="22" t="e">
        <f>IF(D353=VLOOKUP(C353,Lookup!$P$5:$R$6,3,0),1,D353+1)</f>
        <v>#N/A</v>
      </c>
      <c r="E354" s="9" t="e">
        <f>IF(C354=Lookup!$P$5,INDEX('view-code'!$P$3:$P$502,'group-code'!D354),"")</f>
        <v>#N/A</v>
      </c>
      <c r="F354" s="9" t="e">
        <f>IF(C354=Lookup!$P$6,INDEX('card-code'!$P$3:$P$502,'group-code'!D354),"")</f>
        <v>#N/A</v>
      </c>
      <c r="G354" s="9" t="str">
        <f t="shared" si="11"/>
        <v/>
      </c>
      <c r="H354" s="9" t="str">
        <f>_xlfn.IFNA(IF(C354=Lookup!$Q$6,"END",""),"")</f>
        <v/>
      </c>
    </row>
    <row r="355" spans="2:8" x14ac:dyDescent="0.45">
      <c r="B355" s="9">
        <f t="shared" si="10"/>
        <v>350</v>
      </c>
      <c r="C355" s="9" t="e">
        <f>IF(D354=VLOOKUP(C354,Lookup!$P$5:$R$6,3,0),VLOOKUP(C354,Lookup!$P$5:$Q$6,2,0),C354)</f>
        <v>#N/A</v>
      </c>
      <c r="D355" s="22" t="e">
        <f>IF(D354=VLOOKUP(C354,Lookup!$P$5:$R$6,3,0),1,D354+1)</f>
        <v>#N/A</v>
      </c>
      <c r="E355" s="9" t="e">
        <f>IF(C355=Lookup!$P$5,INDEX('view-code'!$P$3:$P$502,'group-code'!D355),"")</f>
        <v>#N/A</v>
      </c>
      <c r="F355" s="9" t="e">
        <f>IF(C355=Lookup!$P$6,INDEX('card-code'!$P$3:$P$502,'group-code'!D355),"")</f>
        <v>#N/A</v>
      </c>
      <c r="G355" s="9" t="str">
        <f t="shared" si="11"/>
        <v/>
      </c>
      <c r="H355" s="9" t="str">
        <f>_xlfn.IFNA(IF(C355=Lookup!$Q$6,"END",""),"")</f>
        <v/>
      </c>
    </row>
    <row r="356" spans="2:8" x14ac:dyDescent="0.45">
      <c r="B356" s="9">
        <f t="shared" si="10"/>
        <v>351</v>
      </c>
      <c r="C356" s="9" t="e">
        <f>IF(D355=VLOOKUP(C355,Lookup!$P$5:$R$6,3,0),VLOOKUP(C355,Lookup!$P$5:$Q$6,2,0),C355)</f>
        <v>#N/A</v>
      </c>
      <c r="D356" s="22" t="e">
        <f>IF(D355=VLOOKUP(C355,Lookup!$P$5:$R$6,3,0),1,D355+1)</f>
        <v>#N/A</v>
      </c>
      <c r="E356" s="9" t="e">
        <f>IF(C356=Lookup!$P$5,INDEX('view-code'!$P$3:$P$502,'group-code'!D356),"")</f>
        <v>#N/A</v>
      </c>
      <c r="F356" s="9" t="e">
        <f>IF(C356=Lookup!$P$6,INDEX('card-code'!$P$3:$P$502,'group-code'!D356),"")</f>
        <v>#N/A</v>
      </c>
      <c r="G356" s="9" t="str">
        <f t="shared" si="11"/>
        <v/>
      </c>
      <c r="H356" s="9" t="str">
        <f>_xlfn.IFNA(IF(C356=Lookup!$Q$6,"END",""),"")</f>
        <v/>
      </c>
    </row>
    <row r="357" spans="2:8" x14ac:dyDescent="0.45">
      <c r="B357" s="9">
        <f t="shared" si="10"/>
        <v>352</v>
      </c>
      <c r="C357" s="9" t="e">
        <f>IF(D356=VLOOKUP(C356,Lookup!$P$5:$R$6,3,0),VLOOKUP(C356,Lookup!$P$5:$Q$6,2,0),C356)</f>
        <v>#N/A</v>
      </c>
      <c r="D357" s="22" t="e">
        <f>IF(D356=VLOOKUP(C356,Lookup!$P$5:$R$6,3,0),1,D356+1)</f>
        <v>#N/A</v>
      </c>
      <c r="E357" s="9" t="e">
        <f>IF(C357=Lookup!$P$5,INDEX('view-code'!$P$3:$P$502,'group-code'!D357),"")</f>
        <v>#N/A</v>
      </c>
      <c r="F357" s="9" t="e">
        <f>IF(C357=Lookup!$P$6,INDEX('card-code'!$P$3:$P$502,'group-code'!D357),"")</f>
        <v>#N/A</v>
      </c>
      <c r="G357" s="9" t="str">
        <f t="shared" si="11"/>
        <v/>
      </c>
      <c r="H357" s="9" t="str">
        <f>_xlfn.IFNA(IF(C357=Lookup!$Q$6,"END",""),"")</f>
        <v/>
      </c>
    </row>
    <row r="358" spans="2:8" x14ac:dyDescent="0.45">
      <c r="B358" s="9">
        <f t="shared" si="10"/>
        <v>353</v>
      </c>
      <c r="C358" s="9" t="e">
        <f>IF(D357=VLOOKUP(C357,Lookup!$P$5:$R$6,3,0),VLOOKUP(C357,Lookup!$P$5:$Q$6,2,0),C357)</f>
        <v>#N/A</v>
      </c>
      <c r="D358" s="22" t="e">
        <f>IF(D357=VLOOKUP(C357,Lookup!$P$5:$R$6,3,0),1,D357+1)</f>
        <v>#N/A</v>
      </c>
      <c r="E358" s="9" t="e">
        <f>IF(C358=Lookup!$P$5,INDEX('view-code'!$P$3:$P$502,'group-code'!D358),"")</f>
        <v>#N/A</v>
      </c>
      <c r="F358" s="9" t="e">
        <f>IF(C358=Lookup!$P$6,INDEX('card-code'!$P$3:$P$502,'group-code'!D358),"")</f>
        <v>#N/A</v>
      </c>
      <c r="G358" s="9" t="str">
        <f t="shared" si="11"/>
        <v/>
      </c>
      <c r="H358" s="9" t="str">
        <f>_xlfn.IFNA(IF(C358=Lookup!$Q$6,"END",""),"")</f>
        <v/>
      </c>
    </row>
    <row r="359" spans="2:8" x14ac:dyDescent="0.45">
      <c r="B359" s="9">
        <f t="shared" si="10"/>
        <v>354</v>
      </c>
      <c r="C359" s="9" t="e">
        <f>IF(D358=VLOOKUP(C358,Lookup!$P$5:$R$6,3,0),VLOOKUP(C358,Lookup!$P$5:$Q$6,2,0),C358)</f>
        <v>#N/A</v>
      </c>
      <c r="D359" s="22" t="e">
        <f>IF(D358=VLOOKUP(C358,Lookup!$P$5:$R$6,3,0),1,D358+1)</f>
        <v>#N/A</v>
      </c>
      <c r="E359" s="9" t="e">
        <f>IF(C359=Lookup!$P$5,INDEX('view-code'!$P$3:$P$502,'group-code'!D359),"")</f>
        <v>#N/A</v>
      </c>
      <c r="F359" s="9" t="e">
        <f>IF(C359=Lookup!$P$6,INDEX('card-code'!$P$3:$P$502,'group-code'!D359),"")</f>
        <v>#N/A</v>
      </c>
      <c r="G359" s="9" t="str">
        <f t="shared" si="11"/>
        <v/>
      </c>
      <c r="H359" s="9" t="str">
        <f>_xlfn.IFNA(IF(C359=Lookup!$Q$6,"END",""),"")</f>
        <v/>
      </c>
    </row>
    <row r="360" spans="2:8" x14ac:dyDescent="0.45">
      <c r="B360" s="9">
        <f t="shared" si="10"/>
        <v>355</v>
      </c>
      <c r="C360" s="9" t="e">
        <f>IF(D359=VLOOKUP(C359,Lookup!$P$5:$R$6,3,0),VLOOKUP(C359,Lookup!$P$5:$Q$6,2,0),C359)</f>
        <v>#N/A</v>
      </c>
      <c r="D360" s="22" t="e">
        <f>IF(D359=VLOOKUP(C359,Lookup!$P$5:$R$6,3,0),1,D359+1)</f>
        <v>#N/A</v>
      </c>
      <c r="E360" s="9" t="e">
        <f>IF(C360=Lookup!$P$5,INDEX('view-code'!$P$3:$P$502,'group-code'!D360),"")</f>
        <v>#N/A</v>
      </c>
      <c r="F360" s="9" t="e">
        <f>IF(C360=Lookup!$P$6,INDEX('card-code'!$P$3:$P$502,'group-code'!D360),"")</f>
        <v>#N/A</v>
      </c>
      <c r="G360" s="9" t="str">
        <f t="shared" si="11"/>
        <v/>
      </c>
      <c r="H360" s="9" t="str">
        <f>_xlfn.IFNA(IF(C360=Lookup!$Q$6,"END",""),"")</f>
        <v/>
      </c>
    </row>
    <row r="361" spans="2:8" x14ac:dyDescent="0.45">
      <c r="B361" s="9">
        <f t="shared" si="10"/>
        <v>356</v>
      </c>
      <c r="C361" s="9" t="e">
        <f>IF(D360=VLOOKUP(C360,Lookup!$P$5:$R$6,3,0),VLOOKUP(C360,Lookup!$P$5:$Q$6,2,0),C360)</f>
        <v>#N/A</v>
      </c>
      <c r="D361" s="22" t="e">
        <f>IF(D360=VLOOKUP(C360,Lookup!$P$5:$R$6,3,0),1,D360+1)</f>
        <v>#N/A</v>
      </c>
      <c r="E361" s="9" t="e">
        <f>IF(C361=Lookup!$P$5,INDEX('view-code'!$P$3:$P$502,'group-code'!D361),"")</f>
        <v>#N/A</v>
      </c>
      <c r="F361" s="9" t="e">
        <f>IF(C361=Lookup!$P$6,INDEX('card-code'!$P$3:$P$502,'group-code'!D361),"")</f>
        <v>#N/A</v>
      </c>
      <c r="G361" s="9" t="str">
        <f t="shared" si="11"/>
        <v/>
      </c>
      <c r="H361" s="9" t="str">
        <f>_xlfn.IFNA(IF(C361=Lookup!$Q$6,"END",""),"")</f>
        <v/>
      </c>
    </row>
    <row r="362" spans="2:8" x14ac:dyDescent="0.45">
      <c r="B362" s="9">
        <f t="shared" si="10"/>
        <v>357</v>
      </c>
      <c r="C362" s="9" t="e">
        <f>IF(D361=VLOOKUP(C361,Lookup!$P$5:$R$6,3,0),VLOOKUP(C361,Lookup!$P$5:$Q$6,2,0),C361)</f>
        <v>#N/A</v>
      </c>
      <c r="D362" s="22" t="e">
        <f>IF(D361=VLOOKUP(C361,Lookup!$P$5:$R$6,3,0),1,D361+1)</f>
        <v>#N/A</v>
      </c>
      <c r="E362" s="9" t="e">
        <f>IF(C362=Lookup!$P$5,INDEX('view-code'!$P$3:$P$502,'group-code'!D362),"")</f>
        <v>#N/A</v>
      </c>
      <c r="F362" s="9" t="e">
        <f>IF(C362=Lookup!$P$6,INDEX('card-code'!$P$3:$P$502,'group-code'!D362),"")</f>
        <v>#N/A</v>
      </c>
      <c r="G362" s="9" t="str">
        <f t="shared" si="11"/>
        <v/>
      </c>
      <c r="H362" s="9" t="str">
        <f>_xlfn.IFNA(IF(C362=Lookup!$Q$6,"END",""),"")</f>
        <v/>
      </c>
    </row>
    <row r="363" spans="2:8" x14ac:dyDescent="0.45">
      <c r="B363" s="9">
        <f t="shared" si="10"/>
        <v>358</v>
      </c>
      <c r="C363" s="9" t="e">
        <f>IF(D362=VLOOKUP(C362,Lookup!$P$5:$R$6,3,0),VLOOKUP(C362,Lookup!$P$5:$Q$6,2,0),C362)</f>
        <v>#N/A</v>
      </c>
      <c r="D363" s="22" t="e">
        <f>IF(D362=VLOOKUP(C362,Lookup!$P$5:$R$6,3,0),1,D362+1)</f>
        <v>#N/A</v>
      </c>
      <c r="E363" s="9" t="e">
        <f>IF(C363=Lookup!$P$5,INDEX('view-code'!$P$3:$P$502,'group-code'!D363),"")</f>
        <v>#N/A</v>
      </c>
      <c r="F363" s="9" t="e">
        <f>IF(C363=Lookup!$P$6,INDEX('card-code'!$P$3:$P$502,'group-code'!D363),"")</f>
        <v>#N/A</v>
      </c>
      <c r="G363" s="9" t="str">
        <f t="shared" si="11"/>
        <v/>
      </c>
      <c r="H363" s="9" t="str">
        <f>_xlfn.IFNA(IF(C363=Lookup!$Q$6,"END",""),"")</f>
        <v/>
      </c>
    </row>
    <row r="364" spans="2:8" x14ac:dyDescent="0.45">
      <c r="B364" s="9">
        <f t="shared" si="10"/>
        <v>359</v>
      </c>
      <c r="C364" s="9" t="e">
        <f>IF(D363=VLOOKUP(C363,Lookup!$P$5:$R$6,3,0),VLOOKUP(C363,Lookup!$P$5:$Q$6,2,0),C363)</f>
        <v>#N/A</v>
      </c>
      <c r="D364" s="22" t="e">
        <f>IF(D363=VLOOKUP(C363,Lookup!$P$5:$R$6,3,0),1,D363+1)</f>
        <v>#N/A</v>
      </c>
      <c r="E364" s="9" t="e">
        <f>IF(C364=Lookup!$P$5,INDEX('view-code'!$P$3:$P$502,'group-code'!D364),"")</f>
        <v>#N/A</v>
      </c>
      <c r="F364" s="9" t="e">
        <f>IF(C364=Lookup!$P$6,INDEX('card-code'!$P$3:$P$502,'group-code'!D364),"")</f>
        <v>#N/A</v>
      </c>
      <c r="G364" s="9" t="str">
        <f t="shared" si="11"/>
        <v/>
      </c>
      <c r="H364" s="9" t="str">
        <f>_xlfn.IFNA(IF(C364=Lookup!$Q$6,"END",""),"")</f>
        <v/>
      </c>
    </row>
    <row r="365" spans="2:8" x14ac:dyDescent="0.45">
      <c r="B365" s="9">
        <f t="shared" si="10"/>
        <v>360</v>
      </c>
      <c r="C365" s="9" t="e">
        <f>IF(D364=VLOOKUP(C364,Lookup!$P$5:$R$6,3,0),VLOOKUP(C364,Lookup!$P$5:$Q$6,2,0),C364)</f>
        <v>#N/A</v>
      </c>
      <c r="D365" s="22" t="e">
        <f>IF(D364=VLOOKUP(C364,Lookup!$P$5:$R$6,3,0),1,D364+1)</f>
        <v>#N/A</v>
      </c>
      <c r="E365" s="9" t="e">
        <f>IF(C365=Lookup!$P$5,INDEX('view-code'!$P$3:$P$502,'group-code'!D365),"")</f>
        <v>#N/A</v>
      </c>
      <c r="F365" s="9" t="e">
        <f>IF(C365=Lookup!$P$6,INDEX('card-code'!$P$3:$P$502,'group-code'!D365),"")</f>
        <v>#N/A</v>
      </c>
      <c r="G365" s="9" t="str">
        <f t="shared" si="11"/>
        <v/>
      </c>
      <c r="H365" s="9" t="str">
        <f>_xlfn.IFNA(IF(C365=Lookup!$Q$6,"END",""),"")</f>
        <v/>
      </c>
    </row>
    <row r="366" spans="2:8" x14ac:dyDescent="0.45">
      <c r="B366" s="9">
        <f t="shared" si="10"/>
        <v>361</v>
      </c>
      <c r="C366" s="9" t="e">
        <f>IF(D365=VLOOKUP(C365,Lookup!$P$5:$R$6,3,0),VLOOKUP(C365,Lookup!$P$5:$Q$6,2,0),C365)</f>
        <v>#N/A</v>
      </c>
      <c r="D366" s="22" t="e">
        <f>IF(D365=VLOOKUP(C365,Lookup!$P$5:$R$6,3,0),1,D365+1)</f>
        <v>#N/A</v>
      </c>
      <c r="E366" s="9" t="e">
        <f>IF(C366=Lookup!$P$5,INDEX('view-code'!$P$3:$P$502,'group-code'!D366),"")</f>
        <v>#N/A</v>
      </c>
      <c r="F366" s="9" t="e">
        <f>IF(C366=Lookup!$P$6,INDEX('card-code'!$P$3:$P$502,'group-code'!D366),"")</f>
        <v>#N/A</v>
      </c>
      <c r="G366" s="9" t="str">
        <f t="shared" si="11"/>
        <v/>
      </c>
      <c r="H366" s="9" t="str">
        <f>_xlfn.IFNA(IF(C366=Lookup!$Q$6,"END",""),"")</f>
        <v/>
      </c>
    </row>
    <row r="367" spans="2:8" x14ac:dyDescent="0.45">
      <c r="B367" s="9">
        <f t="shared" si="10"/>
        <v>362</v>
      </c>
      <c r="C367" s="9" t="e">
        <f>IF(D366=VLOOKUP(C366,Lookup!$P$5:$R$6,3,0),VLOOKUP(C366,Lookup!$P$5:$Q$6,2,0),C366)</f>
        <v>#N/A</v>
      </c>
      <c r="D367" s="22" t="e">
        <f>IF(D366=VLOOKUP(C366,Lookup!$P$5:$R$6,3,0),1,D366+1)</f>
        <v>#N/A</v>
      </c>
      <c r="E367" s="9" t="e">
        <f>IF(C367=Lookup!$P$5,INDEX('view-code'!$P$3:$P$502,'group-code'!D367),"")</f>
        <v>#N/A</v>
      </c>
      <c r="F367" s="9" t="e">
        <f>IF(C367=Lookup!$P$6,INDEX('card-code'!$P$3:$P$502,'group-code'!D367),"")</f>
        <v>#N/A</v>
      </c>
      <c r="G367" s="9" t="str">
        <f t="shared" si="11"/>
        <v/>
      </c>
      <c r="H367" s="9" t="str">
        <f>_xlfn.IFNA(IF(C367=Lookup!$Q$6,"END",""),"")</f>
        <v/>
      </c>
    </row>
    <row r="368" spans="2:8" x14ac:dyDescent="0.45">
      <c r="B368" s="9">
        <f t="shared" si="10"/>
        <v>363</v>
      </c>
      <c r="C368" s="9" t="e">
        <f>IF(D367=VLOOKUP(C367,Lookup!$P$5:$R$6,3,0),VLOOKUP(C367,Lookup!$P$5:$Q$6,2,0),C367)</f>
        <v>#N/A</v>
      </c>
      <c r="D368" s="22" t="e">
        <f>IF(D367=VLOOKUP(C367,Lookup!$P$5:$R$6,3,0),1,D367+1)</f>
        <v>#N/A</v>
      </c>
      <c r="E368" s="9" t="e">
        <f>IF(C368=Lookup!$P$5,INDEX('view-code'!$P$3:$P$502,'group-code'!D368),"")</f>
        <v>#N/A</v>
      </c>
      <c r="F368" s="9" t="e">
        <f>IF(C368=Lookup!$P$6,INDEX('card-code'!$P$3:$P$502,'group-code'!D368),"")</f>
        <v>#N/A</v>
      </c>
      <c r="G368" s="9" t="str">
        <f t="shared" si="11"/>
        <v/>
      </c>
      <c r="H368" s="9" t="str">
        <f>_xlfn.IFNA(IF(C368=Lookup!$Q$6,"END",""),"")</f>
        <v/>
      </c>
    </row>
    <row r="369" spans="2:8" x14ac:dyDescent="0.45">
      <c r="B369" s="9">
        <f t="shared" si="10"/>
        <v>364</v>
      </c>
      <c r="C369" s="9" t="e">
        <f>IF(D368=VLOOKUP(C368,Lookup!$P$5:$R$6,3,0),VLOOKUP(C368,Lookup!$P$5:$Q$6,2,0),C368)</f>
        <v>#N/A</v>
      </c>
      <c r="D369" s="22" t="e">
        <f>IF(D368=VLOOKUP(C368,Lookup!$P$5:$R$6,3,0),1,D368+1)</f>
        <v>#N/A</v>
      </c>
      <c r="E369" s="9" t="e">
        <f>IF(C369=Lookup!$P$5,INDEX('view-code'!$P$3:$P$502,'group-code'!D369),"")</f>
        <v>#N/A</v>
      </c>
      <c r="F369" s="9" t="e">
        <f>IF(C369=Lookup!$P$6,INDEX('card-code'!$P$3:$P$502,'group-code'!D369),"")</f>
        <v>#N/A</v>
      </c>
      <c r="G369" s="9" t="str">
        <f t="shared" si="11"/>
        <v/>
      </c>
      <c r="H369" s="9" t="str">
        <f>_xlfn.IFNA(IF(C369=Lookup!$Q$6,"END",""),"")</f>
        <v/>
      </c>
    </row>
    <row r="370" spans="2:8" x14ac:dyDescent="0.45">
      <c r="B370" s="9">
        <f t="shared" si="10"/>
        <v>365</v>
      </c>
      <c r="C370" s="9" t="e">
        <f>IF(D369=VLOOKUP(C369,Lookup!$P$5:$R$6,3,0),VLOOKUP(C369,Lookup!$P$5:$Q$6,2,0),C369)</f>
        <v>#N/A</v>
      </c>
      <c r="D370" s="22" t="e">
        <f>IF(D369=VLOOKUP(C369,Lookup!$P$5:$R$6,3,0),1,D369+1)</f>
        <v>#N/A</v>
      </c>
      <c r="E370" s="9" t="e">
        <f>IF(C370=Lookup!$P$5,INDEX('view-code'!$P$3:$P$502,'group-code'!D370),"")</f>
        <v>#N/A</v>
      </c>
      <c r="F370" s="9" t="e">
        <f>IF(C370=Lookup!$P$6,INDEX('card-code'!$P$3:$P$502,'group-code'!D370),"")</f>
        <v>#N/A</v>
      </c>
      <c r="G370" s="9" t="str">
        <f t="shared" si="11"/>
        <v/>
      </c>
      <c r="H370" s="9" t="str">
        <f>_xlfn.IFNA(IF(C370=Lookup!$Q$6,"END",""),"")</f>
        <v/>
      </c>
    </row>
    <row r="371" spans="2:8" x14ac:dyDescent="0.45">
      <c r="B371" s="9">
        <f t="shared" si="10"/>
        <v>366</v>
      </c>
      <c r="C371" s="9" t="e">
        <f>IF(D370=VLOOKUP(C370,Lookup!$P$5:$R$6,3,0),VLOOKUP(C370,Lookup!$P$5:$Q$6,2,0),C370)</f>
        <v>#N/A</v>
      </c>
      <c r="D371" s="22" t="e">
        <f>IF(D370=VLOOKUP(C370,Lookup!$P$5:$R$6,3,0),1,D370+1)</f>
        <v>#N/A</v>
      </c>
      <c r="E371" s="9" t="e">
        <f>IF(C371=Lookup!$P$5,INDEX('view-code'!$P$3:$P$502,'group-code'!D371),"")</f>
        <v>#N/A</v>
      </c>
      <c r="F371" s="9" t="e">
        <f>IF(C371=Lookup!$P$6,INDEX('card-code'!$P$3:$P$502,'group-code'!D371),"")</f>
        <v>#N/A</v>
      </c>
      <c r="G371" s="9" t="str">
        <f t="shared" si="11"/>
        <v/>
      </c>
      <c r="H371" s="9" t="str">
        <f>_xlfn.IFNA(IF(C371=Lookup!$Q$6,"END",""),"")</f>
        <v/>
      </c>
    </row>
    <row r="372" spans="2:8" x14ac:dyDescent="0.45">
      <c r="B372" s="9">
        <f t="shared" si="10"/>
        <v>367</v>
      </c>
      <c r="C372" s="9" t="e">
        <f>IF(D371=VLOOKUP(C371,Lookup!$P$5:$R$6,3,0),VLOOKUP(C371,Lookup!$P$5:$Q$6,2,0),C371)</f>
        <v>#N/A</v>
      </c>
      <c r="D372" s="22" t="e">
        <f>IF(D371=VLOOKUP(C371,Lookup!$P$5:$R$6,3,0),1,D371+1)</f>
        <v>#N/A</v>
      </c>
      <c r="E372" s="9" t="e">
        <f>IF(C372=Lookup!$P$5,INDEX('view-code'!$P$3:$P$502,'group-code'!D372),"")</f>
        <v>#N/A</v>
      </c>
      <c r="F372" s="9" t="e">
        <f>IF(C372=Lookup!$P$6,INDEX('card-code'!$P$3:$P$502,'group-code'!D372),"")</f>
        <v>#N/A</v>
      </c>
      <c r="G372" s="9" t="str">
        <f t="shared" si="11"/>
        <v/>
      </c>
      <c r="H372" s="9" t="str">
        <f>_xlfn.IFNA(IF(C372=Lookup!$Q$6,"END",""),"")</f>
        <v/>
      </c>
    </row>
    <row r="373" spans="2:8" x14ac:dyDescent="0.45">
      <c r="B373" s="9">
        <f t="shared" si="10"/>
        <v>368</v>
      </c>
      <c r="C373" s="9" t="e">
        <f>IF(D372=VLOOKUP(C372,Lookup!$P$5:$R$6,3,0),VLOOKUP(C372,Lookup!$P$5:$Q$6,2,0),C372)</f>
        <v>#N/A</v>
      </c>
      <c r="D373" s="22" t="e">
        <f>IF(D372=VLOOKUP(C372,Lookup!$P$5:$R$6,3,0),1,D372+1)</f>
        <v>#N/A</v>
      </c>
      <c r="E373" s="9" t="e">
        <f>IF(C373=Lookup!$P$5,INDEX('view-code'!$P$3:$P$502,'group-code'!D373),"")</f>
        <v>#N/A</v>
      </c>
      <c r="F373" s="9" t="e">
        <f>IF(C373=Lookup!$P$6,INDEX('card-code'!$P$3:$P$502,'group-code'!D373),"")</f>
        <v>#N/A</v>
      </c>
      <c r="G373" s="9" t="str">
        <f t="shared" si="11"/>
        <v/>
      </c>
      <c r="H373" s="9" t="str">
        <f>_xlfn.IFNA(IF(C373=Lookup!$Q$6,"END",""),"")</f>
        <v/>
      </c>
    </row>
    <row r="374" spans="2:8" x14ac:dyDescent="0.45">
      <c r="B374" s="9">
        <f t="shared" si="10"/>
        <v>369</v>
      </c>
      <c r="C374" s="9" t="e">
        <f>IF(D373=VLOOKUP(C373,Lookup!$P$5:$R$6,3,0),VLOOKUP(C373,Lookup!$P$5:$Q$6,2,0),C373)</f>
        <v>#N/A</v>
      </c>
      <c r="D374" s="22" t="e">
        <f>IF(D373=VLOOKUP(C373,Lookup!$P$5:$R$6,3,0),1,D373+1)</f>
        <v>#N/A</v>
      </c>
      <c r="E374" s="9" t="e">
        <f>IF(C374=Lookup!$P$5,INDEX('view-code'!$P$3:$P$502,'group-code'!D374),"")</f>
        <v>#N/A</v>
      </c>
      <c r="F374" s="9" t="e">
        <f>IF(C374=Lookup!$P$6,INDEX('card-code'!$P$3:$P$502,'group-code'!D374),"")</f>
        <v>#N/A</v>
      </c>
      <c r="G374" s="9" t="str">
        <f t="shared" si="11"/>
        <v/>
      </c>
      <c r="H374" s="9" t="str">
        <f>_xlfn.IFNA(IF(C374=Lookup!$Q$6,"END",""),"")</f>
        <v/>
      </c>
    </row>
    <row r="375" spans="2:8" x14ac:dyDescent="0.45">
      <c r="B375" s="9">
        <f t="shared" si="10"/>
        <v>370</v>
      </c>
      <c r="C375" s="9" t="e">
        <f>IF(D374=VLOOKUP(C374,Lookup!$P$5:$R$6,3,0),VLOOKUP(C374,Lookup!$P$5:$Q$6,2,0),C374)</f>
        <v>#N/A</v>
      </c>
      <c r="D375" s="22" t="e">
        <f>IF(D374=VLOOKUP(C374,Lookup!$P$5:$R$6,3,0),1,D374+1)</f>
        <v>#N/A</v>
      </c>
      <c r="E375" s="9" t="e">
        <f>IF(C375=Lookup!$P$5,INDEX('view-code'!$P$3:$P$502,'group-code'!D375),"")</f>
        <v>#N/A</v>
      </c>
      <c r="F375" s="9" t="e">
        <f>IF(C375=Lookup!$P$6,INDEX('card-code'!$P$3:$P$502,'group-code'!D375),"")</f>
        <v>#N/A</v>
      </c>
      <c r="G375" s="9" t="str">
        <f t="shared" si="11"/>
        <v/>
      </c>
      <c r="H375" s="9" t="str">
        <f>_xlfn.IFNA(IF(C375=Lookup!$Q$6,"END",""),"")</f>
        <v/>
      </c>
    </row>
    <row r="376" spans="2:8" x14ac:dyDescent="0.45">
      <c r="B376" s="9">
        <f t="shared" si="10"/>
        <v>371</v>
      </c>
      <c r="C376" s="9" t="e">
        <f>IF(D375=VLOOKUP(C375,Lookup!$P$5:$R$6,3,0),VLOOKUP(C375,Lookup!$P$5:$Q$6,2,0),C375)</f>
        <v>#N/A</v>
      </c>
      <c r="D376" s="22" t="e">
        <f>IF(D375=VLOOKUP(C375,Lookup!$P$5:$R$6,3,0),1,D375+1)</f>
        <v>#N/A</v>
      </c>
      <c r="E376" s="9" t="e">
        <f>IF(C376=Lookup!$P$5,INDEX('view-code'!$P$3:$P$502,'group-code'!D376),"")</f>
        <v>#N/A</v>
      </c>
      <c r="F376" s="9" t="e">
        <f>IF(C376=Lookup!$P$6,INDEX('card-code'!$P$3:$P$502,'group-code'!D376),"")</f>
        <v>#N/A</v>
      </c>
      <c r="G376" s="9" t="str">
        <f t="shared" si="11"/>
        <v/>
      </c>
      <c r="H376" s="9" t="str">
        <f>_xlfn.IFNA(IF(C376=Lookup!$Q$6,"END",""),"")</f>
        <v/>
      </c>
    </row>
    <row r="377" spans="2:8" x14ac:dyDescent="0.45">
      <c r="B377" s="9">
        <f t="shared" si="10"/>
        <v>372</v>
      </c>
      <c r="C377" s="9" t="e">
        <f>IF(D376=VLOOKUP(C376,Lookup!$P$5:$R$6,3,0),VLOOKUP(C376,Lookup!$P$5:$Q$6,2,0),C376)</f>
        <v>#N/A</v>
      </c>
      <c r="D377" s="22" t="e">
        <f>IF(D376=VLOOKUP(C376,Lookup!$P$5:$R$6,3,0),1,D376+1)</f>
        <v>#N/A</v>
      </c>
      <c r="E377" s="9" t="e">
        <f>IF(C377=Lookup!$P$5,INDEX('view-code'!$P$3:$P$502,'group-code'!D377),"")</f>
        <v>#N/A</v>
      </c>
      <c r="F377" s="9" t="e">
        <f>IF(C377=Lookup!$P$6,INDEX('card-code'!$P$3:$P$502,'group-code'!D377),"")</f>
        <v>#N/A</v>
      </c>
      <c r="G377" s="9" t="str">
        <f t="shared" si="11"/>
        <v/>
      </c>
      <c r="H377" s="9" t="str">
        <f>_xlfn.IFNA(IF(C377=Lookup!$Q$6,"END",""),"")</f>
        <v/>
      </c>
    </row>
    <row r="378" spans="2:8" x14ac:dyDescent="0.45">
      <c r="B378" s="9">
        <f t="shared" si="10"/>
        <v>373</v>
      </c>
      <c r="C378" s="9" t="e">
        <f>IF(D377=VLOOKUP(C377,Lookup!$P$5:$R$6,3,0),VLOOKUP(C377,Lookup!$P$5:$Q$6,2,0),C377)</f>
        <v>#N/A</v>
      </c>
      <c r="D378" s="22" t="e">
        <f>IF(D377=VLOOKUP(C377,Lookup!$P$5:$R$6,3,0),1,D377+1)</f>
        <v>#N/A</v>
      </c>
      <c r="E378" s="9" t="e">
        <f>IF(C378=Lookup!$P$5,INDEX('view-code'!$P$3:$P$502,'group-code'!D378),"")</f>
        <v>#N/A</v>
      </c>
      <c r="F378" s="9" t="e">
        <f>IF(C378=Lookup!$P$6,INDEX('card-code'!$P$3:$P$502,'group-code'!D378),"")</f>
        <v>#N/A</v>
      </c>
      <c r="G378" s="9" t="str">
        <f t="shared" si="11"/>
        <v/>
      </c>
      <c r="H378" s="9" t="str">
        <f>_xlfn.IFNA(IF(C378=Lookup!$Q$6,"END",""),"")</f>
        <v/>
      </c>
    </row>
    <row r="379" spans="2:8" x14ac:dyDescent="0.45">
      <c r="B379" s="9">
        <f t="shared" si="10"/>
        <v>374</v>
      </c>
      <c r="C379" s="9" t="e">
        <f>IF(D378=VLOOKUP(C378,Lookup!$P$5:$R$6,3,0),VLOOKUP(C378,Lookup!$P$5:$Q$6,2,0),C378)</f>
        <v>#N/A</v>
      </c>
      <c r="D379" s="22" t="e">
        <f>IF(D378=VLOOKUP(C378,Lookup!$P$5:$R$6,3,0),1,D378+1)</f>
        <v>#N/A</v>
      </c>
      <c r="E379" s="9" t="e">
        <f>IF(C379=Lookup!$P$5,INDEX('view-code'!$P$3:$P$502,'group-code'!D379),"")</f>
        <v>#N/A</v>
      </c>
      <c r="F379" s="9" t="e">
        <f>IF(C379=Lookup!$P$6,INDEX('card-code'!$P$3:$P$502,'group-code'!D379),"")</f>
        <v>#N/A</v>
      </c>
      <c r="G379" s="9" t="str">
        <f t="shared" si="11"/>
        <v/>
      </c>
      <c r="H379" s="9" t="str">
        <f>_xlfn.IFNA(IF(C379=Lookup!$Q$6,"END",""),"")</f>
        <v/>
      </c>
    </row>
    <row r="380" spans="2:8" x14ac:dyDescent="0.45">
      <c r="B380" s="9">
        <f t="shared" si="10"/>
        <v>375</v>
      </c>
      <c r="C380" s="9" t="e">
        <f>IF(D379=VLOOKUP(C379,Lookup!$P$5:$R$6,3,0),VLOOKUP(C379,Lookup!$P$5:$Q$6,2,0),C379)</f>
        <v>#N/A</v>
      </c>
      <c r="D380" s="22" t="e">
        <f>IF(D379=VLOOKUP(C379,Lookup!$P$5:$R$6,3,0),1,D379+1)</f>
        <v>#N/A</v>
      </c>
      <c r="E380" s="9" t="e">
        <f>IF(C380=Lookup!$P$5,INDEX('view-code'!$P$3:$P$502,'group-code'!D380),"")</f>
        <v>#N/A</v>
      </c>
      <c r="F380" s="9" t="e">
        <f>IF(C380=Lookup!$P$6,INDEX('card-code'!$P$3:$P$502,'group-code'!D380),"")</f>
        <v>#N/A</v>
      </c>
      <c r="G380" s="9" t="str">
        <f t="shared" si="11"/>
        <v/>
      </c>
      <c r="H380" s="9" t="str">
        <f>_xlfn.IFNA(IF(C380=Lookup!$Q$6,"END",""),"")</f>
        <v/>
      </c>
    </row>
    <row r="381" spans="2:8" x14ac:dyDescent="0.45">
      <c r="B381" s="9">
        <f t="shared" si="10"/>
        <v>376</v>
      </c>
      <c r="C381" s="9" t="e">
        <f>IF(D380=VLOOKUP(C380,Lookup!$P$5:$R$6,3,0),VLOOKUP(C380,Lookup!$P$5:$Q$6,2,0),C380)</f>
        <v>#N/A</v>
      </c>
      <c r="D381" s="22" t="e">
        <f>IF(D380=VLOOKUP(C380,Lookup!$P$5:$R$6,3,0),1,D380+1)</f>
        <v>#N/A</v>
      </c>
      <c r="E381" s="9" t="e">
        <f>IF(C381=Lookup!$P$5,INDEX('view-code'!$P$3:$P$502,'group-code'!D381),"")</f>
        <v>#N/A</v>
      </c>
      <c r="F381" s="9" t="e">
        <f>IF(C381=Lookup!$P$6,INDEX('card-code'!$P$3:$P$502,'group-code'!D381),"")</f>
        <v>#N/A</v>
      </c>
      <c r="G381" s="9" t="str">
        <f t="shared" si="11"/>
        <v/>
      </c>
      <c r="H381" s="9" t="str">
        <f>_xlfn.IFNA(IF(C381=Lookup!$Q$6,"END",""),"")</f>
        <v/>
      </c>
    </row>
    <row r="382" spans="2:8" x14ac:dyDescent="0.45">
      <c r="B382" s="9">
        <f t="shared" si="10"/>
        <v>377</v>
      </c>
      <c r="C382" s="9" t="e">
        <f>IF(D381=VLOOKUP(C381,Lookup!$P$5:$R$6,3,0),VLOOKUP(C381,Lookup!$P$5:$Q$6,2,0),C381)</f>
        <v>#N/A</v>
      </c>
      <c r="D382" s="22" t="e">
        <f>IF(D381=VLOOKUP(C381,Lookup!$P$5:$R$6,3,0),1,D381+1)</f>
        <v>#N/A</v>
      </c>
      <c r="E382" s="9" t="e">
        <f>IF(C382=Lookup!$P$5,INDEX('view-code'!$P$3:$P$502,'group-code'!D382),"")</f>
        <v>#N/A</v>
      </c>
      <c r="F382" s="9" t="e">
        <f>IF(C382=Lookup!$P$6,INDEX('card-code'!$P$3:$P$502,'group-code'!D382),"")</f>
        <v>#N/A</v>
      </c>
      <c r="G382" s="9" t="str">
        <f t="shared" si="11"/>
        <v/>
      </c>
      <c r="H382" s="9" t="str">
        <f>_xlfn.IFNA(IF(C382=Lookup!$Q$6,"END",""),"")</f>
        <v/>
      </c>
    </row>
    <row r="383" spans="2:8" x14ac:dyDescent="0.45">
      <c r="B383" s="9">
        <f t="shared" si="10"/>
        <v>378</v>
      </c>
      <c r="C383" s="9" t="e">
        <f>IF(D382=VLOOKUP(C382,Lookup!$P$5:$R$6,3,0),VLOOKUP(C382,Lookup!$P$5:$Q$6,2,0),C382)</f>
        <v>#N/A</v>
      </c>
      <c r="D383" s="22" t="e">
        <f>IF(D382=VLOOKUP(C382,Lookup!$P$5:$R$6,3,0),1,D382+1)</f>
        <v>#N/A</v>
      </c>
      <c r="E383" s="9" t="e">
        <f>IF(C383=Lookup!$P$5,INDEX('view-code'!$P$3:$P$502,'group-code'!D383),"")</f>
        <v>#N/A</v>
      </c>
      <c r="F383" s="9" t="e">
        <f>IF(C383=Lookup!$P$6,INDEX('card-code'!$P$3:$P$502,'group-code'!D383),"")</f>
        <v>#N/A</v>
      </c>
      <c r="G383" s="9" t="str">
        <f t="shared" si="11"/>
        <v/>
      </c>
      <c r="H383" s="9" t="str">
        <f>_xlfn.IFNA(IF(C383=Lookup!$Q$6,"END",""),"")</f>
        <v/>
      </c>
    </row>
    <row r="384" spans="2:8" x14ac:dyDescent="0.45">
      <c r="B384" s="9">
        <f t="shared" si="10"/>
        <v>379</v>
      </c>
      <c r="C384" s="9" t="e">
        <f>IF(D383=VLOOKUP(C383,Lookup!$P$5:$R$6,3,0),VLOOKUP(C383,Lookup!$P$5:$Q$6,2,0),C383)</f>
        <v>#N/A</v>
      </c>
      <c r="D384" s="22" t="e">
        <f>IF(D383=VLOOKUP(C383,Lookup!$P$5:$R$6,3,0),1,D383+1)</f>
        <v>#N/A</v>
      </c>
      <c r="E384" s="9" t="e">
        <f>IF(C384=Lookup!$P$5,INDEX('view-code'!$P$3:$P$502,'group-code'!D384),"")</f>
        <v>#N/A</v>
      </c>
      <c r="F384" s="9" t="e">
        <f>IF(C384=Lookup!$P$6,INDEX('card-code'!$P$3:$P$502,'group-code'!D384),"")</f>
        <v>#N/A</v>
      </c>
      <c r="G384" s="9" t="str">
        <f t="shared" si="11"/>
        <v/>
      </c>
      <c r="H384" s="9" t="str">
        <f>_xlfn.IFNA(IF(C384=Lookup!$Q$6,"END",""),"")</f>
        <v/>
      </c>
    </row>
    <row r="385" spans="2:8" x14ac:dyDescent="0.45">
      <c r="B385" s="9">
        <f t="shared" si="10"/>
        <v>380</v>
      </c>
      <c r="C385" s="9" t="e">
        <f>IF(D384=VLOOKUP(C384,Lookup!$P$5:$R$6,3,0),VLOOKUP(C384,Lookup!$P$5:$Q$6,2,0),C384)</f>
        <v>#N/A</v>
      </c>
      <c r="D385" s="22" t="e">
        <f>IF(D384=VLOOKUP(C384,Lookup!$P$5:$R$6,3,0),1,D384+1)</f>
        <v>#N/A</v>
      </c>
      <c r="E385" s="9" t="e">
        <f>IF(C385=Lookup!$P$5,INDEX('view-code'!$P$3:$P$502,'group-code'!D385),"")</f>
        <v>#N/A</v>
      </c>
      <c r="F385" s="9" t="e">
        <f>IF(C385=Lookup!$P$6,INDEX('card-code'!$P$3:$P$502,'group-code'!D385),"")</f>
        <v>#N/A</v>
      </c>
      <c r="G385" s="9" t="str">
        <f t="shared" si="11"/>
        <v/>
      </c>
      <c r="H385" s="9" t="str">
        <f>_xlfn.IFNA(IF(C385=Lookup!$Q$6,"END",""),"")</f>
        <v/>
      </c>
    </row>
    <row r="386" spans="2:8" x14ac:dyDescent="0.45">
      <c r="B386" s="9">
        <f t="shared" si="10"/>
        <v>381</v>
      </c>
      <c r="C386" s="9" t="e">
        <f>IF(D385=VLOOKUP(C385,Lookup!$P$5:$R$6,3,0),VLOOKUP(C385,Lookup!$P$5:$Q$6,2,0),C385)</f>
        <v>#N/A</v>
      </c>
      <c r="D386" s="22" t="e">
        <f>IF(D385=VLOOKUP(C385,Lookup!$P$5:$R$6,3,0),1,D385+1)</f>
        <v>#N/A</v>
      </c>
      <c r="E386" s="9" t="e">
        <f>IF(C386=Lookup!$P$5,INDEX('view-code'!$P$3:$P$502,'group-code'!D386),"")</f>
        <v>#N/A</v>
      </c>
      <c r="F386" s="9" t="e">
        <f>IF(C386=Lookup!$P$6,INDEX('card-code'!$P$3:$P$502,'group-code'!D386),"")</f>
        <v>#N/A</v>
      </c>
      <c r="G386" s="9" t="str">
        <f t="shared" si="11"/>
        <v/>
      </c>
      <c r="H386" s="9" t="str">
        <f>_xlfn.IFNA(IF(C386=Lookup!$Q$6,"END",""),"")</f>
        <v/>
      </c>
    </row>
    <row r="387" spans="2:8" x14ac:dyDescent="0.45">
      <c r="B387" s="9">
        <f t="shared" si="10"/>
        <v>382</v>
      </c>
      <c r="C387" s="9" t="e">
        <f>IF(D386=VLOOKUP(C386,Lookup!$P$5:$R$6,3,0),VLOOKUP(C386,Lookup!$P$5:$Q$6,2,0),C386)</f>
        <v>#N/A</v>
      </c>
      <c r="D387" s="22" t="e">
        <f>IF(D386=VLOOKUP(C386,Lookup!$P$5:$R$6,3,0),1,D386+1)</f>
        <v>#N/A</v>
      </c>
      <c r="E387" s="9" t="e">
        <f>IF(C387=Lookup!$P$5,INDEX('view-code'!$P$3:$P$502,'group-code'!D387),"")</f>
        <v>#N/A</v>
      </c>
      <c r="F387" s="9" t="e">
        <f>IF(C387=Lookup!$P$6,INDEX('card-code'!$P$3:$P$502,'group-code'!D387),"")</f>
        <v>#N/A</v>
      </c>
      <c r="G387" s="9" t="str">
        <f t="shared" si="11"/>
        <v/>
      </c>
      <c r="H387" s="9" t="str">
        <f>_xlfn.IFNA(IF(C387=Lookup!$Q$6,"END",""),"")</f>
        <v/>
      </c>
    </row>
    <row r="388" spans="2:8" x14ac:dyDescent="0.45">
      <c r="B388" s="9">
        <f t="shared" si="10"/>
        <v>383</v>
      </c>
      <c r="C388" s="9" t="e">
        <f>IF(D387=VLOOKUP(C387,Lookup!$P$5:$R$6,3,0),VLOOKUP(C387,Lookup!$P$5:$Q$6,2,0),C387)</f>
        <v>#N/A</v>
      </c>
      <c r="D388" s="22" t="e">
        <f>IF(D387=VLOOKUP(C387,Lookup!$P$5:$R$6,3,0),1,D387+1)</f>
        <v>#N/A</v>
      </c>
      <c r="E388" s="9" t="e">
        <f>IF(C388=Lookup!$P$5,INDEX('view-code'!$P$3:$P$502,'group-code'!D388),"")</f>
        <v>#N/A</v>
      </c>
      <c r="F388" s="9" t="e">
        <f>IF(C388=Lookup!$P$6,INDEX('card-code'!$P$3:$P$502,'group-code'!D388),"")</f>
        <v>#N/A</v>
      </c>
      <c r="G388" s="9" t="str">
        <f t="shared" si="11"/>
        <v/>
      </c>
      <c r="H388" s="9" t="str">
        <f>_xlfn.IFNA(IF(C388=Lookup!$Q$6,"END",""),"")</f>
        <v/>
      </c>
    </row>
    <row r="389" spans="2:8" x14ac:dyDescent="0.45">
      <c r="B389" s="9">
        <f t="shared" si="10"/>
        <v>384</v>
      </c>
      <c r="C389" s="9" t="e">
        <f>IF(D388=VLOOKUP(C388,Lookup!$P$5:$R$6,3,0),VLOOKUP(C388,Lookup!$P$5:$Q$6,2,0),C388)</f>
        <v>#N/A</v>
      </c>
      <c r="D389" s="22" t="e">
        <f>IF(D388=VLOOKUP(C388,Lookup!$P$5:$R$6,3,0),1,D388+1)</f>
        <v>#N/A</v>
      </c>
      <c r="E389" s="9" t="e">
        <f>IF(C389=Lookup!$P$5,INDEX('view-code'!$P$3:$P$502,'group-code'!D389),"")</f>
        <v>#N/A</v>
      </c>
      <c r="F389" s="9" t="e">
        <f>IF(C389=Lookup!$P$6,INDEX('card-code'!$P$3:$P$502,'group-code'!D389),"")</f>
        <v>#N/A</v>
      </c>
      <c r="G389" s="9" t="str">
        <f t="shared" si="11"/>
        <v/>
      </c>
      <c r="H389" s="9" t="str">
        <f>_xlfn.IFNA(IF(C389=Lookup!$Q$6,"END",""),"")</f>
        <v/>
      </c>
    </row>
    <row r="390" spans="2:8" x14ac:dyDescent="0.45">
      <c r="B390" s="9">
        <f t="shared" si="10"/>
        <v>385</v>
      </c>
      <c r="C390" s="9" t="e">
        <f>IF(D389=VLOOKUP(C389,Lookup!$P$5:$R$6,3,0),VLOOKUP(C389,Lookup!$P$5:$Q$6,2,0),C389)</f>
        <v>#N/A</v>
      </c>
      <c r="D390" s="22" t="e">
        <f>IF(D389=VLOOKUP(C389,Lookup!$P$5:$R$6,3,0),1,D389+1)</f>
        <v>#N/A</v>
      </c>
      <c r="E390" s="9" t="e">
        <f>IF(C390=Lookup!$P$5,INDEX('view-code'!$P$3:$P$502,'group-code'!D390),"")</f>
        <v>#N/A</v>
      </c>
      <c r="F390" s="9" t="e">
        <f>IF(C390=Lookup!$P$6,INDEX('card-code'!$P$3:$P$502,'group-code'!D390),"")</f>
        <v>#N/A</v>
      </c>
      <c r="G390" s="9" t="str">
        <f t="shared" si="11"/>
        <v/>
      </c>
      <c r="H390" s="9" t="str">
        <f>_xlfn.IFNA(IF(C390=Lookup!$Q$6,"END",""),"")</f>
        <v/>
      </c>
    </row>
    <row r="391" spans="2:8" x14ac:dyDescent="0.45">
      <c r="B391" s="9">
        <f t="shared" si="10"/>
        <v>386</v>
      </c>
      <c r="C391" s="9" t="e">
        <f>IF(D390=VLOOKUP(C390,Lookup!$P$5:$R$6,3,0),VLOOKUP(C390,Lookup!$P$5:$Q$6,2,0),C390)</f>
        <v>#N/A</v>
      </c>
      <c r="D391" s="22" t="e">
        <f>IF(D390=VLOOKUP(C390,Lookup!$P$5:$R$6,3,0),1,D390+1)</f>
        <v>#N/A</v>
      </c>
      <c r="E391" s="9" t="e">
        <f>IF(C391=Lookup!$P$5,INDEX('view-code'!$P$3:$P$502,'group-code'!D391),"")</f>
        <v>#N/A</v>
      </c>
      <c r="F391" s="9" t="e">
        <f>IF(C391=Lookup!$P$6,INDEX('card-code'!$P$3:$P$502,'group-code'!D391),"")</f>
        <v>#N/A</v>
      </c>
      <c r="G391" s="9" t="str">
        <f t="shared" si="11"/>
        <v/>
      </c>
      <c r="H391" s="9" t="str">
        <f>_xlfn.IFNA(IF(C391=Lookup!$Q$6,"END",""),"")</f>
        <v/>
      </c>
    </row>
    <row r="392" spans="2:8" x14ac:dyDescent="0.45">
      <c r="B392" s="9">
        <f t="shared" ref="B392:B455" si="12">B391+1</f>
        <v>387</v>
      </c>
      <c r="C392" s="9" t="e">
        <f>IF(D391=VLOOKUP(C391,Lookup!$P$5:$R$6,3,0),VLOOKUP(C391,Lookup!$P$5:$Q$6,2,0),C391)</f>
        <v>#N/A</v>
      </c>
      <c r="D392" s="22" t="e">
        <f>IF(D391=VLOOKUP(C391,Lookup!$P$5:$R$6,3,0),1,D391+1)</f>
        <v>#N/A</v>
      </c>
      <c r="E392" s="9" t="e">
        <f>IF(C392=Lookup!$P$5,INDEX('view-code'!$P$3:$P$502,'group-code'!D392),"")</f>
        <v>#N/A</v>
      </c>
      <c r="F392" s="9" t="e">
        <f>IF(C392=Lookup!$P$6,INDEX('card-code'!$P$3:$P$502,'group-code'!D392),"")</f>
        <v>#N/A</v>
      </c>
      <c r="G392" s="9" t="str">
        <f t="shared" ref="G392:G455" si="13">_xlfn.IFNA(  E392&amp;F392,  "")</f>
        <v/>
      </c>
      <c r="H392" s="9" t="str">
        <f>_xlfn.IFNA(IF(C392=Lookup!$Q$6,"END",""),"")</f>
        <v/>
      </c>
    </row>
    <row r="393" spans="2:8" x14ac:dyDescent="0.45">
      <c r="B393" s="9">
        <f t="shared" si="12"/>
        <v>388</v>
      </c>
      <c r="C393" s="9" t="e">
        <f>IF(D392=VLOOKUP(C392,Lookup!$P$5:$R$6,3,0),VLOOKUP(C392,Lookup!$P$5:$Q$6,2,0),C392)</f>
        <v>#N/A</v>
      </c>
      <c r="D393" s="22" t="e">
        <f>IF(D392=VLOOKUP(C392,Lookup!$P$5:$R$6,3,0),1,D392+1)</f>
        <v>#N/A</v>
      </c>
      <c r="E393" s="9" t="e">
        <f>IF(C393=Lookup!$P$5,INDEX('view-code'!$P$3:$P$502,'group-code'!D393),"")</f>
        <v>#N/A</v>
      </c>
      <c r="F393" s="9" t="e">
        <f>IF(C393=Lookup!$P$6,INDEX('card-code'!$P$3:$P$502,'group-code'!D393),"")</f>
        <v>#N/A</v>
      </c>
      <c r="G393" s="9" t="str">
        <f t="shared" si="13"/>
        <v/>
      </c>
      <c r="H393" s="9" t="str">
        <f>_xlfn.IFNA(IF(C393=Lookup!$Q$6,"END",""),"")</f>
        <v/>
      </c>
    </row>
    <row r="394" spans="2:8" x14ac:dyDescent="0.45">
      <c r="B394" s="9">
        <f t="shared" si="12"/>
        <v>389</v>
      </c>
      <c r="C394" s="9" t="e">
        <f>IF(D393=VLOOKUP(C393,Lookup!$P$5:$R$6,3,0),VLOOKUP(C393,Lookup!$P$5:$Q$6,2,0),C393)</f>
        <v>#N/A</v>
      </c>
      <c r="D394" s="22" t="e">
        <f>IF(D393=VLOOKUP(C393,Lookup!$P$5:$R$6,3,0),1,D393+1)</f>
        <v>#N/A</v>
      </c>
      <c r="E394" s="9" t="e">
        <f>IF(C394=Lookup!$P$5,INDEX('view-code'!$P$3:$P$502,'group-code'!D394),"")</f>
        <v>#N/A</v>
      </c>
      <c r="F394" s="9" t="e">
        <f>IF(C394=Lookup!$P$6,INDEX('card-code'!$P$3:$P$502,'group-code'!D394),"")</f>
        <v>#N/A</v>
      </c>
      <c r="G394" s="9" t="str">
        <f t="shared" si="13"/>
        <v/>
      </c>
      <c r="H394" s="9" t="str">
        <f>_xlfn.IFNA(IF(C394=Lookup!$Q$6,"END",""),"")</f>
        <v/>
      </c>
    </row>
    <row r="395" spans="2:8" x14ac:dyDescent="0.45">
      <c r="B395" s="9">
        <f t="shared" si="12"/>
        <v>390</v>
      </c>
      <c r="C395" s="9" t="e">
        <f>IF(D394=VLOOKUP(C394,Lookup!$P$5:$R$6,3,0),VLOOKUP(C394,Lookup!$P$5:$Q$6,2,0),C394)</f>
        <v>#N/A</v>
      </c>
      <c r="D395" s="22" t="e">
        <f>IF(D394=VLOOKUP(C394,Lookup!$P$5:$R$6,3,0),1,D394+1)</f>
        <v>#N/A</v>
      </c>
      <c r="E395" s="9" t="e">
        <f>IF(C395=Lookup!$P$5,INDEX('view-code'!$P$3:$P$502,'group-code'!D395),"")</f>
        <v>#N/A</v>
      </c>
      <c r="F395" s="9" t="e">
        <f>IF(C395=Lookup!$P$6,INDEX('card-code'!$P$3:$P$502,'group-code'!D395),"")</f>
        <v>#N/A</v>
      </c>
      <c r="G395" s="9" t="str">
        <f t="shared" si="13"/>
        <v/>
      </c>
      <c r="H395" s="9" t="str">
        <f>_xlfn.IFNA(IF(C395=Lookup!$Q$6,"END",""),"")</f>
        <v/>
      </c>
    </row>
    <row r="396" spans="2:8" x14ac:dyDescent="0.45">
      <c r="B396" s="9">
        <f t="shared" si="12"/>
        <v>391</v>
      </c>
      <c r="C396" s="9" t="e">
        <f>IF(D395=VLOOKUP(C395,Lookup!$P$5:$R$6,3,0),VLOOKUP(C395,Lookup!$P$5:$Q$6,2,0),C395)</f>
        <v>#N/A</v>
      </c>
      <c r="D396" s="22" t="e">
        <f>IF(D395=VLOOKUP(C395,Lookup!$P$5:$R$6,3,0),1,D395+1)</f>
        <v>#N/A</v>
      </c>
      <c r="E396" s="9" t="e">
        <f>IF(C396=Lookup!$P$5,INDEX('view-code'!$P$3:$P$502,'group-code'!D396),"")</f>
        <v>#N/A</v>
      </c>
      <c r="F396" s="9" t="e">
        <f>IF(C396=Lookup!$P$6,INDEX('card-code'!$P$3:$P$502,'group-code'!D396),"")</f>
        <v>#N/A</v>
      </c>
      <c r="G396" s="9" t="str">
        <f t="shared" si="13"/>
        <v/>
      </c>
      <c r="H396" s="9" t="str">
        <f>_xlfn.IFNA(IF(C396=Lookup!$Q$6,"END",""),"")</f>
        <v/>
      </c>
    </row>
    <row r="397" spans="2:8" x14ac:dyDescent="0.45">
      <c r="B397" s="9">
        <f t="shared" si="12"/>
        <v>392</v>
      </c>
      <c r="C397" s="9" t="e">
        <f>IF(D396=VLOOKUP(C396,Lookup!$P$5:$R$6,3,0),VLOOKUP(C396,Lookup!$P$5:$Q$6,2,0),C396)</f>
        <v>#N/A</v>
      </c>
      <c r="D397" s="22" t="e">
        <f>IF(D396=VLOOKUP(C396,Lookup!$P$5:$R$6,3,0),1,D396+1)</f>
        <v>#N/A</v>
      </c>
      <c r="E397" s="9" t="e">
        <f>IF(C397=Lookup!$P$5,INDEX('view-code'!$P$3:$P$502,'group-code'!D397),"")</f>
        <v>#N/A</v>
      </c>
      <c r="F397" s="9" t="e">
        <f>IF(C397=Lookup!$P$6,INDEX('card-code'!$P$3:$P$502,'group-code'!D397),"")</f>
        <v>#N/A</v>
      </c>
      <c r="G397" s="9" t="str">
        <f t="shared" si="13"/>
        <v/>
      </c>
      <c r="H397" s="9" t="str">
        <f>_xlfn.IFNA(IF(C397=Lookup!$Q$6,"END",""),"")</f>
        <v/>
      </c>
    </row>
    <row r="398" spans="2:8" x14ac:dyDescent="0.45">
      <c r="B398" s="9">
        <f t="shared" si="12"/>
        <v>393</v>
      </c>
      <c r="C398" s="9" t="e">
        <f>IF(D397=VLOOKUP(C397,Lookup!$P$5:$R$6,3,0),VLOOKUP(C397,Lookup!$P$5:$Q$6,2,0),C397)</f>
        <v>#N/A</v>
      </c>
      <c r="D398" s="22" t="e">
        <f>IF(D397=VLOOKUP(C397,Lookup!$P$5:$R$6,3,0),1,D397+1)</f>
        <v>#N/A</v>
      </c>
      <c r="E398" s="9" t="e">
        <f>IF(C398=Lookup!$P$5,INDEX('view-code'!$P$3:$P$502,'group-code'!D398),"")</f>
        <v>#N/A</v>
      </c>
      <c r="F398" s="9" t="e">
        <f>IF(C398=Lookup!$P$6,INDEX('card-code'!$P$3:$P$502,'group-code'!D398),"")</f>
        <v>#N/A</v>
      </c>
      <c r="G398" s="9" t="str">
        <f t="shared" si="13"/>
        <v/>
      </c>
      <c r="H398" s="9" t="str">
        <f>_xlfn.IFNA(IF(C398=Lookup!$Q$6,"END",""),"")</f>
        <v/>
      </c>
    </row>
    <row r="399" spans="2:8" x14ac:dyDescent="0.45">
      <c r="B399" s="9">
        <f t="shared" si="12"/>
        <v>394</v>
      </c>
      <c r="C399" s="9" t="e">
        <f>IF(D398=VLOOKUP(C398,Lookup!$P$5:$R$6,3,0),VLOOKUP(C398,Lookup!$P$5:$Q$6,2,0),C398)</f>
        <v>#N/A</v>
      </c>
      <c r="D399" s="22" t="e">
        <f>IF(D398=VLOOKUP(C398,Lookup!$P$5:$R$6,3,0),1,D398+1)</f>
        <v>#N/A</v>
      </c>
      <c r="E399" s="9" t="e">
        <f>IF(C399=Lookup!$P$5,INDEX('view-code'!$P$3:$P$502,'group-code'!D399),"")</f>
        <v>#N/A</v>
      </c>
      <c r="F399" s="9" t="e">
        <f>IF(C399=Lookup!$P$6,INDEX('card-code'!$P$3:$P$502,'group-code'!D399),"")</f>
        <v>#N/A</v>
      </c>
      <c r="G399" s="9" t="str">
        <f t="shared" si="13"/>
        <v/>
      </c>
      <c r="H399" s="9" t="str">
        <f>_xlfn.IFNA(IF(C399=Lookup!$Q$6,"END",""),"")</f>
        <v/>
      </c>
    </row>
    <row r="400" spans="2:8" x14ac:dyDescent="0.45">
      <c r="B400" s="9">
        <f t="shared" si="12"/>
        <v>395</v>
      </c>
      <c r="C400" s="9" t="e">
        <f>IF(D399=VLOOKUP(C399,Lookup!$P$5:$R$6,3,0),VLOOKUP(C399,Lookup!$P$5:$Q$6,2,0),C399)</f>
        <v>#N/A</v>
      </c>
      <c r="D400" s="22" t="e">
        <f>IF(D399=VLOOKUP(C399,Lookup!$P$5:$R$6,3,0),1,D399+1)</f>
        <v>#N/A</v>
      </c>
      <c r="E400" s="9" t="e">
        <f>IF(C400=Lookup!$P$5,INDEX('view-code'!$P$3:$P$502,'group-code'!D400),"")</f>
        <v>#N/A</v>
      </c>
      <c r="F400" s="9" t="e">
        <f>IF(C400=Lookup!$P$6,INDEX('card-code'!$P$3:$P$502,'group-code'!D400),"")</f>
        <v>#N/A</v>
      </c>
      <c r="G400" s="9" t="str">
        <f t="shared" si="13"/>
        <v/>
      </c>
      <c r="H400" s="9" t="str">
        <f>_xlfn.IFNA(IF(C400=Lookup!$Q$6,"END",""),"")</f>
        <v/>
      </c>
    </row>
    <row r="401" spans="2:8" x14ac:dyDescent="0.45">
      <c r="B401" s="9">
        <f t="shared" si="12"/>
        <v>396</v>
      </c>
      <c r="C401" s="9" t="e">
        <f>IF(D400=VLOOKUP(C400,Lookup!$P$5:$R$6,3,0),VLOOKUP(C400,Lookup!$P$5:$Q$6,2,0),C400)</f>
        <v>#N/A</v>
      </c>
      <c r="D401" s="22" t="e">
        <f>IF(D400=VLOOKUP(C400,Lookup!$P$5:$R$6,3,0),1,D400+1)</f>
        <v>#N/A</v>
      </c>
      <c r="E401" s="9" t="e">
        <f>IF(C401=Lookup!$P$5,INDEX('view-code'!$P$3:$P$502,'group-code'!D401),"")</f>
        <v>#N/A</v>
      </c>
      <c r="F401" s="9" t="e">
        <f>IF(C401=Lookup!$P$6,INDEX('card-code'!$P$3:$P$502,'group-code'!D401),"")</f>
        <v>#N/A</v>
      </c>
      <c r="G401" s="9" t="str">
        <f t="shared" si="13"/>
        <v/>
      </c>
      <c r="H401" s="9" t="str">
        <f>_xlfn.IFNA(IF(C401=Lookup!$Q$6,"END",""),"")</f>
        <v/>
      </c>
    </row>
    <row r="402" spans="2:8" x14ac:dyDescent="0.45">
      <c r="B402" s="9">
        <f t="shared" si="12"/>
        <v>397</v>
      </c>
      <c r="C402" s="9" t="e">
        <f>IF(D401=VLOOKUP(C401,Lookup!$P$5:$R$6,3,0),VLOOKUP(C401,Lookup!$P$5:$Q$6,2,0),C401)</f>
        <v>#N/A</v>
      </c>
      <c r="D402" s="22" t="e">
        <f>IF(D401=VLOOKUP(C401,Lookup!$P$5:$R$6,3,0),1,D401+1)</f>
        <v>#N/A</v>
      </c>
      <c r="E402" s="9" t="e">
        <f>IF(C402=Lookup!$P$5,INDEX('view-code'!$P$3:$P$502,'group-code'!D402),"")</f>
        <v>#N/A</v>
      </c>
      <c r="F402" s="9" t="e">
        <f>IF(C402=Lookup!$P$6,INDEX('card-code'!$P$3:$P$502,'group-code'!D402),"")</f>
        <v>#N/A</v>
      </c>
      <c r="G402" s="9" t="str">
        <f t="shared" si="13"/>
        <v/>
      </c>
      <c r="H402" s="9" t="str">
        <f>_xlfn.IFNA(IF(C402=Lookup!$Q$6,"END",""),"")</f>
        <v/>
      </c>
    </row>
    <row r="403" spans="2:8" x14ac:dyDescent="0.45">
      <c r="B403" s="9">
        <f t="shared" si="12"/>
        <v>398</v>
      </c>
      <c r="C403" s="9" t="e">
        <f>IF(D402=VLOOKUP(C402,Lookup!$P$5:$R$6,3,0),VLOOKUP(C402,Lookup!$P$5:$Q$6,2,0),C402)</f>
        <v>#N/A</v>
      </c>
      <c r="D403" s="22" t="e">
        <f>IF(D402=VLOOKUP(C402,Lookup!$P$5:$R$6,3,0),1,D402+1)</f>
        <v>#N/A</v>
      </c>
      <c r="E403" s="9" t="e">
        <f>IF(C403=Lookup!$P$5,INDEX('view-code'!$P$3:$P$502,'group-code'!D403),"")</f>
        <v>#N/A</v>
      </c>
      <c r="F403" s="9" t="e">
        <f>IF(C403=Lookup!$P$6,INDEX('card-code'!$P$3:$P$502,'group-code'!D403),"")</f>
        <v>#N/A</v>
      </c>
      <c r="G403" s="9" t="str">
        <f t="shared" si="13"/>
        <v/>
      </c>
      <c r="H403" s="9" t="str">
        <f>_xlfn.IFNA(IF(C403=Lookup!$Q$6,"END",""),"")</f>
        <v/>
      </c>
    </row>
    <row r="404" spans="2:8" x14ac:dyDescent="0.45">
      <c r="B404" s="9">
        <f t="shared" si="12"/>
        <v>399</v>
      </c>
      <c r="C404" s="9" t="e">
        <f>IF(D403=VLOOKUP(C403,Lookup!$P$5:$R$6,3,0),VLOOKUP(C403,Lookup!$P$5:$Q$6,2,0),C403)</f>
        <v>#N/A</v>
      </c>
      <c r="D404" s="22" t="e">
        <f>IF(D403=VLOOKUP(C403,Lookup!$P$5:$R$6,3,0),1,D403+1)</f>
        <v>#N/A</v>
      </c>
      <c r="E404" s="9" t="e">
        <f>IF(C404=Lookup!$P$5,INDEX('view-code'!$P$3:$P$502,'group-code'!D404),"")</f>
        <v>#N/A</v>
      </c>
      <c r="F404" s="9" t="e">
        <f>IF(C404=Lookup!$P$6,INDEX('card-code'!$P$3:$P$502,'group-code'!D404),"")</f>
        <v>#N/A</v>
      </c>
      <c r="G404" s="9" t="str">
        <f t="shared" si="13"/>
        <v/>
      </c>
      <c r="H404" s="9" t="str">
        <f>_xlfn.IFNA(IF(C404=Lookup!$Q$6,"END",""),"")</f>
        <v/>
      </c>
    </row>
    <row r="405" spans="2:8" x14ac:dyDescent="0.45">
      <c r="B405" s="9">
        <f t="shared" si="12"/>
        <v>400</v>
      </c>
      <c r="C405" s="9" t="e">
        <f>IF(D404=VLOOKUP(C404,Lookup!$P$5:$R$6,3,0),VLOOKUP(C404,Lookup!$P$5:$Q$6,2,0),C404)</f>
        <v>#N/A</v>
      </c>
      <c r="D405" s="22" t="e">
        <f>IF(D404=VLOOKUP(C404,Lookup!$P$5:$R$6,3,0),1,D404+1)</f>
        <v>#N/A</v>
      </c>
      <c r="E405" s="9" t="e">
        <f>IF(C405=Lookup!$P$5,INDEX('view-code'!$P$3:$P$502,'group-code'!D405),"")</f>
        <v>#N/A</v>
      </c>
      <c r="F405" s="9" t="e">
        <f>IF(C405=Lookup!$P$6,INDEX('card-code'!$P$3:$P$502,'group-code'!D405),"")</f>
        <v>#N/A</v>
      </c>
      <c r="G405" s="9" t="str">
        <f t="shared" si="13"/>
        <v/>
      </c>
      <c r="H405" s="9" t="str">
        <f>_xlfn.IFNA(IF(C405=Lookup!$Q$6,"END",""),"")</f>
        <v/>
      </c>
    </row>
    <row r="406" spans="2:8" x14ac:dyDescent="0.45">
      <c r="B406" s="9">
        <f t="shared" si="12"/>
        <v>401</v>
      </c>
      <c r="C406" s="9" t="e">
        <f>IF(D405=VLOOKUP(C405,Lookup!$P$5:$R$6,3,0),VLOOKUP(C405,Lookup!$P$5:$Q$6,2,0),C405)</f>
        <v>#N/A</v>
      </c>
      <c r="D406" s="22" t="e">
        <f>IF(D405=VLOOKUP(C405,Lookup!$P$5:$R$6,3,0),1,D405+1)</f>
        <v>#N/A</v>
      </c>
      <c r="E406" s="9" t="e">
        <f>IF(C406=Lookup!$P$5,INDEX('view-code'!$P$3:$P$502,'group-code'!D406),"")</f>
        <v>#N/A</v>
      </c>
      <c r="F406" s="9" t="e">
        <f>IF(C406=Lookup!$P$6,INDEX('card-code'!$P$3:$P$502,'group-code'!D406),"")</f>
        <v>#N/A</v>
      </c>
      <c r="G406" s="9" t="str">
        <f t="shared" si="13"/>
        <v/>
      </c>
      <c r="H406" s="9" t="str">
        <f>_xlfn.IFNA(IF(C406=Lookup!$Q$6,"END",""),"")</f>
        <v/>
      </c>
    </row>
    <row r="407" spans="2:8" x14ac:dyDescent="0.45">
      <c r="B407" s="9">
        <f t="shared" si="12"/>
        <v>402</v>
      </c>
      <c r="C407" s="9" t="e">
        <f>IF(D406=VLOOKUP(C406,Lookup!$P$5:$R$6,3,0),VLOOKUP(C406,Lookup!$P$5:$Q$6,2,0),C406)</f>
        <v>#N/A</v>
      </c>
      <c r="D407" s="22" t="e">
        <f>IF(D406=VLOOKUP(C406,Lookup!$P$5:$R$6,3,0),1,D406+1)</f>
        <v>#N/A</v>
      </c>
      <c r="E407" s="9" t="e">
        <f>IF(C407=Lookup!$P$5,INDEX('view-code'!$P$3:$P$502,'group-code'!D407),"")</f>
        <v>#N/A</v>
      </c>
      <c r="F407" s="9" t="e">
        <f>IF(C407=Lookup!$P$6,INDEX('card-code'!$P$3:$P$502,'group-code'!D407),"")</f>
        <v>#N/A</v>
      </c>
      <c r="G407" s="9" t="str">
        <f t="shared" si="13"/>
        <v/>
      </c>
      <c r="H407" s="9" t="str">
        <f>_xlfn.IFNA(IF(C407=Lookup!$Q$6,"END",""),"")</f>
        <v/>
      </c>
    </row>
    <row r="408" spans="2:8" x14ac:dyDescent="0.45">
      <c r="B408" s="9">
        <f t="shared" si="12"/>
        <v>403</v>
      </c>
      <c r="C408" s="9" t="e">
        <f>IF(D407=VLOOKUP(C407,Lookup!$P$5:$R$6,3,0),VLOOKUP(C407,Lookup!$P$5:$Q$6,2,0),C407)</f>
        <v>#N/A</v>
      </c>
      <c r="D408" s="22" t="e">
        <f>IF(D407=VLOOKUP(C407,Lookup!$P$5:$R$6,3,0),1,D407+1)</f>
        <v>#N/A</v>
      </c>
      <c r="E408" s="9" t="e">
        <f>IF(C408=Lookup!$P$5,INDEX('view-code'!$P$3:$P$502,'group-code'!D408),"")</f>
        <v>#N/A</v>
      </c>
      <c r="F408" s="9" t="e">
        <f>IF(C408=Lookup!$P$6,INDEX('card-code'!$P$3:$P$502,'group-code'!D408),"")</f>
        <v>#N/A</v>
      </c>
      <c r="G408" s="9" t="str">
        <f t="shared" si="13"/>
        <v/>
      </c>
      <c r="H408" s="9" t="str">
        <f>_xlfn.IFNA(IF(C408=Lookup!$Q$6,"END",""),"")</f>
        <v/>
      </c>
    </row>
    <row r="409" spans="2:8" x14ac:dyDescent="0.45">
      <c r="B409" s="9">
        <f t="shared" si="12"/>
        <v>404</v>
      </c>
      <c r="C409" s="9" t="e">
        <f>IF(D408=VLOOKUP(C408,Lookup!$P$5:$R$6,3,0),VLOOKUP(C408,Lookup!$P$5:$Q$6,2,0),C408)</f>
        <v>#N/A</v>
      </c>
      <c r="D409" s="22" t="e">
        <f>IF(D408=VLOOKUP(C408,Lookup!$P$5:$R$6,3,0),1,D408+1)</f>
        <v>#N/A</v>
      </c>
      <c r="E409" s="9" t="e">
        <f>IF(C409=Lookup!$P$5,INDEX('view-code'!$P$3:$P$502,'group-code'!D409),"")</f>
        <v>#N/A</v>
      </c>
      <c r="F409" s="9" t="e">
        <f>IF(C409=Lookup!$P$6,INDEX('card-code'!$P$3:$P$502,'group-code'!D409),"")</f>
        <v>#N/A</v>
      </c>
      <c r="G409" s="9" t="str">
        <f t="shared" si="13"/>
        <v/>
      </c>
      <c r="H409" s="9" t="str">
        <f>_xlfn.IFNA(IF(C409=Lookup!$Q$6,"END",""),"")</f>
        <v/>
      </c>
    </row>
    <row r="410" spans="2:8" x14ac:dyDescent="0.45">
      <c r="B410" s="9">
        <f t="shared" si="12"/>
        <v>405</v>
      </c>
      <c r="C410" s="9" t="e">
        <f>IF(D409=VLOOKUP(C409,Lookup!$P$5:$R$6,3,0),VLOOKUP(C409,Lookup!$P$5:$Q$6,2,0),C409)</f>
        <v>#N/A</v>
      </c>
      <c r="D410" s="22" t="e">
        <f>IF(D409=VLOOKUP(C409,Lookup!$P$5:$R$6,3,0),1,D409+1)</f>
        <v>#N/A</v>
      </c>
      <c r="E410" s="9" t="e">
        <f>IF(C410=Lookup!$P$5,INDEX('view-code'!$P$3:$P$502,'group-code'!D410),"")</f>
        <v>#N/A</v>
      </c>
      <c r="F410" s="9" t="e">
        <f>IF(C410=Lookup!$P$6,INDEX('card-code'!$P$3:$P$502,'group-code'!D410),"")</f>
        <v>#N/A</v>
      </c>
      <c r="G410" s="9" t="str">
        <f t="shared" si="13"/>
        <v/>
      </c>
      <c r="H410" s="9" t="str">
        <f>_xlfn.IFNA(IF(C410=Lookup!$Q$6,"END",""),"")</f>
        <v/>
      </c>
    </row>
    <row r="411" spans="2:8" x14ac:dyDescent="0.45">
      <c r="B411" s="9">
        <f t="shared" si="12"/>
        <v>406</v>
      </c>
      <c r="C411" s="9" t="e">
        <f>IF(D410=VLOOKUP(C410,Lookup!$P$5:$R$6,3,0),VLOOKUP(C410,Lookup!$P$5:$Q$6,2,0),C410)</f>
        <v>#N/A</v>
      </c>
      <c r="D411" s="22" t="e">
        <f>IF(D410=VLOOKUP(C410,Lookup!$P$5:$R$6,3,0),1,D410+1)</f>
        <v>#N/A</v>
      </c>
      <c r="E411" s="9" t="e">
        <f>IF(C411=Lookup!$P$5,INDEX('view-code'!$P$3:$P$502,'group-code'!D411),"")</f>
        <v>#N/A</v>
      </c>
      <c r="F411" s="9" t="e">
        <f>IF(C411=Lookup!$P$6,INDEX('card-code'!$P$3:$P$502,'group-code'!D411),"")</f>
        <v>#N/A</v>
      </c>
      <c r="G411" s="9" t="str">
        <f t="shared" si="13"/>
        <v/>
      </c>
      <c r="H411" s="9" t="str">
        <f>_xlfn.IFNA(IF(C411=Lookup!$Q$6,"END",""),"")</f>
        <v/>
      </c>
    </row>
    <row r="412" spans="2:8" x14ac:dyDescent="0.45">
      <c r="B412" s="9">
        <f t="shared" si="12"/>
        <v>407</v>
      </c>
      <c r="C412" s="9" t="e">
        <f>IF(D411=VLOOKUP(C411,Lookup!$P$5:$R$6,3,0),VLOOKUP(C411,Lookup!$P$5:$Q$6,2,0),C411)</f>
        <v>#N/A</v>
      </c>
      <c r="D412" s="22" t="e">
        <f>IF(D411=VLOOKUP(C411,Lookup!$P$5:$R$6,3,0),1,D411+1)</f>
        <v>#N/A</v>
      </c>
      <c r="E412" s="9" t="e">
        <f>IF(C412=Lookup!$P$5,INDEX('view-code'!$P$3:$P$502,'group-code'!D412),"")</f>
        <v>#N/A</v>
      </c>
      <c r="F412" s="9" t="e">
        <f>IF(C412=Lookup!$P$6,INDEX('card-code'!$P$3:$P$502,'group-code'!D412),"")</f>
        <v>#N/A</v>
      </c>
      <c r="G412" s="9" t="str">
        <f t="shared" si="13"/>
        <v/>
      </c>
      <c r="H412" s="9" t="str">
        <f>_xlfn.IFNA(IF(C412=Lookup!$Q$6,"END",""),"")</f>
        <v/>
      </c>
    </row>
    <row r="413" spans="2:8" x14ac:dyDescent="0.45">
      <c r="B413" s="9">
        <f t="shared" si="12"/>
        <v>408</v>
      </c>
      <c r="C413" s="9" t="e">
        <f>IF(D412=VLOOKUP(C412,Lookup!$P$5:$R$6,3,0),VLOOKUP(C412,Lookup!$P$5:$Q$6,2,0),C412)</f>
        <v>#N/A</v>
      </c>
      <c r="D413" s="22" t="e">
        <f>IF(D412=VLOOKUP(C412,Lookup!$P$5:$R$6,3,0),1,D412+1)</f>
        <v>#N/A</v>
      </c>
      <c r="E413" s="9" t="e">
        <f>IF(C413=Lookup!$P$5,INDEX('view-code'!$P$3:$P$502,'group-code'!D413),"")</f>
        <v>#N/A</v>
      </c>
      <c r="F413" s="9" t="e">
        <f>IF(C413=Lookup!$P$6,INDEX('card-code'!$P$3:$P$502,'group-code'!D413),"")</f>
        <v>#N/A</v>
      </c>
      <c r="G413" s="9" t="str">
        <f t="shared" si="13"/>
        <v/>
      </c>
      <c r="H413" s="9" t="str">
        <f>_xlfn.IFNA(IF(C413=Lookup!$Q$6,"END",""),"")</f>
        <v/>
      </c>
    </row>
    <row r="414" spans="2:8" x14ac:dyDescent="0.45">
      <c r="B414" s="9">
        <f t="shared" si="12"/>
        <v>409</v>
      </c>
      <c r="C414" s="9" t="e">
        <f>IF(D413=VLOOKUP(C413,Lookup!$P$5:$R$6,3,0),VLOOKUP(C413,Lookup!$P$5:$Q$6,2,0),C413)</f>
        <v>#N/A</v>
      </c>
      <c r="D414" s="22" t="e">
        <f>IF(D413=VLOOKUP(C413,Lookup!$P$5:$R$6,3,0),1,D413+1)</f>
        <v>#N/A</v>
      </c>
      <c r="E414" s="9" t="e">
        <f>IF(C414=Lookup!$P$5,INDEX('view-code'!$P$3:$P$502,'group-code'!D414),"")</f>
        <v>#N/A</v>
      </c>
      <c r="F414" s="9" t="e">
        <f>IF(C414=Lookup!$P$6,INDEX('card-code'!$P$3:$P$502,'group-code'!D414),"")</f>
        <v>#N/A</v>
      </c>
      <c r="G414" s="9" t="str">
        <f t="shared" si="13"/>
        <v/>
      </c>
      <c r="H414" s="9" t="str">
        <f>_xlfn.IFNA(IF(C414=Lookup!$Q$6,"END",""),"")</f>
        <v/>
      </c>
    </row>
    <row r="415" spans="2:8" x14ac:dyDescent="0.45">
      <c r="B415" s="9">
        <f t="shared" si="12"/>
        <v>410</v>
      </c>
      <c r="C415" s="9" t="e">
        <f>IF(D414=VLOOKUP(C414,Lookup!$P$5:$R$6,3,0),VLOOKUP(C414,Lookup!$P$5:$Q$6,2,0),C414)</f>
        <v>#N/A</v>
      </c>
      <c r="D415" s="22" t="e">
        <f>IF(D414=VLOOKUP(C414,Lookup!$P$5:$R$6,3,0),1,D414+1)</f>
        <v>#N/A</v>
      </c>
      <c r="E415" s="9" t="e">
        <f>IF(C415=Lookup!$P$5,INDEX('view-code'!$P$3:$P$502,'group-code'!D415),"")</f>
        <v>#N/A</v>
      </c>
      <c r="F415" s="9" t="e">
        <f>IF(C415=Lookup!$P$6,INDEX('card-code'!$P$3:$P$502,'group-code'!D415),"")</f>
        <v>#N/A</v>
      </c>
      <c r="G415" s="9" t="str">
        <f t="shared" si="13"/>
        <v/>
      </c>
      <c r="H415" s="9" t="str">
        <f>_xlfn.IFNA(IF(C415=Lookup!$Q$6,"END",""),"")</f>
        <v/>
      </c>
    </row>
    <row r="416" spans="2:8" x14ac:dyDescent="0.45">
      <c r="B416" s="9">
        <f t="shared" si="12"/>
        <v>411</v>
      </c>
      <c r="C416" s="9" t="e">
        <f>IF(D415=VLOOKUP(C415,Lookup!$P$5:$R$6,3,0),VLOOKUP(C415,Lookup!$P$5:$Q$6,2,0),C415)</f>
        <v>#N/A</v>
      </c>
      <c r="D416" s="22" t="e">
        <f>IF(D415=VLOOKUP(C415,Lookup!$P$5:$R$6,3,0),1,D415+1)</f>
        <v>#N/A</v>
      </c>
      <c r="E416" s="9" t="e">
        <f>IF(C416=Lookup!$P$5,INDEX('view-code'!$P$3:$P$502,'group-code'!D416),"")</f>
        <v>#N/A</v>
      </c>
      <c r="F416" s="9" t="e">
        <f>IF(C416=Lookup!$P$6,INDEX('card-code'!$P$3:$P$502,'group-code'!D416),"")</f>
        <v>#N/A</v>
      </c>
      <c r="G416" s="9" t="str">
        <f t="shared" si="13"/>
        <v/>
      </c>
      <c r="H416" s="9" t="str">
        <f>_xlfn.IFNA(IF(C416=Lookup!$Q$6,"END",""),"")</f>
        <v/>
      </c>
    </row>
    <row r="417" spans="2:8" x14ac:dyDescent="0.45">
      <c r="B417" s="9">
        <f t="shared" si="12"/>
        <v>412</v>
      </c>
      <c r="C417" s="9" t="e">
        <f>IF(D416=VLOOKUP(C416,Lookup!$P$5:$R$6,3,0),VLOOKUP(C416,Lookup!$P$5:$Q$6,2,0),C416)</f>
        <v>#N/A</v>
      </c>
      <c r="D417" s="22" t="e">
        <f>IF(D416=VLOOKUP(C416,Lookup!$P$5:$R$6,3,0),1,D416+1)</f>
        <v>#N/A</v>
      </c>
      <c r="E417" s="9" t="e">
        <f>IF(C417=Lookup!$P$5,INDEX('view-code'!$P$3:$P$502,'group-code'!D417),"")</f>
        <v>#N/A</v>
      </c>
      <c r="F417" s="9" t="e">
        <f>IF(C417=Lookup!$P$6,INDEX('card-code'!$P$3:$P$502,'group-code'!D417),"")</f>
        <v>#N/A</v>
      </c>
      <c r="G417" s="9" t="str">
        <f t="shared" si="13"/>
        <v/>
      </c>
      <c r="H417" s="9" t="str">
        <f>_xlfn.IFNA(IF(C417=Lookup!$Q$6,"END",""),"")</f>
        <v/>
      </c>
    </row>
    <row r="418" spans="2:8" x14ac:dyDescent="0.45">
      <c r="B418" s="9">
        <f t="shared" si="12"/>
        <v>413</v>
      </c>
      <c r="C418" s="9" t="e">
        <f>IF(D417=VLOOKUP(C417,Lookup!$P$5:$R$6,3,0),VLOOKUP(C417,Lookup!$P$5:$Q$6,2,0),C417)</f>
        <v>#N/A</v>
      </c>
      <c r="D418" s="22" t="e">
        <f>IF(D417=VLOOKUP(C417,Lookup!$P$5:$R$6,3,0),1,D417+1)</f>
        <v>#N/A</v>
      </c>
      <c r="E418" s="9" t="e">
        <f>IF(C418=Lookup!$P$5,INDEX('view-code'!$P$3:$P$502,'group-code'!D418),"")</f>
        <v>#N/A</v>
      </c>
      <c r="F418" s="9" t="e">
        <f>IF(C418=Lookup!$P$6,INDEX('card-code'!$P$3:$P$502,'group-code'!D418),"")</f>
        <v>#N/A</v>
      </c>
      <c r="G418" s="9" t="str">
        <f t="shared" si="13"/>
        <v/>
      </c>
      <c r="H418" s="9" t="str">
        <f>_xlfn.IFNA(IF(C418=Lookup!$Q$6,"END",""),"")</f>
        <v/>
      </c>
    </row>
    <row r="419" spans="2:8" x14ac:dyDescent="0.45">
      <c r="B419" s="9">
        <f t="shared" si="12"/>
        <v>414</v>
      </c>
      <c r="C419" s="9" t="e">
        <f>IF(D418=VLOOKUP(C418,Lookup!$P$5:$R$6,3,0),VLOOKUP(C418,Lookup!$P$5:$Q$6,2,0),C418)</f>
        <v>#N/A</v>
      </c>
      <c r="D419" s="22" t="e">
        <f>IF(D418=VLOOKUP(C418,Lookup!$P$5:$R$6,3,0),1,D418+1)</f>
        <v>#N/A</v>
      </c>
      <c r="E419" s="9" t="e">
        <f>IF(C419=Lookup!$P$5,INDEX('view-code'!$P$3:$P$502,'group-code'!D419),"")</f>
        <v>#N/A</v>
      </c>
      <c r="F419" s="9" t="e">
        <f>IF(C419=Lookup!$P$6,INDEX('card-code'!$P$3:$P$502,'group-code'!D419),"")</f>
        <v>#N/A</v>
      </c>
      <c r="G419" s="9" t="str">
        <f t="shared" si="13"/>
        <v/>
      </c>
      <c r="H419" s="9" t="str">
        <f>_xlfn.IFNA(IF(C419=Lookup!$Q$6,"END",""),"")</f>
        <v/>
      </c>
    </row>
    <row r="420" spans="2:8" x14ac:dyDescent="0.45">
      <c r="B420" s="9">
        <f t="shared" si="12"/>
        <v>415</v>
      </c>
      <c r="C420" s="9" t="e">
        <f>IF(D419=VLOOKUP(C419,Lookup!$P$5:$R$6,3,0),VLOOKUP(C419,Lookup!$P$5:$Q$6,2,0),C419)</f>
        <v>#N/A</v>
      </c>
      <c r="D420" s="22" t="e">
        <f>IF(D419=VLOOKUP(C419,Lookup!$P$5:$R$6,3,0),1,D419+1)</f>
        <v>#N/A</v>
      </c>
      <c r="E420" s="9" t="e">
        <f>IF(C420=Lookup!$P$5,INDEX('view-code'!$P$3:$P$502,'group-code'!D420),"")</f>
        <v>#N/A</v>
      </c>
      <c r="F420" s="9" t="e">
        <f>IF(C420=Lookup!$P$6,INDEX('card-code'!$P$3:$P$502,'group-code'!D420),"")</f>
        <v>#N/A</v>
      </c>
      <c r="G420" s="9" t="str">
        <f t="shared" si="13"/>
        <v/>
      </c>
      <c r="H420" s="9" t="str">
        <f>_xlfn.IFNA(IF(C420=Lookup!$Q$6,"END",""),"")</f>
        <v/>
      </c>
    </row>
    <row r="421" spans="2:8" x14ac:dyDescent="0.45">
      <c r="B421" s="9">
        <f t="shared" si="12"/>
        <v>416</v>
      </c>
      <c r="C421" s="9" t="e">
        <f>IF(D420=VLOOKUP(C420,Lookup!$P$5:$R$6,3,0),VLOOKUP(C420,Lookup!$P$5:$Q$6,2,0),C420)</f>
        <v>#N/A</v>
      </c>
      <c r="D421" s="22" t="e">
        <f>IF(D420=VLOOKUP(C420,Lookup!$P$5:$R$6,3,0),1,D420+1)</f>
        <v>#N/A</v>
      </c>
      <c r="E421" s="9" t="e">
        <f>IF(C421=Lookup!$P$5,INDEX('view-code'!$P$3:$P$502,'group-code'!D421),"")</f>
        <v>#N/A</v>
      </c>
      <c r="F421" s="9" t="e">
        <f>IF(C421=Lookup!$P$6,INDEX('card-code'!$P$3:$P$502,'group-code'!D421),"")</f>
        <v>#N/A</v>
      </c>
      <c r="G421" s="9" t="str">
        <f t="shared" si="13"/>
        <v/>
      </c>
      <c r="H421" s="9" t="str">
        <f>_xlfn.IFNA(IF(C421=Lookup!$Q$6,"END",""),"")</f>
        <v/>
      </c>
    </row>
    <row r="422" spans="2:8" x14ac:dyDescent="0.45">
      <c r="B422" s="9">
        <f t="shared" si="12"/>
        <v>417</v>
      </c>
      <c r="C422" s="9" t="e">
        <f>IF(D421=VLOOKUP(C421,Lookup!$P$5:$R$6,3,0),VLOOKUP(C421,Lookup!$P$5:$Q$6,2,0),C421)</f>
        <v>#N/A</v>
      </c>
      <c r="D422" s="22" t="e">
        <f>IF(D421=VLOOKUP(C421,Lookup!$P$5:$R$6,3,0),1,D421+1)</f>
        <v>#N/A</v>
      </c>
      <c r="E422" s="9" t="e">
        <f>IF(C422=Lookup!$P$5,INDEX('view-code'!$P$3:$P$502,'group-code'!D422),"")</f>
        <v>#N/A</v>
      </c>
      <c r="F422" s="9" t="e">
        <f>IF(C422=Lookup!$P$6,INDEX('card-code'!$P$3:$P$502,'group-code'!D422),"")</f>
        <v>#N/A</v>
      </c>
      <c r="G422" s="9" t="str">
        <f t="shared" si="13"/>
        <v/>
      </c>
      <c r="H422" s="9" t="str">
        <f>_xlfn.IFNA(IF(C422=Lookup!$Q$6,"END",""),"")</f>
        <v/>
      </c>
    </row>
    <row r="423" spans="2:8" x14ac:dyDescent="0.45">
      <c r="B423" s="9">
        <f t="shared" si="12"/>
        <v>418</v>
      </c>
      <c r="C423" s="9" t="e">
        <f>IF(D422=VLOOKUP(C422,Lookup!$P$5:$R$6,3,0),VLOOKUP(C422,Lookup!$P$5:$Q$6,2,0),C422)</f>
        <v>#N/A</v>
      </c>
      <c r="D423" s="22" t="e">
        <f>IF(D422=VLOOKUP(C422,Lookup!$P$5:$R$6,3,0),1,D422+1)</f>
        <v>#N/A</v>
      </c>
      <c r="E423" s="9" t="e">
        <f>IF(C423=Lookup!$P$5,INDEX('view-code'!$P$3:$P$502,'group-code'!D423),"")</f>
        <v>#N/A</v>
      </c>
      <c r="F423" s="9" t="e">
        <f>IF(C423=Lookup!$P$6,INDEX('card-code'!$P$3:$P$502,'group-code'!D423),"")</f>
        <v>#N/A</v>
      </c>
      <c r="G423" s="9" t="str">
        <f t="shared" si="13"/>
        <v/>
      </c>
      <c r="H423" s="9" t="str">
        <f>_xlfn.IFNA(IF(C423=Lookup!$Q$6,"END",""),"")</f>
        <v/>
      </c>
    </row>
    <row r="424" spans="2:8" x14ac:dyDescent="0.45">
      <c r="B424" s="9">
        <f t="shared" si="12"/>
        <v>419</v>
      </c>
      <c r="C424" s="9" t="e">
        <f>IF(D423=VLOOKUP(C423,Lookup!$P$5:$R$6,3,0),VLOOKUP(C423,Lookup!$P$5:$Q$6,2,0),C423)</f>
        <v>#N/A</v>
      </c>
      <c r="D424" s="22" t="e">
        <f>IF(D423=VLOOKUP(C423,Lookup!$P$5:$R$6,3,0),1,D423+1)</f>
        <v>#N/A</v>
      </c>
      <c r="E424" s="9" t="e">
        <f>IF(C424=Lookup!$P$5,INDEX('view-code'!$P$3:$P$502,'group-code'!D424),"")</f>
        <v>#N/A</v>
      </c>
      <c r="F424" s="9" t="e">
        <f>IF(C424=Lookup!$P$6,INDEX('card-code'!$P$3:$P$502,'group-code'!D424),"")</f>
        <v>#N/A</v>
      </c>
      <c r="G424" s="9" t="str">
        <f t="shared" si="13"/>
        <v/>
      </c>
      <c r="H424" s="9" t="str">
        <f>_xlfn.IFNA(IF(C424=Lookup!$Q$6,"END",""),"")</f>
        <v/>
      </c>
    </row>
    <row r="425" spans="2:8" x14ac:dyDescent="0.45">
      <c r="B425" s="9">
        <f t="shared" si="12"/>
        <v>420</v>
      </c>
      <c r="C425" s="9" t="e">
        <f>IF(D424=VLOOKUP(C424,Lookup!$P$5:$R$6,3,0),VLOOKUP(C424,Lookup!$P$5:$Q$6,2,0),C424)</f>
        <v>#N/A</v>
      </c>
      <c r="D425" s="22" t="e">
        <f>IF(D424=VLOOKUP(C424,Lookup!$P$5:$R$6,3,0),1,D424+1)</f>
        <v>#N/A</v>
      </c>
      <c r="E425" s="9" t="e">
        <f>IF(C425=Lookup!$P$5,INDEX('view-code'!$P$3:$P$502,'group-code'!D425),"")</f>
        <v>#N/A</v>
      </c>
      <c r="F425" s="9" t="e">
        <f>IF(C425=Lookup!$P$6,INDEX('card-code'!$P$3:$P$502,'group-code'!D425),"")</f>
        <v>#N/A</v>
      </c>
      <c r="G425" s="9" t="str">
        <f t="shared" si="13"/>
        <v/>
      </c>
      <c r="H425" s="9" t="str">
        <f>_xlfn.IFNA(IF(C425=Lookup!$Q$6,"END",""),"")</f>
        <v/>
      </c>
    </row>
    <row r="426" spans="2:8" x14ac:dyDescent="0.45">
      <c r="B426" s="9">
        <f t="shared" si="12"/>
        <v>421</v>
      </c>
      <c r="C426" s="9" t="e">
        <f>IF(D425=VLOOKUP(C425,Lookup!$P$5:$R$6,3,0),VLOOKUP(C425,Lookup!$P$5:$Q$6,2,0),C425)</f>
        <v>#N/A</v>
      </c>
      <c r="D426" s="22" t="e">
        <f>IF(D425=VLOOKUP(C425,Lookup!$P$5:$R$6,3,0),1,D425+1)</f>
        <v>#N/A</v>
      </c>
      <c r="E426" s="9" t="e">
        <f>IF(C426=Lookup!$P$5,INDEX('view-code'!$P$3:$P$502,'group-code'!D426),"")</f>
        <v>#N/A</v>
      </c>
      <c r="F426" s="9" t="e">
        <f>IF(C426=Lookup!$P$6,INDEX('card-code'!$P$3:$P$502,'group-code'!D426),"")</f>
        <v>#N/A</v>
      </c>
      <c r="G426" s="9" t="str">
        <f t="shared" si="13"/>
        <v/>
      </c>
      <c r="H426" s="9" t="str">
        <f>_xlfn.IFNA(IF(C426=Lookup!$Q$6,"END",""),"")</f>
        <v/>
      </c>
    </row>
    <row r="427" spans="2:8" x14ac:dyDescent="0.45">
      <c r="B427" s="9">
        <f t="shared" si="12"/>
        <v>422</v>
      </c>
      <c r="C427" s="9" t="e">
        <f>IF(D426=VLOOKUP(C426,Lookup!$P$5:$R$6,3,0),VLOOKUP(C426,Lookup!$P$5:$Q$6,2,0),C426)</f>
        <v>#N/A</v>
      </c>
      <c r="D427" s="22" t="e">
        <f>IF(D426=VLOOKUP(C426,Lookup!$P$5:$R$6,3,0),1,D426+1)</f>
        <v>#N/A</v>
      </c>
      <c r="E427" s="9" t="e">
        <f>IF(C427=Lookup!$P$5,INDEX('view-code'!$P$3:$P$502,'group-code'!D427),"")</f>
        <v>#N/A</v>
      </c>
      <c r="F427" s="9" t="e">
        <f>IF(C427=Lookup!$P$6,INDEX('card-code'!$P$3:$P$502,'group-code'!D427),"")</f>
        <v>#N/A</v>
      </c>
      <c r="G427" s="9" t="str">
        <f t="shared" si="13"/>
        <v/>
      </c>
      <c r="H427" s="9" t="str">
        <f>_xlfn.IFNA(IF(C427=Lookup!$Q$6,"END",""),"")</f>
        <v/>
      </c>
    </row>
    <row r="428" spans="2:8" x14ac:dyDescent="0.45">
      <c r="B428" s="9">
        <f t="shared" si="12"/>
        <v>423</v>
      </c>
      <c r="C428" s="9" t="e">
        <f>IF(D427=VLOOKUP(C427,Lookup!$P$5:$R$6,3,0),VLOOKUP(C427,Lookup!$P$5:$Q$6,2,0),C427)</f>
        <v>#N/A</v>
      </c>
      <c r="D428" s="22" t="e">
        <f>IF(D427=VLOOKUP(C427,Lookup!$P$5:$R$6,3,0),1,D427+1)</f>
        <v>#N/A</v>
      </c>
      <c r="E428" s="9" t="e">
        <f>IF(C428=Lookup!$P$5,INDEX('view-code'!$P$3:$P$502,'group-code'!D428),"")</f>
        <v>#N/A</v>
      </c>
      <c r="F428" s="9" t="e">
        <f>IF(C428=Lookup!$P$6,INDEX('card-code'!$P$3:$P$502,'group-code'!D428),"")</f>
        <v>#N/A</v>
      </c>
      <c r="G428" s="9" t="str">
        <f t="shared" si="13"/>
        <v/>
      </c>
      <c r="H428" s="9" t="str">
        <f>_xlfn.IFNA(IF(C428=Lookup!$Q$6,"END",""),"")</f>
        <v/>
      </c>
    </row>
    <row r="429" spans="2:8" x14ac:dyDescent="0.45">
      <c r="B429" s="9">
        <f t="shared" si="12"/>
        <v>424</v>
      </c>
      <c r="C429" s="9" t="e">
        <f>IF(D428=VLOOKUP(C428,Lookup!$P$5:$R$6,3,0),VLOOKUP(C428,Lookup!$P$5:$Q$6,2,0),C428)</f>
        <v>#N/A</v>
      </c>
      <c r="D429" s="22" t="e">
        <f>IF(D428=VLOOKUP(C428,Lookup!$P$5:$R$6,3,0),1,D428+1)</f>
        <v>#N/A</v>
      </c>
      <c r="E429" s="9" t="e">
        <f>IF(C429=Lookup!$P$5,INDEX('view-code'!$P$3:$P$502,'group-code'!D429),"")</f>
        <v>#N/A</v>
      </c>
      <c r="F429" s="9" t="e">
        <f>IF(C429=Lookup!$P$6,INDEX('card-code'!$P$3:$P$502,'group-code'!D429),"")</f>
        <v>#N/A</v>
      </c>
      <c r="G429" s="9" t="str">
        <f t="shared" si="13"/>
        <v/>
      </c>
      <c r="H429" s="9" t="str">
        <f>_xlfn.IFNA(IF(C429=Lookup!$Q$6,"END",""),"")</f>
        <v/>
      </c>
    </row>
    <row r="430" spans="2:8" x14ac:dyDescent="0.45">
      <c r="B430" s="9">
        <f t="shared" si="12"/>
        <v>425</v>
      </c>
      <c r="C430" s="9" t="e">
        <f>IF(D429=VLOOKUP(C429,Lookup!$P$5:$R$6,3,0),VLOOKUP(C429,Lookup!$P$5:$Q$6,2,0),C429)</f>
        <v>#N/A</v>
      </c>
      <c r="D430" s="22" t="e">
        <f>IF(D429=VLOOKUP(C429,Lookup!$P$5:$R$6,3,0),1,D429+1)</f>
        <v>#N/A</v>
      </c>
      <c r="E430" s="9" t="e">
        <f>IF(C430=Lookup!$P$5,INDEX('view-code'!$P$3:$P$502,'group-code'!D430),"")</f>
        <v>#N/A</v>
      </c>
      <c r="F430" s="9" t="e">
        <f>IF(C430=Lookup!$P$6,INDEX('card-code'!$P$3:$P$502,'group-code'!D430),"")</f>
        <v>#N/A</v>
      </c>
      <c r="G430" s="9" t="str">
        <f t="shared" si="13"/>
        <v/>
      </c>
      <c r="H430" s="9" t="str">
        <f>_xlfn.IFNA(IF(C430=Lookup!$Q$6,"END",""),"")</f>
        <v/>
      </c>
    </row>
    <row r="431" spans="2:8" x14ac:dyDescent="0.45">
      <c r="B431" s="9">
        <f t="shared" si="12"/>
        <v>426</v>
      </c>
      <c r="C431" s="9" t="e">
        <f>IF(D430=VLOOKUP(C430,Lookup!$P$5:$R$6,3,0),VLOOKUP(C430,Lookup!$P$5:$Q$6,2,0),C430)</f>
        <v>#N/A</v>
      </c>
      <c r="D431" s="22" t="e">
        <f>IF(D430=VLOOKUP(C430,Lookup!$P$5:$R$6,3,0),1,D430+1)</f>
        <v>#N/A</v>
      </c>
      <c r="E431" s="9" t="e">
        <f>IF(C431=Lookup!$P$5,INDEX('view-code'!$P$3:$P$502,'group-code'!D431),"")</f>
        <v>#N/A</v>
      </c>
      <c r="F431" s="9" t="e">
        <f>IF(C431=Lookup!$P$6,INDEX('card-code'!$P$3:$P$502,'group-code'!D431),"")</f>
        <v>#N/A</v>
      </c>
      <c r="G431" s="9" t="str">
        <f t="shared" si="13"/>
        <v/>
      </c>
      <c r="H431" s="9" t="str">
        <f>_xlfn.IFNA(IF(C431=Lookup!$Q$6,"END",""),"")</f>
        <v/>
      </c>
    </row>
    <row r="432" spans="2:8" x14ac:dyDescent="0.45">
      <c r="B432" s="9">
        <f t="shared" si="12"/>
        <v>427</v>
      </c>
      <c r="C432" s="9" t="e">
        <f>IF(D431=VLOOKUP(C431,Lookup!$P$5:$R$6,3,0),VLOOKUP(C431,Lookup!$P$5:$Q$6,2,0),C431)</f>
        <v>#N/A</v>
      </c>
      <c r="D432" s="22" t="e">
        <f>IF(D431=VLOOKUP(C431,Lookup!$P$5:$R$6,3,0),1,D431+1)</f>
        <v>#N/A</v>
      </c>
      <c r="E432" s="9" t="e">
        <f>IF(C432=Lookup!$P$5,INDEX('view-code'!$P$3:$P$502,'group-code'!D432),"")</f>
        <v>#N/A</v>
      </c>
      <c r="F432" s="9" t="e">
        <f>IF(C432=Lookup!$P$6,INDEX('card-code'!$P$3:$P$502,'group-code'!D432),"")</f>
        <v>#N/A</v>
      </c>
      <c r="G432" s="9" t="str">
        <f t="shared" si="13"/>
        <v/>
      </c>
      <c r="H432" s="9" t="str">
        <f>_xlfn.IFNA(IF(C432=Lookup!$Q$6,"END",""),"")</f>
        <v/>
      </c>
    </row>
    <row r="433" spans="2:8" x14ac:dyDescent="0.45">
      <c r="B433" s="9">
        <f t="shared" si="12"/>
        <v>428</v>
      </c>
      <c r="C433" s="9" t="e">
        <f>IF(D432=VLOOKUP(C432,Lookup!$P$5:$R$6,3,0),VLOOKUP(C432,Lookup!$P$5:$Q$6,2,0),C432)</f>
        <v>#N/A</v>
      </c>
      <c r="D433" s="22" t="e">
        <f>IF(D432=VLOOKUP(C432,Lookup!$P$5:$R$6,3,0),1,D432+1)</f>
        <v>#N/A</v>
      </c>
      <c r="E433" s="9" t="e">
        <f>IF(C433=Lookup!$P$5,INDEX('view-code'!$P$3:$P$502,'group-code'!D433),"")</f>
        <v>#N/A</v>
      </c>
      <c r="F433" s="9" t="e">
        <f>IF(C433=Lookup!$P$6,INDEX('card-code'!$P$3:$P$502,'group-code'!D433),"")</f>
        <v>#N/A</v>
      </c>
      <c r="G433" s="9" t="str">
        <f t="shared" si="13"/>
        <v/>
      </c>
      <c r="H433" s="9" t="str">
        <f>_xlfn.IFNA(IF(C433=Lookup!$Q$6,"END",""),"")</f>
        <v/>
      </c>
    </row>
    <row r="434" spans="2:8" x14ac:dyDescent="0.45">
      <c r="B434" s="9">
        <f t="shared" si="12"/>
        <v>429</v>
      </c>
      <c r="C434" s="9" t="e">
        <f>IF(D433=VLOOKUP(C433,Lookup!$P$5:$R$6,3,0),VLOOKUP(C433,Lookup!$P$5:$Q$6,2,0),C433)</f>
        <v>#N/A</v>
      </c>
      <c r="D434" s="22" t="e">
        <f>IF(D433=VLOOKUP(C433,Lookup!$P$5:$R$6,3,0),1,D433+1)</f>
        <v>#N/A</v>
      </c>
      <c r="E434" s="9" t="e">
        <f>IF(C434=Lookup!$P$5,INDEX('view-code'!$P$3:$P$502,'group-code'!D434),"")</f>
        <v>#N/A</v>
      </c>
      <c r="F434" s="9" t="e">
        <f>IF(C434=Lookup!$P$6,INDEX('card-code'!$P$3:$P$502,'group-code'!D434),"")</f>
        <v>#N/A</v>
      </c>
      <c r="G434" s="9" t="str">
        <f t="shared" si="13"/>
        <v/>
      </c>
      <c r="H434" s="9" t="str">
        <f>_xlfn.IFNA(IF(C434=Lookup!$Q$6,"END",""),"")</f>
        <v/>
      </c>
    </row>
    <row r="435" spans="2:8" x14ac:dyDescent="0.45">
      <c r="B435" s="9">
        <f t="shared" si="12"/>
        <v>430</v>
      </c>
      <c r="C435" s="9" t="e">
        <f>IF(D434=VLOOKUP(C434,Lookup!$P$5:$R$6,3,0),VLOOKUP(C434,Lookup!$P$5:$Q$6,2,0),C434)</f>
        <v>#N/A</v>
      </c>
      <c r="D435" s="22" t="e">
        <f>IF(D434=VLOOKUP(C434,Lookup!$P$5:$R$6,3,0),1,D434+1)</f>
        <v>#N/A</v>
      </c>
      <c r="E435" s="9" t="e">
        <f>IF(C435=Lookup!$P$5,INDEX('view-code'!$P$3:$P$502,'group-code'!D435),"")</f>
        <v>#N/A</v>
      </c>
      <c r="F435" s="9" t="e">
        <f>IF(C435=Lookup!$P$6,INDEX('card-code'!$P$3:$P$502,'group-code'!D435),"")</f>
        <v>#N/A</v>
      </c>
      <c r="G435" s="9" t="str">
        <f t="shared" si="13"/>
        <v/>
      </c>
      <c r="H435" s="9" t="str">
        <f>_xlfn.IFNA(IF(C435=Lookup!$Q$6,"END",""),"")</f>
        <v/>
      </c>
    </row>
    <row r="436" spans="2:8" x14ac:dyDescent="0.45">
      <c r="B436" s="9">
        <f t="shared" si="12"/>
        <v>431</v>
      </c>
      <c r="C436" s="9" t="e">
        <f>IF(D435=VLOOKUP(C435,Lookup!$P$5:$R$6,3,0),VLOOKUP(C435,Lookup!$P$5:$Q$6,2,0),C435)</f>
        <v>#N/A</v>
      </c>
      <c r="D436" s="22" t="e">
        <f>IF(D435=VLOOKUP(C435,Lookup!$P$5:$R$6,3,0),1,D435+1)</f>
        <v>#N/A</v>
      </c>
      <c r="E436" s="9" t="e">
        <f>IF(C436=Lookup!$P$5,INDEX('view-code'!$P$3:$P$502,'group-code'!D436),"")</f>
        <v>#N/A</v>
      </c>
      <c r="F436" s="9" t="e">
        <f>IF(C436=Lookup!$P$6,INDEX('card-code'!$P$3:$P$502,'group-code'!D436),"")</f>
        <v>#N/A</v>
      </c>
      <c r="G436" s="9" t="str">
        <f t="shared" si="13"/>
        <v/>
      </c>
      <c r="H436" s="9" t="str">
        <f>_xlfn.IFNA(IF(C436=Lookup!$Q$6,"END",""),"")</f>
        <v/>
      </c>
    </row>
    <row r="437" spans="2:8" x14ac:dyDescent="0.45">
      <c r="B437" s="9">
        <f t="shared" si="12"/>
        <v>432</v>
      </c>
      <c r="C437" s="9" t="e">
        <f>IF(D436=VLOOKUP(C436,Lookup!$P$5:$R$6,3,0),VLOOKUP(C436,Lookup!$P$5:$Q$6,2,0),C436)</f>
        <v>#N/A</v>
      </c>
      <c r="D437" s="22" t="e">
        <f>IF(D436=VLOOKUP(C436,Lookup!$P$5:$R$6,3,0),1,D436+1)</f>
        <v>#N/A</v>
      </c>
      <c r="E437" s="9" t="e">
        <f>IF(C437=Lookup!$P$5,INDEX('view-code'!$P$3:$P$502,'group-code'!D437),"")</f>
        <v>#N/A</v>
      </c>
      <c r="F437" s="9" t="e">
        <f>IF(C437=Lookup!$P$6,INDEX('card-code'!$P$3:$P$502,'group-code'!D437),"")</f>
        <v>#N/A</v>
      </c>
      <c r="G437" s="9" t="str">
        <f t="shared" si="13"/>
        <v/>
      </c>
      <c r="H437" s="9" t="str">
        <f>_xlfn.IFNA(IF(C437=Lookup!$Q$6,"END",""),"")</f>
        <v/>
      </c>
    </row>
    <row r="438" spans="2:8" x14ac:dyDescent="0.45">
      <c r="B438" s="9">
        <f t="shared" si="12"/>
        <v>433</v>
      </c>
      <c r="C438" s="9" t="e">
        <f>IF(D437=VLOOKUP(C437,Lookup!$P$5:$R$6,3,0),VLOOKUP(C437,Lookup!$P$5:$Q$6,2,0),C437)</f>
        <v>#N/A</v>
      </c>
      <c r="D438" s="22" t="e">
        <f>IF(D437=VLOOKUP(C437,Lookup!$P$5:$R$6,3,0),1,D437+1)</f>
        <v>#N/A</v>
      </c>
      <c r="E438" s="9" t="e">
        <f>IF(C438=Lookup!$P$5,INDEX('view-code'!$P$3:$P$502,'group-code'!D438),"")</f>
        <v>#N/A</v>
      </c>
      <c r="F438" s="9" t="e">
        <f>IF(C438=Lookup!$P$6,INDEX('card-code'!$P$3:$P$502,'group-code'!D438),"")</f>
        <v>#N/A</v>
      </c>
      <c r="G438" s="9" t="str">
        <f t="shared" si="13"/>
        <v/>
      </c>
      <c r="H438" s="9" t="str">
        <f>_xlfn.IFNA(IF(C438=Lookup!$Q$6,"END",""),"")</f>
        <v/>
      </c>
    </row>
    <row r="439" spans="2:8" x14ac:dyDescent="0.45">
      <c r="B439" s="9">
        <f t="shared" si="12"/>
        <v>434</v>
      </c>
      <c r="C439" s="9" t="e">
        <f>IF(D438=VLOOKUP(C438,Lookup!$P$5:$R$6,3,0),VLOOKUP(C438,Lookup!$P$5:$Q$6,2,0),C438)</f>
        <v>#N/A</v>
      </c>
      <c r="D439" s="22" t="e">
        <f>IF(D438=VLOOKUP(C438,Lookup!$P$5:$R$6,3,0),1,D438+1)</f>
        <v>#N/A</v>
      </c>
      <c r="E439" s="9" t="e">
        <f>IF(C439=Lookup!$P$5,INDEX('view-code'!$P$3:$P$502,'group-code'!D439),"")</f>
        <v>#N/A</v>
      </c>
      <c r="F439" s="9" t="e">
        <f>IF(C439=Lookup!$P$6,INDEX('card-code'!$P$3:$P$502,'group-code'!D439),"")</f>
        <v>#N/A</v>
      </c>
      <c r="G439" s="9" t="str">
        <f t="shared" si="13"/>
        <v/>
      </c>
      <c r="H439" s="9" t="str">
        <f>_xlfn.IFNA(IF(C439=Lookup!$Q$6,"END",""),"")</f>
        <v/>
      </c>
    </row>
    <row r="440" spans="2:8" x14ac:dyDescent="0.45">
      <c r="B440" s="9">
        <f t="shared" si="12"/>
        <v>435</v>
      </c>
      <c r="C440" s="9" t="e">
        <f>IF(D439=VLOOKUP(C439,Lookup!$P$5:$R$6,3,0),VLOOKUP(C439,Lookup!$P$5:$Q$6,2,0),C439)</f>
        <v>#N/A</v>
      </c>
      <c r="D440" s="22" t="e">
        <f>IF(D439=VLOOKUP(C439,Lookup!$P$5:$R$6,3,0),1,D439+1)</f>
        <v>#N/A</v>
      </c>
      <c r="E440" s="9" t="e">
        <f>IF(C440=Lookup!$P$5,INDEX('view-code'!$P$3:$P$502,'group-code'!D440),"")</f>
        <v>#N/A</v>
      </c>
      <c r="F440" s="9" t="e">
        <f>IF(C440=Lookup!$P$6,INDEX('card-code'!$P$3:$P$502,'group-code'!D440),"")</f>
        <v>#N/A</v>
      </c>
      <c r="G440" s="9" t="str">
        <f t="shared" si="13"/>
        <v/>
      </c>
      <c r="H440" s="9" t="str">
        <f>_xlfn.IFNA(IF(C440=Lookup!$Q$6,"END",""),"")</f>
        <v/>
      </c>
    </row>
    <row r="441" spans="2:8" x14ac:dyDescent="0.45">
      <c r="B441" s="9">
        <f t="shared" si="12"/>
        <v>436</v>
      </c>
      <c r="C441" s="9" t="e">
        <f>IF(D440=VLOOKUP(C440,Lookup!$P$5:$R$6,3,0),VLOOKUP(C440,Lookup!$P$5:$Q$6,2,0),C440)</f>
        <v>#N/A</v>
      </c>
      <c r="D441" s="22" t="e">
        <f>IF(D440=VLOOKUP(C440,Lookup!$P$5:$R$6,3,0),1,D440+1)</f>
        <v>#N/A</v>
      </c>
      <c r="E441" s="9" t="e">
        <f>IF(C441=Lookup!$P$5,INDEX('view-code'!$P$3:$P$502,'group-code'!D441),"")</f>
        <v>#N/A</v>
      </c>
      <c r="F441" s="9" t="e">
        <f>IF(C441=Lookup!$P$6,INDEX('card-code'!$P$3:$P$502,'group-code'!D441),"")</f>
        <v>#N/A</v>
      </c>
      <c r="G441" s="9" t="str">
        <f t="shared" si="13"/>
        <v/>
      </c>
      <c r="H441" s="9" t="str">
        <f>_xlfn.IFNA(IF(C441=Lookup!$Q$6,"END",""),"")</f>
        <v/>
      </c>
    </row>
    <row r="442" spans="2:8" x14ac:dyDescent="0.45">
      <c r="B442" s="9">
        <f t="shared" si="12"/>
        <v>437</v>
      </c>
      <c r="C442" s="9" t="e">
        <f>IF(D441=VLOOKUP(C441,Lookup!$P$5:$R$6,3,0),VLOOKUP(C441,Lookup!$P$5:$Q$6,2,0),C441)</f>
        <v>#N/A</v>
      </c>
      <c r="D442" s="22" t="e">
        <f>IF(D441=VLOOKUP(C441,Lookup!$P$5:$R$6,3,0),1,D441+1)</f>
        <v>#N/A</v>
      </c>
      <c r="E442" s="9" t="e">
        <f>IF(C442=Lookup!$P$5,INDEX('view-code'!$P$3:$P$502,'group-code'!D442),"")</f>
        <v>#N/A</v>
      </c>
      <c r="F442" s="9" t="e">
        <f>IF(C442=Lookup!$P$6,INDEX('card-code'!$P$3:$P$502,'group-code'!D442),"")</f>
        <v>#N/A</v>
      </c>
      <c r="G442" s="9" t="str">
        <f t="shared" si="13"/>
        <v/>
      </c>
      <c r="H442" s="9" t="str">
        <f>_xlfn.IFNA(IF(C442=Lookup!$Q$6,"END",""),"")</f>
        <v/>
      </c>
    </row>
    <row r="443" spans="2:8" x14ac:dyDescent="0.45">
      <c r="B443" s="9">
        <f t="shared" si="12"/>
        <v>438</v>
      </c>
      <c r="C443" s="9" t="e">
        <f>IF(D442=VLOOKUP(C442,Lookup!$P$5:$R$6,3,0),VLOOKUP(C442,Lookup!$P$5:$Q$6,2,0),C442)</f>
        <v>#N/A</v>
      </c>
      <c r="D443" s="22" t="e">
        <f>IF(D442=VLOOKUP(C442,Lookup!$P$5:$R$6,3,0),1,D442+1)</f>
        <v>#N/A</v>
      </c>
      <c r="E443" s="9" t="e">
        <f>IF(C443=Lookup!$P$5,INDEX('view-code'!$P$3:$P$502,'group-code'!D443),"")</f>
        <v>#N/A</v>
      </c>
      <c r="F443" s="9" t="e">
        <f>IF(C443=Lookup!$P$6,INDEX('card-code'!$P$3:$P$502,'group-code'!D443),"")</f>
        <v>#N/A</v>
      </c>
      <c r="G443" s="9" t="str">
        <f t="shared" si="13"/>
        <v/>
      </c>
      <c r="H443" s="9" t="str">
        <f>_xlfn.IFNA(IF(C443=Lookup!$Q$6,"END",""),"")</f>
        <v/>
      </c>
    </row>
    <row r="444" spans="2:8" x14ac:dyDescent="0.45">
      <c r="B444" s="9">
        <f t="shared" si="12"/>
        <v>439</v>
      </c>
      <c r="C444" s="9" t="e">
        <f>IF(D443=VLOOKUP(C443,Lookup!$P$5:$R$6,3,0),VLOOKUP(C443,Lookup!$P$5:$Q$6,2,0),C443)</f>
        <v>#N/A</v>
      </c>
      <c r="D444" s="22" t="e">
        <f>IF(D443=VLOOKUP(C443,Lookup!$P$5:$R$6,3,0),1,D443+1)</f>
        <v>#N/A</v>
      </c>
      <c r="E444" s="9" t="e">
        <f>IF(C444=Lookup!$P$5,INDEX('view-code'!$P$3:$P$502,'group-code'!D444),"")</f>
        <v>#N/A</v>
      </c>
      <c r="F444" s="9" t="e">
        <f>IF(C444=Lookup!$P$6,INDEX('card-code'!$P$3:$P$502,'group-code'!D444),"")</f>
        <v>#N/A</v>
      </c>
      <c r="G444" s="9" t="str">
        <f t="shared" si="13"/>
        <v/>
      </c>
      <c r="H444" s="9" t="str">
        <f>_xlfn.IFNA(IF(C444=Lookup!$Q$6,"END",""),"")</f>
        <v/>
      </c>
    </row>
    <row r="445" spans="2:8" x14ac:dyDescent="0.45">
      <c r="B445" s="9">
        <f t="shared" si="12"/>
        <v>440</v>
      </c>
      <c r="C445" s="9" t="e">
        <f>IF(D444=VLOOKUP(C444,Lookup!$P$5:$R$6,3,0),VLOOKUP(C444,Lookup!$P$5:$Q$6,2,0),C444)</f>
        <v>#N/A</v>
      </c>
      <c r="D445" s="22" t="e">
        <f>IF(D444=VLOOKUP(C444,Lookup!$P$5:$R$6,3,0),1,D444+1)</f>
        <v>#N/A</v>
      </c>
      <c r="E445" s="9" t="e">
        <f>IF(C445=Lookup!$P$5,INDEX('view-code'!$P$3:$P$502,'group-code'!D445),"")</f>
        <v>#N/A</v>
      </c>
      <c r="F445" s="9" t="e">
        <f>IF(C445=Lookup!$P$6,INDEX('card-code'!$P$3:$P$502,'group-code'!D445),"")</f>
        <v>#N/A</v>
      </c>
      <c r="G445" s="9" t="str">
        <f t="shared" si="13"/>
        <v/>
      </c>
      <c r="H445" s="9" t="str">
        <f>_xlfn.IFNA(IF(C445=Lookup!$Q$6,"END",""),"")</f>
        <v/>
      </c>
    </row>
    <row r="446" spans="2:8" x14ac:dyDescent="0.45">
      <c r="B446" s="9">
        <f t="shared" si="12"/>
        <v>441</v>
      </c>
      <c r="C446" s="9" t="e">
        <f>IF(D445=VLOOKUP(C445,Lookup!$P$5:$R$6,3,0),VLOOKUP(C445,Lookup!$P$5:$Q$6,2,0),C445)</f>
        <v>#N/A</v>
      </c>
      <c r="D446" s="22" t="e">
        <f>IF(D445=VLOOKUP(C445,Lookup!$P$5:$R$6,3,0),1,D445+1)</f>
        <v>#N/A</v>
      </c>
      <c r="E446" s="9" t="e">
        <f>IF(C446=Lookup!$P$5,INDEX('view-code'!$P$3:$P$502,'group-code'!D446),"")</f>
        <v>#N/A</v>
      </c>
      <c r="F446" s="9" t="e">
        <f>IF(C446=Lookup!$P$6,INDEX('card-code'!$P$3:$P$502,'group-code'!D446),"")</f>
        <v>#N/A</v>
      </c>
      <c r="G446" s="9" t="str">
        <f t="shared" si="13"/>
        <v/>
      </c>
      <c r="H446" s="9" t="str">
        <f>_xlfn.IFNA(IF(C446=Lookup!$Q$6,"END",""),"")</f>
        <v/>
      </c>
    </row>
    <row r="447" spans="2:8" x14ac:dyDescent="0.45">
      <c r="B447" s="9">
        <f t="shared" si="12"/>
        <v>442</v>
      </c>
      <c r="C447" s="9" t="e">
        <f>IF(D446=VLOOKUP(C446,Lookup!$P$5:$R$6,3,0),VLOOKUP(C446,Lookup!$P$5:$Q$6,2,0),C446)</f>
        <v>#N/A</v>
      </c>
      <c r="D447" s="22" t="e">
        <f>IF(D446=VLOOKUP(C446,Lookup!$P$5:$R$6,3,0),1,D446+1)</f>
        <v>#N/A</v>
      </c>
      <c r="E447" s="9" t="e">
        <f>IF(C447=Lookup!$P$5,INDEX('view-code'!$P$3:$P$502,'group-code'!D447),"")</f>
        <v>#N/A</v>
      </c>
      <c r="F447" s="9" t="e">
        <f>IF(C447=Lookup!$P$6,INDEX('card-code'!$P$3:$P$502,'group-code'!D447),"")</f>
        <v>#N/A</v>
      </c>
      <c r="G447" s="9" t="str">
        <f t="shared" si="13"/>
        <v/>
      </c>
      <c r="H447" s="9" t="str">
        <f>_xlfn.IFNA(IF(C447=Lookup!$Q$6,"END",""),"")</f>
        <v/>
      </c>
    </row>
    <row r="448" spans="2:8" x14ac:dyDescent="0.45">
      <c r="B448" s="9">
        <f t="shared" si="12"/>
        <v>443</v>
      </c>
      <c r="C448" s="9" t="e">
        <f>IF(D447=VLOOKUP(C447,Lookup!$P$5:$R$6,3,0),VLOOKUP(C447,Lookup!$P$5:$Q$6,2,0),C447)</f>
        <v>#N/A</v>
      </c>
      <c r="D448" s="22" t="e">
        <f>IF(D447=VLOOKUP(C447,Lookup!$P$5:$R$6,3,0),1,D447+1)</f>
        <v>#N/A</v>
      </c>
      <c r="E448" s="9" t="e">
        <f>IF(C448=Lookup!$P$5,INDEX('view-code'!$P$3:$P$502,'group-code'!D448),"")</f>
        <v>#N/A</v>
      </c>
      <c r="F448" s="9" t="e">
        <f>IF(C448=Lookup!$P$6,INDEX('card-code'!$P$3:$P$502,'group-code'!D448),"")</f>
        <v>#N/A</v>
      </c>
      <c r="G448" s="9" t="str">
        <f t="shared" si="13"/>
        <v/>
      </c>
      <c r="H448" s="9" t="str">
        <f>_xlfn.IFNA(IF(C448=Lookup!$Q$6,"END",""),"")</f>
        <v/>
      </c>
    </row>
    <row r="449" spans="2:8" x14ac:dyDescent="0.45">
      <c r="B449" s="9">
        <f t="shared" si="12"/>
        <v>444</v>
      </c>
      <c r="C449" s="9" t="e">
        <f>IF(D448=VLOOKUP(C448,Lookup!$P$5:$R$6,3,0),VLOOKUP(C448,Lookup!$P$5:$Q$6,2,0),C448)</f>
        <v>#N/A</v>
      </c>
      <c r="D449" s="22" t="e">
        <f>IF(D448=VLOOKUP(C448,Lookup!$P$5:$R$6,3,0),1,D448+1)</f>
        <v>#N/A</v>
      </c>
      <c r="E449" s="9" t="e">
        <f>IF(C449=Lookup!$P$5,INDEX('view-code'!$P$3:$P$502,'group-code'!D449),"")</f>
        <v>#N/A</v>
      </c>
      <c r="F449" s="9" t="e">
        <f>IF(C449=Lookup!$P$6,INDEX('card-code'!$P$3:$P$502,'group-code'!D449),"")</f>
        <v>#N/A</v>
      </c>
      <c r="G449" s="9" t="str">
        <f t="shared" si="13"/>
        <v/>
      </c>
      <c r="H449" s="9" t="str">
        <f>_xlfn.IFNA(IF(C449=Lookup!$Q$6,"END",""),"")</f>
        <v/>
      </c>
    </row>
    <row r="450" spans="2:8" x14ac:dyDescent="0.45">
      <c r="B450" s="9">
        <f t="shared" si="12"/>
        <v>445</v>
      </c>
      <c r="C450" s="9" t="e">
        <f>IF(D449=VLOOKUP(C449,Lookup!$P$5:$R$6,3,0),VLOOKUP(C449,Lookup!$P$5:$Q$6,2,0),C449)</f>
        <v>#N/A</v>
      </c>
      <c r="D450" s="22" t="e">
        <f>IF(D449=VLOOKUP(C449,Lookup!$P$5:$R$6,3,0),1,D449+1)</f>
        <v>#N/A</v>
      </c>
      <c r="E450" s="9" t="e">
        <f>IF(C450=Lookup!$P$5,INDEX('view-code'!$P$3:$P$502,'group-code'!D450),"")</f>
        <v>#N/A</v>
      </c>
      <c r="F450" s="9" t="e">
        <f>IF(C450=Lookup!$P$6,INDEX('card-code'!$P$3:$P$502,'group-code'!D450),"")</f>
        <v>#N/A</v>
      </c>
      <c r="G450" s="9" t="str">
        <f t="shared" si="13"/>
        <v/>
      </c>
      <c r="H450" s="9" t="str">
        <f>_xlfn.IFNA(IF(C450=Lookup!$Q$6,"END",""),"")</f>
        <v/>
      </c>
    </row>
    <row r="451" spans="2:8" x14ac:dyDescent="0.45">
      <c r="B451" s="9">
        <f t="shared" si="12"/>
        <v>446</v>
      </c>
      <c r="C451" s="9" t="e">
        <f>IF(D450=VLOOKUP(C450,Lookup!$P$5:$R$6,3,0),VLOOKUP(C450,Lookup!$P$5:$Q$6,2,0),C450)</f>
        <v>#N/A</v>
      </c>
      <c r="D451" s="22" t="e">
        <f>IF(D450=VLOOKUP(C450,Lookup!$P$5:$R$6,3,0),1,D450+1)</f>
        <v>#N/A</v>
      </c>
      <c r="E451" s="9" t="e">
        <f>IF(C451=Lookup!$P$5,INDEX('view-code'!$P$3:$P$502,'group-code'!D451),"")</f>
        <v>#N/A</v>
      </c>
      <c r="F451" s="9" t="e">
        <f>IF(C451=Lookup!$P$6,INDEX('card-code'!$P$3:$P$502,'group-code'!D451),"")</f>
        <v>#N/A</v>
      </c>
      <c r="G451" s="9" t="str">
        <f t="shared" si="13"/>
        <v/>
      </c>
      <c r="H451" s="9" t="str">
        <f>_xlfn.IFNA(IF(C451=Lookup!$Q$6,"END",""),"")</f>
        <v/>
      </c>
    </row>
    <row r="452" spans="2:8" x14ac:dyDescent="0.45">
      <c r="B452" s="9">
        <f t="shared" si="12"/>
        <v>447</v>
      </c>
      <c r="C452" s="9" t="e">
        <f>IF(D451=VLOOKUP(C451,Lookup!$P$5:$R$6,3,0),VLOOKUP(C451,Lookup!$P$5:$Q$6,2,0),C451)</f>
        <v>#N/A</v>
      </c>
      <c r="D452" s="22" t="e">
        <f>IF(D451=VLOOKUP(C451,Lookup!$P$5:$R$6,3,0),1,D451+1)</f>
        <v>#N/A</v>
      </c>
      <c r="E452" s="9" t="e">
        <f>IF(C452=Lookup!$P$5,INDEX('view-code'!$P$3:$P$502,'group-code'!D452),"")</f>
        <v>#N/A</v>
      </c>
      <c r="F452" s="9" t="e">
        <f>IF(C452=Lookup!$P$6,INDEX('card-code'!$P$3:$P$502,'group-code'!D452),"")</f>
        <v>#N/A</v>
      </c>
      <c r="G452" s="9" t="str">
        <f t="shared" si="13"/>
        <v/>
      </c>
      <c r="H452" s="9" t="str">
        <f>_xlfn.IFNA(IF(C452=Lookup!$Q$6,"END",""),"")</f>
        <v/>
      </c>
    </row>
    <row r="453" spans="2:8" x14ac:dyDescent="0.45">
      <c r="B453" s="9">
        <f t="shared" si="12"/>
        <v>448</v>
      </c>
      <c r="C453" s="9" t="e">
        <f>IF(D452=VLOOKUP(C452,Lookup!$P$5:$R$6,3,0),VLOOKUP(C452,Lookup!$P$5:$Q$6,2,0),C452)</f>
        <v>#N/A</v>
      </c>
      <c r="D453" s="22" t="e">
        <f>IF(D452=VLOOKUP(C452,Lookup!$P$5:$R$6,3,0),1,D452+1)</f>
        <v>#N/A</v>
      </c>
      <c r="E453" s="9" t="e">
        <f>IF(C453=Lookup!$P$5,INDEX('view-code'!$P$3:$P$502,'group-code'!D453),"")</f>
        <v>#N/A</v>
      </c>
      <c r="F453" s="9" t="e">
        <f>IF(C453=Lookup!$P$6,INDEX('card-code'!$P$3:$P$502,'group-code'!D453),"")</f>
        <v>#N/A</v>
      </c>
      <c r="G453" s="9" t="str">
        <f t="shared" si="13"/>
        <v/>
      </c>
      <c r="H453" s="9" t="str">
        <f>_xlfn.IFNA(IF(C453=Lookup!$Q$6,"END",""),"")</f>
        <v/>
      </c>
    </row>
    <row r="454" spans="2:8" x14ac:dyDescent="0.45">
      <c r="B454" s="9">
        <f t="shared" si="12"/>
        <v>449</v>
      </c>
      <c r="C454" s="9" t="e">
        <f>IF(D453=VLOOKUP(C453,Lookup!$P$5:$R$6,3,0),VLOOKUP(C453,Lookup!$P$5:$Q$6,2,0),C453)</f>
        <v>#N/A</v>
      </c>
      <c r="D454" s="22" t="e">
        <f>IF(D453=VLOOKUP(C453,Lookup!$P$5:$R$6,3,0),1,D453+1)</f>
        <v>#N/A</v>
      </c>
      <c r="E454" s="9" t="e">
        <f>IF(C454=Lookup!$P$5,INDEX('view-code'!$P$3:$P$502,'group-code'!D454),"")</f>
        <v>#N/A</v>
      </c>
      <c r="F454" s="9" t="e">
        <f>IF(C454=Lookup!$P$6,INDEX('card-code'!$P$3:$P$502,'group-code'!D454),"")</f>
        <v>#N/A</v>
      </c>
      <c r="G454" s="9" t="str">
        <f t="shared" si="13"/>
        <v/>
      </c>
      <c r="H454" s="9" t="str">
        <f>_xlfn.IFNA(IF(C454=Lookup!$Q$6,"END",""),"")</f>
        <v/>
      </c>
    </row>
    <row r="455" spans="2:8" x14ac:dyDescent="0.45">
      <c r="B455" s="9">
        <f t="shared" si="12"/>
        <v>450</v>
      </c>
      <c r="C455" s="9" t="e">
        <f>IF(D454=VLOOKUP(C454,Lookup!$P$5:$R$6,3,0),VLOOKUP(C454,Lookup!$P$5:$Q$6,2,0),C454)</f>
        <v>#N/A</v>
      </c>
      <c r="D455" s="22" t="e">
        <f>IF(D454=VLOOKUP(C454,Lookup!$P$5:$R$6,3,0),1,D454+1)</f>
        <v>#N/A</v>
      </c>
      <c r="E455" s="9" t="e">
        <f>IF(C455=Lookup!$P$5,INDEX('view-code'!$P$3:$P$502,'group-code'!D455),"")</f>
        <v>#N/A</v>
      </c>
      <c r="F455" s="9" t="e">
        <f>IF(C455=Lookup!$P$6,INDEX('card-code'!$P$3:$P$502,'group-code'!D455),"")</f>
        <v>#N/A</v>
      </c>
      <c r="G455" s="9" t="str">
        <f t="shared" si="13"/>
        <v/>
      </c>
      <c r="H455" s="9" t="str">
        <f>_xlfn.IFNA(IF(C455=Lookup!$Q$6,"END",""),"")</f>
        <v/>
      </c>
    </row>
    <row r="456" spans="2:8" x14ac:dyDescent="0.45">
      <c r="B456" s="9">
        <f t="shared" ref="B456:B519" si="14">B455+1</f>
        <v>451</v>
      </c>
      <c r="C456" s="9" t="e">
        <f>IF(D455=VLOOKUP(C455,Lookup!$P$5:$R$6,3,0),VLOOKUP(C455,Lookup!$P$5:$Q$6,2,0),C455)</f>
        <v>#N/A</v>
      </c>
      <c r="D456" s="22" t="e">
        <f>IF(D455=VLOOKUP(C455,Lookup!$P$5:$R$6,3,0),1,D455+1)</f>
        <v>#N/A</v>
      </c>
      <c r="E456" s="9" t="e">
        <f>IF(C456=Lookup!$P$5,INDEX('view-code'!$P$3:$P$502,'group-code'!D456),"")</f>
        <v>#N/A</v>
      </c>
      <c r="F456" s="9" t="e">
        <f>IF(C456=Lookup!$P$6,INDEX('card-code'!$P$3:$P$502,'group-code'!D456),"")</f>
        <v>#N/A</v>
      </c>
      <c r="G456" s="9" t="str">
        <f t="shared" ref="G456:G505" si="15">_xlfn.IFNA(  E456&amp;F456,  "")</f>
        <v/>
      </c>
      <c r="H456" s="9" t="str">
        <f>_xlfn.IFNA(IF(C456=Lookup!$Q$6,"END",""),"")</f>
        <v/>
      </c>
    </row>
    <row r="457" spans="2:8" x14ac:dyDescent="0.45">
      <c r="B457" s="9">
        <f t="shared" si="14"/>
        <v>452</v>
      </c>
      <c r="C457" s="9" t="e">
        <f>IF(D456=VLOOKUP(C456,Lookup!$P$5:$R$6,3,0),VLOOKUP(C456,Lookup!$P$5:$Q$6,2,0),C456)</f>
        <v>#N/A</v>
      </c>
      <c r="D457" s="22" t="e">
        <f>IF(D456=VLOOKUP(C456,Lookup!$P$5:$R$6,3,0),1,D456+1)</f>
        <v>#N/A</v>
      </c>
      <c r="E457" s="9" t="e">
        <f>IF(C457=Lookup!$P$5,INDEX('view-code'!$P$3:$P$502,'group-code'!D457),"")</f>
        <v>#N/A</v>
      </c>
      <c r="F457" s="9" t="e">
        <f>IF(C457=Lookup!$P$6,INDEX('card-code'!$P$3:$P$502,'group-code'!D457),"")</f>
        <v>#N/A</v>
      </c>
      <c r="G457" s="9" t="str">
        <f t="shared" si="15"/>
        <v/>
      </c>
      <c r="H457" s="9" t="str">
        <f>_xlfn.IFNA(IF(C457=Lookup!$Q$6,"END",""),"")</f>
        <v/>
      </c>
    </row>
    <row r="458" spans="2:8" x14ac:dyDescent="0.45">
      <c r="B458" s="9">
        <f t="shared" si="14"/>
        <v>453</v>
      </c>
      <c r="C458" s="9" t="e">
        <f>IF(D457=VLOOKUP(C457,Lookup!$P$5:$R$6,3,0),VLOOKUP(C457,Lookup!$P$5:$Q$6,2,0),C457)</f>
        <v>#N/A</v>
      </c>
      <c r="D458" s="22" t="e">
        <f>IF(D457=VLOOKUP(C457,Lookup!$P$5:$R$6,3,0),1,D457+1)</f>
        <v>#N/A</v>
      </c>
      <c r="E458" s="9" t="e">
        <f>IF(C458=Lookup!$P$5,INDEX('view-code'!$P$3:$P$502,'group-code'!D458),"")</f>
        <v>#N/A</v>
      </c>
      <c r="F458" s="9" t="e">
        <f>IF(C458=Lookup!$P$6,INDEX('card-code'!$P$3:$P$502,'group-code'!D458),"")</f>
        <v>#N/A</v>
      </c>
      <c r="G458" s="9" t="str">
        <f t="shared" si="15"/>
        <v/>
      </c>
      <c r="H458" s="9" t="str">
        <f>_xlfn.IFNA(IF(C458=Lookup!$Q$6,"END",""),"")</f>
        <v/>
      </c>
    </row>
    <row r="459" spans="2:8" x14ac:dyDescent="0.45">
      <c r="B459" s="9">
        <f t="shared" si="14"/>
        <v>454</v>
      </c>
      <c r="C459" s="9" t="e">
        <f>IF(D458=VLOOKUP(C458,Lookup!$P$5:$R$6,3,0),VLOOKUP(C458,Lookup!$P$5:$Q$6,2,0),C458)</f>
        <v>#N/A</v>
      </c>
      <c r="D459" s="22" t="e">
        <f>IF(D458=VLOOKUP(C458,Lookup!$P$5:$R$6,3,0),1,D458+1)</f>
        <v>#N/A</v>
      </c>
      <c r="E459" s="9" t="e">
        <f>IF(C459=Lookup!$P$5,INDEX('view-code'!$P$3:$P$502,'group-code'!D459),"")</f>
        <v>#N/A</v>
      </c>
      <c r="F459" s="9" t="e">
        <f>IF(C459=Lookup!$P$6,INDEX('card-code'!$P$3:$P$502,'group-code'!D459),"")</f>
        <v>#N/A</v>
      </c>
      <c r="G459" s="9" t="str">
        <f t="shared" si="15"/>
        <v/>
      </c>
      <c r="H459" s="9" t="str">
        <f>_xlfn.IFNA(IF(C459=Lookup!$Q$6,"END",""),"")</f>
        <v/>
      </c>
    </row>
    <row r="460" spans="2:8" x14ac:dyDescent="0.45">
      <c r="B460" s="9">
        <f t="shared" si="14"/>
        <v>455</v>
      </c>
      <c r="C460" s="9" t="e">
        <f>IF(D459=VLOOKUP(C459,Lookup!$P$5:$R$6,3,0),VLOOKUP(C459,Lookup!$P$5:$Q$6,2,0),C459)</f>
        <v>#N/A</v>
      </c>
      <c r="D460" s="22" t="e">
        <f>IF(D459=VLOOKUP(C459,Lookup!$P$5:$R$6,3,0),1,D459+1)</f>
        <v>#N/A</v>
      </c>
      <c r="E460" s="9" t="e">
        <f>IF(C460=Lookup!$P$5,INDEX('view-code'!$P$3:$P$502,'group-code'!D460),"")</f>
        <v>#N/A</v>
      </c>
      <c r="F460" s="9" t="e">
        <f>IF(C460=Lookup!$P$6,INDEX('card-code'!$P$3:$P$502,'group-code'!D460),"")</f>
        <v>#N/A</v>
      </c>
      <c r="G460" s="9" t="str">
        <f t="shared" si="15"/>
        <v/>
      </c>
      <c r="H460" s="9" t="str">
        <f>_xlfn.IFNA(IF(C460=Lookup!$Q$6,"END",""),"")</f>
        <v/>
      </c>
    </row>
    <row r="461" spans="2:8" x14ac:dyDescent="0.45">
      <c r="B461" s="9">
        <f t="shared" si="14"/>
        <v>456</v>
      </c>
      <c r="C461" s="9" t="e">
        <f>IF(D460=VLOOKUP(C460,Lookup!$P$5:$R$6,3,0),VLOOKUP(C460,Lookup!$P$5:$Q$6,2,0),C460)</f>
        <v>#N/A</v>
      </c>
      <c r="D461" s="22" t="e">
        <f>IF(D460=VLOOKUP(C460,Lookup!$P$5:$R$6,3,0),1,D460+1)</f>
        <v>#N/A</v>
      </c>
      <c r="E461" s="9" t="e">
        <f>IF(C461=Lookup!$P$5,INDEX('view-code'!$P$3:$P$502,'group-code'!D461),"")</f>
        <v>#N/A</v>
      </c>
      <c r="F461" s="9" t="e">
        <f>IF(C461=Lookup!$P$6,INDEX('card-code'!$P$3:$P$502,'group-code'!D461),"")</f>
        <v>#N/A</v>
      </c>
      <c r="G461" s="9" t="str">
        <f t="shared" si="15"/>
        <v/>
      </c>
      <c r="H461" s="9" t="str">
        <f>_xlfn.IFNA(IF(C461=Lookup!$Q$6,"END",""),"")</f>
        <v/>
      </c>
    </row>
    <row r="462" spans="2:8" x14ac:dyDescent="0.45">
      <c r="B462" s="9">
        <f t="shared" si="14"/>
        <v>457</v>
      </c>
      <c r="C462" s="9" t="e">
        <f>IF(D461=VLOOKUP(C461,Lookup!$P$5:$R$6,3,0),VLOOKUP(C461,Lookup!$P$5:$Q$6,2,0),C461)</f>
        <v>#N/A</v>
      </c>
      <c r="D462" s="22" t="e">
        <f>IF(D461=VLOOKUP(C461,Lookup!$P$5:$R$6,3,0),1,D461+1)</f>
        <v>#N/A</v>
      </c>
      <c r="E462" s="9" t="e">
        <f>IF(C462=Lookup!$P$5,INDEX('view-code'!$P$3:$P$502,'group-code'!D462),"")</f>
        <v>#N/A</v>
      </c>
      <c r="F462" s="9" t="e">
        <f>IF(C462=Lookup!$P$6,INDEX('card-code'!$P$3:$P$502,'group-code'!D462),"")</f>
        <v>#N/A</v>
      </c>
      <c r="G462" s="9" t="str">
        <f t="shared" si="15"/>
        <v/>
      </c>
      <c r="H462" s="9" t="str">
        <f>_xlfn.IFNA(IF(C462=Lookup!$Q$6,"END",""),"")</f>
        <v/>
      </c>
    </row>
    <row r="463" spans="2:8" x14ac:dyDescent="0.45">
      <c r="B463" s="9">
        <f t="shared" si="14"/>
        <v>458</v>
      </c>
      <c r="C463" s="9" t="e">
        <f>IF(D462=VLOOKUP(C462,Lookup!$P$5:$R$6,3,0),VLOOKUP(C462,Lookup!$P$5:$Q$6,2,0),C462)</f>
        <v>#N/A</v>
      </c>
      <c r="D463" s="22" t="e">
        <f>IF(D462=VLOOKUP(C462,Lookup!$P$5:$R$6,3,0),1,D462+1)</f>
        <v>#N/A</v>
      </c>
      <c r="E463" s="9" t="e">
        <f>IF(C463=Lookup!$P$5,INDEX('view-code'!$P$3:$P$502,'group-code'!D463),"")</f>
        <v>#N/A</v>
      </c>
      <c r="F463" s="9" t="e">
        <f>IF(C463=Lookup!$P$6,INDEX('card-code'!$P$3:$P$502,'group-code'!D463),"")</f>
        <v>#N/A</v>
      </c>
      <c r="G463" s="9" t="str">
        <f t="shared" si="15"/>
        <v/>
      </c>
      <c r="H463" s="9" t="str">
        <f>_xlfn.IFNA(IF(C463=Lookup!$Q$6,"END",""),"")</f>
        <v/>
      </c>
    </row>
    <row r="464" spans="2:8" x14ac:dyDescent="0.45">
      <c r="B464" s="9">
        <f t="shared" si="14"/>
        <v>459</v>
      </c>
      <c r="C464" s="9" t="e">
        <f>IF(D463=VLOOKUP(C463,Lookup!$P$5:$R$6,3,0),VLOOKUP(C463,Lookup!$P$5:$Q$6,2,0),C463)</f>
        <v>#N/A</v>
      </c>
      <c r="D464" s="22" t="e">
        <f>IF(D463=VLOOKUP(C463,Lookup!$P$5:$R$6,3,0),1,D463+1)</f>
        <v>#N/A</v>
      </c>
      <c r="E464" s="9" t="e">
        <f>IF(C464=Lookup!$P$5,INDEX('view-code'!$P$3:$P$502,'group-code'!D464),"")</f>
        <v>#N/A</v>
      </c>
      <c r="F464" s="9" t="e">
        <f>IF(C464=Lookup!$P$6,INDEX('card-code'!$P$3:$P$502,'group-code'!D464),"")</f>
        <v>#N/A</v>
      </c>
      <c r="G464" s="9" t="str">
        <f t="shared" si="15"/>
        <v/>
      </c>
      <c r="H464" s="9" t="str">
        <f>_xlfn.IFNA(IF(C464=Lookup!$Q$6,"END",""),"")</f>
        <v/>
      </c>
    </row>
    <row r="465" spans="2:8" x14ac:dyDescent="0.45">
      <c r="B465" s="9">
        <f t="shared" si="14"/>
        <v>460</v>
      </c>
      <c r="C465" s="9" t="e">
        <f>IF(D464=VLOOKUP(C464,Lookup!$P$5:$R$6,3,0),VLOOKUP(C464,Lookup!$P$5:$Q$6,2,0),C464)</f>
        <v>#N/A</v>
      </c>
      <c r="D465" s="22" t="e">
        <f>IF(D464=VLOOKUP(C464,Lookup!$P$5:$R$6,3,0),1,D464+1)</f>
        <v>#N/A</v>
      </c>
      <c r="E465" s="9" t="e">
        <f>IF(C465=Lookup!$P$5,INDEX('view-code'!$P$3:$P$502,'group-code'!D465),"")</f>
        <v>#N/A</v>
      </c>
      <c r="F465" s="9" t="e">
        <f>IF(C465=Lookup!$P$6,INDEX('card-code'!$P$3:$P$502,'group-code'!D465),"")</f>
        <v>#N/A</v>
      </c>
      <c r="G465" s="9" t="str">
        <f t="shared" si="15"/>
        <v/>
      </c>
      <c r="H465" s="9" t="str">
        <f>_xlfn.IFNA(IF(C465=Lookup!$Q$6,"END",""),"")</f>
        <v/>
      </c>
    </row>
    <row r="466" spans="2:8" x14ac:dyDescent="0.45">
      <c r="B466" s="9">
        <f t="shared" si="14"/>
        <v>461</v>
      </c>
      <c r="C466" s="9" t="e">
        <f>IF(D465=VLOOKUP(C465,Lookup!$P$5:$R$6,3,0),VLOOKUP(C465,Lookup!$P$5:$Q$6,2,0),C465)</f>
        <v>#N/A</v>
      </c>
      <c r="D466" s="22" t="e">
        <f>IF(D465=VLOOKUP(C465,Lookup!$P$5:$R$6,3,0),1,D465+1)</f>
        <v>#N/A</v>
      </c>
      <c r="E466" s="9" t="e">
        <f>IF(C466=Lookup!$P$5,INDEX('view-code'!$P$3:$P$502,'group-code'!D466),"")</f>
        <v>#N/A</v>
      </c>
      <c r="F466" s="9" t="e">
        <f>IF(C466=Lookup!$P$6,INDEX('card-code'!$P$3:$P$502,'group-code'!D466),"")</f>
        <v>#N/A</v>
      </c>
      <c r="G466" s="9" t="str">
        <f t="shared" si="15"/>
        <v/>
      </c>
      <c r="H466" s="9" t="str">
        <f>_xlfn.IFNA(IF(C466=Lookup!$Q$6,"END",""),"")</f>
        <v/>
      </c>
    </row>
    <row r="467" spans="2:8" x14ac:dyDescent="0.45">
      <c r="B467" s="9">
        <f t="shared" si="14"/>
        <v>462</v>
      </c>
      <c r="C467" s="9" t="e">
        <f>IF(D466=VLOOKUP(C466,Lookup!$P$5:$R$6,3,0),VLOOKUP(C466,Lookup!$P$5:$Q$6,2,0),C466)</f>
        <v>#N/A</v>
      </c>
      <c r="D467" s="22" t="e">
        <f>IF(D466=VLOOKUP(C466,Lookup!$P$5:$R$6,3,0),1,D466+1)</f>
        <v>#N/A</v>
      </c>
      <c r="E467" s="9" t="e">
        <f>IF(C467=Lookup!$P$5,INDEX('view-code'!$P$3:$P$502,'group-code'!D467),"")</f>
        <v>#N/A</v>
      </c>
      <c r="F467" s="9" t="e">
        <f>IF(C467=Lookup!$P$6,INDEX('card-code'!$P$3:$P$502,'group-code'!D467),"")</f>
        <v>#N/A</v>
      </c>
      <c r="G467" s="9" t="str">
        <f t="shared" si="15"/>
        <v/>
      </c>
      <c r="H467" s="9" t="str">
        <f>_xlfn.IFNA(IF(C467=Lookup!$Q$6,"END",""),"")</f>
        <v/>
      </c>
    </row>
    <row r="468" spans="2:8" x14ac:dyDescent="0.45">
      <c r="B468" s="9">
        <f t="shared" si="14"/>
        <v>463</v>
      </c>
      <c r="C468" s="9" t="e">
        <f>IF(D467=VLOOKUP(C467,Lookup!$P$5:$R$6,3,0),VLOOKUP(C467,Lookup!$P$5:$Q$6,2,0),C467)</f>
        <v>#N/A</v>
      </c>
      <c r="D468" s="22" t="e">
        <f>IF(D467=VLOOKUP(C467,Lookup!$P$5:$R$6,3,0),1,D467+1)</f>
        <v>#N/A</v>
      </c>
      <c r="E468" s="9" t="e">
        <f>IF(C468=Lookup!$P$5,INDEX('view-code'!$P$3:$P$502,'group-code'!D468),"")</f>
        <v>#N/A</v>
      </c>
      <c r="F468" s="9" t="e">
        <f>IF(C468=Lookup!$P$6,INDEX('card-code'!$P$3:$P$502,'group-code'!D468),"")</f>
        <v>#N/A</v>
      </c>
      <c r="G468" s="9" t="str">
        <f t="shared" si="15"/>
        <v/>
      </c>
      <c r="H468" s="9" t="str">
        <f>_xlfn.IFNA(IF(C468=Lookup!$Q$6,"END",""),"")</f>
        <v/>
      </c>
    </row>
    <row r="469" spans="2:8" x14ac:dyDescent="0.45">
      <c r="B469" s="9">
        <f t="shared" si="14"/>
        <v>464</v>
      </c>
      <c r="C469" s="9" t="e">
        <f>IF(D468=VLOOKUP(C468,Lookup!$P$5:$R$6,3,0),VLOOKUP(C468,Lookup!$P$5:$Q$6,2,0),C468)</f>
        <v>#N/A</v>
      </c>
      <c r="D469" s="22" t="e">
        <f>IF(D468=VLOOKUP(C468,Lookup!$P$5:$R$6,3,0),1,D468+1)</f>
        <v>#N/A</v>
      </c>
      <c r="E469" s="9" t="e">
        <f>IF(C469=Lookup!$P$5,INDEX('view-code'!$P$3:$P$502,'group-code'!D469),"")</f>
        <v>#N/A</v>
      </c>
      <c r="F469" s="9" t="e">
        <f>IF(C469=Lookup!$P$6,INDEX('card-code'!$P$3:$P$502,'group-code'!D469),"")</f>
        <v>#N/A</v>
      </c>
      <c r="G469" s="9" t="str">
        <f t="shared" si="15"/>
        <v/>
      </c>
      <c r="H469" s="9" t="str">
        <f>_xlfn.IFNA(IF(C469=Lookup!$Q$6,"END",""),"")</f>
        <v/>
      </c>
    </row>
    <row r="470" spans="2:8" x14ac:dyDescent="0.45">
      <c r="B470" s="9">
        <f t="shared" si="14"/>
        <v>465</v>
      </c>
      <c r="C470" s="9" t="e">
        <f>IF(D469=VLOOKUP(C469,Lookup!$P$5:$R$6,3,0),VLOOKUP(C469,Lookup!$P$5:$Q$6,2,0),C469)</f>
        <v>#N/A</v>
      </c>
      <c r="D470" s="22" t="e">
        <f>IF(D469=VLOOKUP(C469,Lookup!$P$5:$R$6,3,0),1,D469+1)</f>
        <v>#N/A</v>
      </c>
      <c r="E470" s="9" t="e">
        <f>IF(C470=Lookup!$P$5,INDEX('view-code'!$P$3:$P$502,'group-code'!D470),"")</f>
        <v>#N/A</v>
      </c>
      <c r="F470" s="9" t="e">
        <f>IF(C470=Lookup!$P$6,INDEX('card-code'!$P$3:$P$502,'group-code'!D470),"")</f>
        <v>#N/A</v>
      </c>
      <c r="G470" s="9" t="str">
        <f t="shared" si="15"/>
        <v/>
      </c>
      <c r="H470" s="9" t="str">
        <f>_xlfn.IFNA(IF(C470=Lookup!$Q$6,"END",""),"")</f>
        <v/>
      </c>
    </row>
    <row r="471" spans="2:8" x14ac:dyDescent="0.45">
      <c r="B471" s="9">
        <f t="shared" si="14"/>
        <v>466</v>
      </c>
      <c r="C471" s="9" t="e">
        <f>IF(D470=VLOOKUP(C470,Lookup!$P$5:$R$6,3,0),VLOOKUP(C470,Lookup!$P$5:$Q$6,2,0),C470)</f>
        <v>#N/A</v>
      </c>
      <c r="D471" s="22" t="e">
        <f>IF(D470=VLOOKUP(C470,Lookup!$P$5:$R$6,3,0),1,D470+1)</f>
        <v>#N/A</v>
      </c>
      <c r="E471" s="9" t="e">
        <f>IF(C471=Lookup!$P$5,INDEX('view-code'!$P$3:$P$502,'group-code'!D471),"")</f>
        <v>#N/A</v>
      </c>
      <c r="F471" s="9" t="e">
        <f>IF(C471=Lookup!$P$6,INDEX('card-code'!$P$3:$P$502,'group-code'!D471),"")</f>
        <v>#N/A</v>
      </c>
      <c r="G471" s="9" t="str">
        <f t="shared" si="15"/>
        <v/>
      </c>
      <c r="H471" s="9" t="str">
        <f>_xlfn.IFNA(IF(C471=Lookup!$Q$6,"END",""),"")</f>
        <v/>
      </c>
    </row>
    <row r="472" spans="2:8" x14ac:dyDescent="0.45">
      <c r="B472" s="9">
        <f t="shared" si="14"/>
        <v>467</v>
      </c>
      <c r="C472" s="9" t="e">
        <f>IF(D471=VLOOKUP(C471,Lookup!$P$5:$R$6,3,0),VLOOKUP(C471,Lookup!$P$5:$Q$6,2,0),C471)</f>
        <v>#N/A</v>
      </c>
      <c r="D472" s="22" t="e">
        <f>IF(D471=VLOOKUP(C471,Lookup!$P$5:$R$6,3,0),1,D471+1)</f>
        <v>#N/A</v>
      </c>
      <c r="E472" s="9" t="e">
        <f>IF(C472=Lookup!$P$5,INDEX('view-code'!$P$3:$P$502,'group-code'!D472),"")</f>
        <v>#N/A</v>
      </c>
      <c r="F472" s="9" t="e">
        <f>IF(C472=Lookup!$P$6,INDEX('card-code'!$P$3:$P$502,'group-code'!D472),"")</f>
        <v>#N/A</v>
      </c>
      <c r="G472" s="9" t="str">
        <f t="shared" si="15"/>
        <v/>
      </c>
      <c r="H472" s="9" t="str">
        <f>_xlfn.IFNA(IF(C472=Lookup!$Q$6,"END",""),"")</f>
        <v/>
      </c>
    </row>
    <row r="473" spans="2:8" x14ac:dyDescent="0.45">
      <c r="B473" s="9">
        <f t="shared" si="14"/>
        <v>468</v>
      </c>
      <c r="C473" s="9" t="e">
        <f>IF(D472=VLOOKUP(C472,Lookup!$P$5:$R$6,3,0),VLOOKUP(C472,Lookup!$P$5:$Q$6,2,0),C472)</f>
        <v>#N/A</v>
      </c>
      <c r="D473" s="22" t="e">
        <f>IF(D472=VLOOKUP(C472,Lookup!$P$5:$R$6,3,0),1,D472+1)</f>
        <v>#N/A</v>
      </c>
      <c r="E473" s="9" t="e">
        <f>IF(C473=Lookup!$P$5,INDEX('view-code'!$P$3:$P$502,'group-code'!D473),"")</f>
        <v>#N/A</v>
      </c>
      <c r="F473" s="9" t="e">
        <f>IF(C473=Lookup!$P$6,INDEX('card-code'!$P$3:$P$502,'group-code'!D473),"")</f>
        <v>#N/A</v>
      </c>
      <c r="G473" s="9" t="str">
        <f t="shared" si="15"/>
        <v/>
      </c>
      <c r="H473" s="9" t="str">
        <f>_xlfn.IFNA(IF(C473=Lookup!$Q$6,"END",""),"")</f>
        <v/>
      </c>
    </row>
    <row r="474" spans="2:8" x14ac:dyDescent="0.45">
      <c r="B474" s="9">
        <f t="shared" si="14"/>
        <v>469</v>
      </c>
      <c r="C474" s="9" t="e">
        <f>IF(D473=VLOOKUP(C473,Lookup!$P$5:$R$6,3,0),VLOOKUP(C473,Lookup!$P$5:$Q$6,2,0),C473)</f>
        <v>#N/A</v>
      </c>
      <c r="D474" s="22" t="e">
        <f>IF(D473=VLOOKUP(C473,Lookup!$P$5:$R$6,3,0),1,D473+1)</f>
        <v>#N/A</v>
      </c>
      <c r="E474" s="9" t="e">
        <f>IF(C474=Lookup!$P$5,INDEX('view-code'!$P$3:$P$502,'group-code'!D474),"")</f>
        <v>#N/A</v>
      </c>
      <c r="F474" s="9" t="e">
        <f>IF(C474=Lookup!$P$6,INDEX('card-code'!$P$3:$P$502,'group-code'!D474),"")</f>
        <v>#N/A</v>
      </c>
      <c r="G474" s="9" t="str">
        <f t="shared" si="15"/>
        <v/>
      </c>
      <c r="H474" s="9" t="str">
        <f>_xlfn.IFNA(IF(C474=Lookup!$Q$6,"END",""),"")</f>
        <v/>
      </c>
    </row>
    <row r="475" spans="2:8" x14ac:dyDescent="0.45">
      <c r="B475" s="9">
        <f t="shared" si="14"/>
        <v>470</v>
      </c>
      <c r="C475" s="9" t="e">
        <f>IF(D474=VLOOKUP(C474,Lookup!$P$5:$R$6,3,0),VLOOKUP(C474,Lookup!$P$5:$Q$6,2,0),C474)</f>
        <v>#N/A</v>
      </c>
      <c r="D475" s="22" t="e">
        <f>IF(D474=VLOOKUP(C474,Lookup!$P$5:$R$6,3,0),1,D474+1)</f>
        <v>#N/A</v>
      </c>
      <c r="E475" s="9" t="e">
        <f>IF(C475=Lookup!$P$5,INDEX('view-code'!$P$3:$P$502,'group-code'!D475),"")</f>
        <v>#N/A</v>
      </c>
      <c r="F475" s="9" t="e">
        <f>IF(C475=Lookup!$P$6,INDEX('card-code'!$P$3:$P$502,'group-code'!D475),"")</f>
        <v>#N/A</v>
      </c>
      <c r="G475" s="9" t="str">
        <f t="shared" si="15"/>
        <v/>
      </c>
      <c r="H475" s="9" t="str">
        <f>_xlfn.IFNA(IF(C475=Lookup!$Q$6,"END",""),"")</f>
        <v/>
      </c>
    </row>
    <row r="476" spans="2:8" x14ac:dyDescent="0.45">
      <c r="B476" s="9">
        <f t="shared" si="14"/>
        <v>471</v>
      </c>
      <c r="C476" s="9" t="e">
        <f>IF(D475=VLOOKUP(C475,Lookup!$P$5:$R$6,3,0),VLOOKUP(C475,Lookup!$P$5:$Q$6,2,0),C475)</f>
        <v>#N/A</v>
      </c>
      <c r="D476" s="22" t="e">
        <f>IF(D475=VLOOKUP(C475,Lookup!$P$5:$R$6,3,0),1,D475+1)</f>
        <v>#N/A</v>
      </c>
      <c r="E476" s="9" t="e">
        <f>IF(C476=Lookup!$P$5,INDEX('view-code'!$P$3:$P$502,'group-code'!D476),"")</f>
        <v>#N/A</v>
      </c>
      <c r="F476" s="9" t="e">
        <f>IF(C476=Lookup!$P$6,INDEX('card-code'!$P$3:$P$502,'group-code'!D476),"")</f>
        <v>#N/A</v>
      </c>
      <c r="G476" s="9" t="str">
        <f t="shared" si="15"/>
        <v/>
      </c>
      <c r="H476" s="9" t="str">
        <f>_xlfn.IFNA(IF(C476=Lookup!$Q$6,"END",""),"")</f>
        <v/>
      </c>
    </row>
    <row r="477" spans="2:8" x14ac:dyDescent="0.45">
      <c r="B477" s="9">
        <f t="shared" si="14"/>
        <v>472</v>
      </c>
      <c r="C477" s="9" t="e">
        <f>IF(D476=VLOOKUP(C476,Lookup!$P$5:$R$6,3,0),VLOOKUP(C476,Lookup!$P$5:$Q$6,2,0),C476)</f>
        <v>#N/A</v>
      </c>
      <c r="D477" s="22" t="e">
        <f>IF(D476=VLOOKUP(C476,Lookup!$P$5:$R$6,3,0),1,D476+1)</f>
        <v>#N/A</v>
      </c>
      <c r="E477" s="9" t="e">
        <f>IF(C477=Lookup!$P$5,INDEX('view-code'!$P$3:$P$502,'group-code'!D477),"")</f>
        <v>#N/A</v>
      </c>
      <c r="F477" s="9" t="e">
        <f>IF(C477=Lookup!$P$6,INDEX('card-code'!$P$3:$P$502,'group-code'!D477),"")</f>
        <v>#N/A</v>
      </c>
      <c r="G477" s="9" t="str">
        <f t="shared" si="15"/>
        <v/>
      </c>
      <c r="H477" s="9" t="str">
        <f>_xlfn.IFNA(IF(C477=Lookup!$Q$6,"END",""),"")</f>
        <v/>
      </c>
    </row>
    <row r="478" spans="2:8" x14ac:dyDescent="0.45">
      <c r="B478" s="9">
        <f t="shared" si="14"/>
        <v>473</v>
      </c>
      <c r="C478" s="9" t="e">
        <f>IF(D477=VLOOKUP(C477,Lookup!$P$5:$R$6,3,0),VLOOKUP(C477,Lookup!$P$5:$Q$6,2,0),C477)</f>
        <v>#N/A</v>
      </c>
      <c r="D478" s="22" t="e">
        <f>IF(D477=VLOOKUP(C477,Lookup!$P$5:$R$6,3,0),1,D477+1)</f>
        <v>#N/A</v>
      </c>
      <c r="E478" s="9" t="e">
        <f>IF(C478=Lookup!$P$5,INDEX('view-code'!$P$3:$P$502,'group-code'!D478),"")</f>
        <v>#N/A</v>
      </c>
      <c r="F478" s="9" t="e">
        <f>IF(C478=Lookup!$P$6,INDEX('card-code'!$P$3:$P$502,'group-code'!D478),"")</f>
        <v>#N/A</v>
      </c>
      <c r="G478" s="9" t="str">
        <f t="shared" si="15"/>
        <v/>
      </c>
      <c r="H478" s="9" t="str">
        <f>_xlfn.IFNA(IF(C478=Lookup!$Q$6,"END",""),"")</f>
        <v/>
      </c>
    </row>
    <row r="479" spans="2:8" x14ac:dyDescent="0.45">
      <c r="B479" s="9">
        <f t="shared" si="14"/>
        <v>474</v>
      </c>
      <c r="C479" s="9" t="e">
        <f>IF(D478=VLOOKUP(C478,Lookup!$P$5:$R$6,3,0),VLOOKUP(C478,Lookup!$P$5:$Q$6,2,0),C478)</f>
        <v>#N/A</v>
      </c>
      <c r="D479" s="22" t="e">
        <f>IF(D478=VLOOKUP(C478,Lookup!$P$5:$R$6,3,0),1,D478+1)</f>
        <v>#N/A</v>
      </c>
      <c r="E479" s="9" t="e">
        <f>IF(C479=Lookup!$P$5,INDEX('view-code'!$P$3:$P$502,'group-code'!D479),"")</f>
        <v>#N/A</v>
      </c>
      <c r="F479" s="9" t="e">
        <f>IF(C479=Lookup!$P$6,INDEX('card-code'!$P$3:$P$502,'group-code'!D479),"")</f>
        <v>#N/A</v>
      </c>
      <c r="G479" s="9" t="str">
        <f t="shared" si="15"/>
        <v/>
      </c>
      <c r="H479" s="9" t="str">
        <f>_xlfn.IFNA(IF(C479=Lookup!$Q$6,"END",""),"")</f>
        <v/>
      </c>
    </row>
    <row r="480" spans="2:8" x14ac:dyDescent="0.45">
      <c r="B480" s="9">
        <f t="shared" si="14"/>
        <v>475</v>
      </c>
      <c r="C480" s="9" t="e">
        <f>IF(D479=VLOOKUP(C479,Lookup!$P$5:$R$6,3,0),VLOOKUP(C479,Lookup!$P$5:$Q$6,2,0),C479)</f>
        <v>#N/A</v>
      </c>
      <c r="D480" s="22" t="e">
        <f>IF(D479=VLOOKUP(C479,Lookup!$P$5:$R$6,3,0),1,D479+1)</f>
        <v>#N/A</v>
      </c>
      <c r="E480" s="9" t="e">
        <f>IF(C480=Lookup!$P$5,INDEX('view-code'!$P$3:$P$502,'group-code'!D480),"")</f>
        <v>#N/A</v>
      </c>
      <c r="F480" s="9" t="e">
        <f>IF(C480=Lookup!$P$6,INDEX('card-code'!$P$3:$P$502,'group-code'!D480),"")</f>
        <v>#N/A</v>
      </c>
      <c r="G480" s="9" t="str">
        <f t="shared" si="15"/>
        <v/>
      </c>
      <c r="H480" s="9" t="str">
        <f>_xlfn.IFNA(IF(C480=Lookup!$Q$6,"END",""),"")</f>
        <v/>
      </c>
    </row>
    <row r="481" spans="2:8" x14ac:dyDescent="0.45">
      <c r="B481" s="9">
        <f t="shared" si="14"/>
        <v>476</v>
      </c>
      <c r="C481" s="9" t="e">
        <f>IF(D480=VLOOKUP(C480,Lookup!$P$5:$R$6,3,0),VLOOKUP(C480,Lookup!$P$5:$Q$6,2,0),C480)</f>
        <v>#N/A</v>
      </c>
      <c r="D481" s="22" t="e">
        <f>IF(D480=VLOOKUP(C480,Lookup!$P$5:$R$6,3,0),1,D480+1)</f>
        <v>#N/A</v>
      </c>
      <c r="E481" s="9" t="e">
        <f>IF(C481=Lookup!$P$5,INDEX('view-code'!$P$3:$P$502,'group-code'!D481),"")</f>
        <v>#N/A</v>
      </c>
      <c r="F481" s="9" t="e">
        <f>IF(C481=Lookup!$P$6,INDEX('card-code'!$P$3:$P$502,'group-code'!D481),"")</f>
        <v>#N/A</v>
      </c>
      <c r="G481" s="9" t="str">
        <f t="shared" si="15"/>
        <v/>
      </c>
      <c r="H481" s="9" t="str">
        <f>_xlfn.IFNA(IF(C481=Lookup!$Q$6,"END",""),"")</f>
        <v/>
      </c>
    </row>
    <row r="482" spans="2:8" x14ac:dyDescent="0.45">
      <c r="B482" s="9">
        <f t="shared" si="14"/>
        <v>477</v>
      </c>
      <c r="C482" s="9" t="e">
        <f>IF(D481=VLOOKUP(C481,Lookup!$P$5:$R$6,3,0),VLOOKUP(C481,Lookup!$P$5:$Q$6,2,0),C481)</f>
        <v>#N/A</v>
      </c>
      <c r="D482" s="22" t="e">
        <f>IF(D481=VLOOKUP(C481,Lookup!$P$5:$R$6,3,0),1,D481+1)</f>
        <v>#N/A</v>
      </c>
      <c r="E482" s="9" t="e">
        <f>IF(C482=Lookup!$P$5,INDEX('view-code'!$P$3:$P$502,'group-code'!D482),"")</f>
        <v>#N/A</v>
      </c>
      <c r="F482" s="9" t="e">
        <f>IF(C482=Lookup!$P$6,INDEX('card-code'!$P$3:$P$502,'group-code'!D482),"")</f>
        <v>#N/A</v>
      </c>
      <c r="G482" s="9" t="str">
        <f t="shared" si="15"/>
        <v/>
      </c>
      <c r="H482" s="9" t="str">
        <f>_xlfn.IFNA(IF(C482=Lookup!$Q$6,"END",""),"")</f>
        <v/>
      </c>
    </row>
    <row r="483" spans="2:8" x14ac:dyDescent="0.45">
      <c r="B483" s="9">
        <f t="shared" si="14"/>
        <v>478</v>
      </c>
      <c r="C483" s="9" t="e">
        <f>IF(D482=VLOOKUP(C482,Lookup!$P$5:$R$6,3,0),VLOOKUP(C482,Lookup!$P$5:$Q$6,2,0),C482)</f>
        <v>#N/A</v>
      </c>
      <c r="D483" s="22" t="e">
        <f>IF(D482=VLOOKUP(C482,Lookup!$P$5:$R$6,3,0),1,D482+1)</f>
        <v>#N/A</v>
      </c>
      <c r="E483" s="9" t="e">
        <f>IF(C483=Lookup!$P$5,INDEX('view-code'!$P$3:$P$502,'group-code'!D483),"")</f>
        <v>#N/A</v>
      </c>
      <c r="F483" s="9" t="e">
        <f>IF(C483=Lookup!$P$6,INDEX('card-code'!$P$3:$P$502,'group-code'!D483),"")</f>
        <v>#N/A</v>
      </c>
      <c r="G483" s="9" t="str">
        <f t="shared" si="15"/>
        <v/>
      </c>
      <c r="H483" s="9" t="str">
        <f>_xlfn.IFNA(IF(C483=Lookup!$Q$6,"END",""),"")</f>
        <v/>
      </c>
    </row>
    <row r="484" spans="2:8" x14ac:dyDescent="0.45">
      <c r="B484" s="9">
        <f t="shared" si="14"/>
        <v>479</v>
      </c>
      <c r="C484" s="9" t="e">
        <f>IF(D483=VLOOKUP(C483,Lookup!$P$5:$R$6,3,0),VLOOKUP(C483,Lookup!$P$5:$Q$6,2,0),C483)</f>
        <v>#N/A</v>
      </c>
      <c r="D484" s="22" t="e">
        <f>IF(D483=VLOOKUP(C483,Lookup!$P$5:$R$6,3,0),1,D483+1)</f>
        <v>#N/A</v>
      </c>
      <c r="E484" s="9" t="e">
        <f>IF(C484=Lookup!$P$5,INDEX('view-code'!$P$3:$P$502,'group-code'!D484),"")</f>
        <v>#N/A</v>
      </c>
      <c r="F484" s="9" t="e">
        <f>IF(C484=Lookup!$P$6,INDEX('card-code'!$P$3:$P$502,'group-code'!D484),"")</f>
        <v>#N/A</v>
      </c>
      <c r="G484" s="9" t="str">
        <f t="shared" si="15"/>
        <v/>
      </c>
      <c r="H484" s="9" t="str">
        <f>_xlfn.IFNA(IF(C484=Lookup!$Q$6,"END",""),"")</f>
        <v/>
      </c>
    </row>
    <row r="485" spans="2:8" x14ac:dyDescent="0.45">
      <c r="B485" s="9">
        <f t="shared" si="14"/>
        <v>480</v>
      </c>
      <c r="C485" s="9" t="e">
        <f>IF(D484=VLOOKUP(C484,Lookup!$P$5:$R$6,3,0),VLOOKUP(C484,Lookup!$P$5:$Q$6,2,0),C484)</f>
        <v>#N/A</v>
      </c>
      <c r="D485" s="22" t="e">
        <f>IF(D484=VLOOKUP(C484,Lookup!$P$5:$R$6,3,0),1,D484+1)</f>
        <v>#N/A</v>
      </c>
      <c r="E485" s="9" t="e">
        <f>IF(C485=Lookup!$P$5,INDEX('view-code'!$P$3:$P$502,'group-code'!D485),"")</f>
        <v>#N/A</v>
      </c>
      <c r="F485" s="9" t="e">
        <f>IF(C485=Lookup!$P$6,INDEX('card-code'!$P$3:$P$502,'group-code'!D485),"")</f>
        <v>#N/A</v>
      </c>
      <c r="G485" s="9" t="str">
        <f t="shared" si="15"/>
        <v/>
      </c>
      <c r="H485" s="9" t="str">
        <f>_xlfn.IFNA(IF(C485=Lookup!$Q$6,"END",""),"")</f>
        <v/>
      </c>
    </row>
    <row r="486" spans="2:8" x14ac:dyDescent="0.45">
      <c r="B486" s="9">
        <f t="shared" si="14"/>
        <v>481</v>
      </c>
      <c r="C486" s="9" t="e">
        <f>IF(D485=VLOOKUP(C485,Lookup!$P$5:$R$6,3,0),VLOOKUP(C485,Lookup!$P$5:$Q$6,2,0),C485)</f>
        <v>#N/A</v>
      </c>
      <c r="D486" s="22" t="e">
        <f>IF(D485=VLOOKUP(C485,Lookup!$P$5:$R$6,3,0),1,D485+1)</f>
        <v>#N/A</v>
      </c>
      <c r="E486" s="9" t="e">
        <f>IF(C486=Lookup!$P$5,INDEX('view-code'!$P$3:$P$502,'group-code'!D486),"")</f>
        <v>#N/A</v>
      </c>
      <c r="F486" s="9" t="e">
        <f>IF(C486=Lookup!$P$6,INDEX('card-code'!$P$3:$P$502,'group-code'!D486),"")</f>
        <v>#N/A</v>
      </c>
      <c r="G486" s="9" t="str">
        <f t="shared" si="15"/>
        <v/>
      </c>
      <c r="H486" s="9" t="str">
        <f>_xlfn.IFNA(IF(C486=Lookup!$Q$6,"END",""),"")</f>
        <v/>
      </c>
    </row>
    <row r="487" spans="2:8" x14ac:dyDescent="0.45">
      <c r="B487" s="9">
        <f t="shared" si="14"/>
        <v>482</v>
      </c>
      <c r="C487" s="9" t="e">
        <f>IF(D486=VLOOKUP(C486,Lookup!$P$5:$R$6,3,0),VLOOKUP(C486,Lookup!$P$5:$Q$6,2,0),C486)</f>
        <v>#N/A</v>
      </c>
      <c r="D487" s="22" t="e">
        <f>IF(D486=VLOOKUP(C486,Lookup!$P$5:$R$6,3,0),1,D486+1)</f>
        <v>#N/A</v>
      </c>
      <c r="E487" s="9" t="e">
        <f>IF(C487=Lookup!$P$5,INDEX('view-code'!$P$3:$P$502,'group-code'!D487),"")</f>
        <v>#N/A</v>
      </c>
      <c r="F487" s="9" t="e">
        <f>IF(C487=Lookup!$P$6,INDEX('card-code'!$P$3:$P$502,'group-code'!D487),"")</f>
        <v>#N/A</v>
      </c>
      <c r="G487" s="9" t="str">
        <f t="shared" si="15"/>
        <v/>
      </c>
      <c r="H487" s="9" t="str">
        <f>_xlfn.IFNA(IF(C487=Lookup!$Q$6,"END",""),"")</f>
        <v/>
      </c>
    </row>
    <row r="488" spans="2:8" x14ac:dyDescent="0.45">
      <c r="B488" s="9">
        <f t="shared" si="14"/>
        <v>483</v>
      </c>
      <c r="C488" s="9" t="e">
        <f>IF(D487=VLOOKUP(C487,Lookup!$P$5:$R$6,3,0),VLOOKUP(C487,Lookup!$P$5:$Q$6,2,0),C487)</f>
        <v>#N/A</v>
      </c>
      <c r="D488" s="22" t="e">
        <f>IF(D487=VLOOKUP(C487,Lookup!$P$5:$R$6,3,0),1,D487+1)</f>
        <v>#N/A</v>
      </c>
      <c r="E488" s="9" t="e">
        <f>IF(C488=Lookup!$P$5,INDEX('view-code'!$P$3:$P$502,'group-code'!D488),"")</f>
        <v>#N/A</v>
      </c>
      <c r="F488" s="9" t="e">
        <f>IF(C488=Lookup!$P$6,INDEX('card-code'!$P$3:$P$502,'group-code'!D488),"")</f>
        <v>#N/A</v>
      </c>
      <c r="G488" s="9" t="str">
        <f t="shared" si="15"/>
        <v/>
      </c>
      <c r="H488" s="9" t="str">
        <f>_xlfn.IFNA(IF(C488=Lookup!$Q$6,"END",""),"")</f>
        <v/>
      </c>
    </row>
    <row r="489" spans="2:8" x14ac:dyDescent="0.45">
      <c r="B489" s="9">
        <f t="shared" si="14"/>
        <v>484</v>
      </c>
      <c r="C489" s="9" t="e">
        <f>IF(D488=VLOOKUP(C488,Lookup!$P$5:$R$6,3,0),VLOOKUP(C488,Lookup!$P$5:$Q$6,2,0),C488)</f>
        <v>#N/A</v>
      </c>
      <c r="D489" s="22" t="e">
        <f>IF(D488=VLOOKUP(C488,Lookup!$P$5:$R$6,3,0),1,D488+1)</f>
        <v>#N/A</v>
      </c>
      <c r="E489" s="9" t="e">
        <f>IF(C489=Lookup!$P$5,INDEX('view-code'!$P$3:$P$502,'group-code'!D489),"")</f>
        <v>#N/A</v>
      </c>
      <c r="F489" s="9" t="e">
        <f>IF(C489=Lookup!$P$6,INDEX('card-code'!$P$3:$P$502,'group-code'!D489),"")</f>
        <v>#N/A</v>
      </c>
      <c r="G489" s="9" t="str">
        <f t="shared" si="15"/>
        <v/>
      </c>
      <c r="H489" s="9" t="str">
        <f>_xlfn.IFNA(IF(C489=Lookup!$Q$6,"END",""),"")</f>
        <v/>
      </c>
    </row>
    <row r="490" spans="2:8" x14ac:dyDescent="0.45">
      <c r="B490" s="9">
        <f t="shared" si="14"/>
        <v>485</v>
      </c>
      <c r="C490" s="9" t="e">
        <f>IF(D489=VLOOKUP(C489,Lookup!$P$5:$R$6,3,0),VLOOKUP(C489,Lookup!$P$5:$Q$6,2,0),C489)</f>
        <v>#N/A</v>
      </c>
      <c r="D490" s="22" t="e">
        <f>IF(D489=VLOOKUP(C489,Lookup!$P$5:$R$6,3,0),1,D489+1)</f>
        <v>#N/A</v>
      </c>
      <c r="E490" s="9" t="e">
        <f>IF(C490=Lookup!$P$5,INDEX('view-code'!$P$3:$P$502,'group-code'!D490),"")</f>
        <v>#N/A</v>
      </c>
      <c r="F490" s="9" t="e">
        <f>IF(C490=Lookup!$P$6,INDEX('card-code'!$P$3:$P$502,'group-code'!D490),"")</f>
        <v>#N/A</v>
      </c>
      <c r="G490" s="9" t="str">
        <f t="shared" si="15"/>
        <v/>
      </c>
      <c r="H490" s="9" t="str">
        <f>_xlfn.IFNA(IF(C490=Lookup!$Q$6,"END",""),"")</f>
        <v/>
      </c>
    </row>
    <row r="491" spans="2:8" x14ac:dyDescent="0.45">
      <c r="B491" s="9">
        <f t="shared" si="14"/>
        <v>486</v>
      </c>
      <c r="C491" s="9" t="e">
        <f>IF(D490=VLOOKUP(C490,Lookup!$P$5:$R$6,3,0),VLOOKUP(C490,Lookup!$P$5:$Q$6,2,0),C490)</f>
        <v>#N/A</v>
      </c>
      <c r="D491" s="22" t="e">
        <f>IF(D490=VLOOKUP(C490,Lookup!$P$5:$R$6,3,0),1,D490+1)</f>
        <v>#N/A</v>
      </c>
      <c r="E491" s="9" t="e">
        <f>IF(C491=Lookup!$P$5,INDEX('view-code'!$P$3:$P$502,'group-code'!D491),"")</f>
        <v>#N/A</v>
      </c>
      <c r="F491" s="9" t="e">
        <f>IF(C491=Lookup!$P$6,INDEX('card-code'!$P$3:$P$502,'group-code'!D491),"")</f>
        <v>#N/A</v>
      </c>
      <c r="G491" s="9" t="str">
        <f t="shared" si="15"/>
        <v/>
      </c>
      <c r="H491" s="9" t="str">
        <f>_xlfn.IFNA(IF(C491=Lookup!$Q$6,"END",""),"")</f>
        <v/>
      </c>
    </row>
    <row r="492" spans="2:8" x14ac:dyDescent="0.45">
      <c r="B492" s="9">
        <f t="shared" si="14"/>
        <v>487</v>
      </c>
      <c r="C492" s="9" t="e">
        <f>IF(D491=VLOOKUP(C491,Lookup!$P$5:$R$6,3,0),VLOOKUP(C491,Lookup!$P$5:$Q$6,2,0),C491)</f>
        <v>#N/A</v>
      </c>
      <c r="D492" s="22" t="e">
        <f>IF(D491=VLOOKUP(C491,Lookup!$P$5:$R$6,3,0),1,D491+1)</f>
        <v>#N/A</v>
      </c>
      <c r="E492" s="9" t="e">
        <f>IF(C492=Lookup!$P$5,INDEX('view-code'!$P$3:$P$502,'group-code'!D492),"")</f>
        <v>#N/A</v>
      </c>
      <c r="F492" s="9" t="e">
        <f>IF(C492=Lookup!$P$6,INDEX('card-code'!$P$3:$P$502,'group-code'!D492),"")</f>
        <v>#N/A</v>
      </c>
      <c r="G492" s="9" t="str">
        <f t="shared" si="15"/>
        <v/>
      </c>
      <c r="H492" s="9" t="str">
        <f>_xlfn.IFNA(IF(C492=Lookup!$Q$6,"END",""),"")</f>
        <v/>
      </c>
    </row>
    <row r="493" spans="2:8" x14ac:dyDescent="0.45">
      <c r="B493" s="9">
        <f t="shared" si="14"/>
        <v>488</v>
      </c>
      <c r="C493" s="9" t="e">
        <f>IF(D492=VLOOKUP(C492,Lookup!$P$5:$R$6,3,0),VLOOKUP(C492,Lookup!$P$5:$Q$6,2,0),C492)</f>
        <v>#N/A</v>
      </c>
      <c r="D493" s="22" t="e">
        <f>IF(D492=VLOOKUP(C492,Lookup!$P$5:$R$6,3,0),1,D492+1)</f>
        <v>#N/A</v>
      </c>
      <c r="E493" s="9" t="e">
        <f>IF(C493=Lookup!$P$5,INDEX('view-code'!$P$3:$P$502,'group-code'!D493),"")</f>
        <v>#N/A</v>
      </c>
      <c r="F493" s="9" t="e">
        <f>IF(C493=Lookup!$P$6,INDEX('card-code'!$P$3:$P$502,'group-code'!D493),"")</f>
        <v>#N/A</v>
      </c>
      <c r="G493" s="9" t="str">
        <f t="shared" si="15"/>
        <v/>
      </c>
      <c r="H493" s="9" t="str">
        <f>_xlfn.IFNA(IF(C493=Lookup!$Q$6,"END",""),"")</f>
        <v/>
      </c>
    </row>
    <row r="494" spans="2:8" x14ac:dyDescent="0.45">
      <c r="B494" s="9">
        <f t="shared" si="14"/>
        <v>489</v>
      </c>
      <c r="C494" s="9" t="e">
        <f>IF(D493=VLOOKUP(C493,Lookup!$P$5:$R$6,3,0),VLOOKUP(C493,Lookup!$P$5:$Q$6,2,0),C493)</f>
        <v>#N/A</v>
      </c>
      <c r="D494" s="22" t="e">
        <f>IF(D493=VLOOKUP(C493,Lookup!$P$5:$R$6,3,0),1,D493+1)</f>
        <v>#N/A</v>
      </c>
      <c r="E494" s="9" t="e">
        <f>IF(C494=Lookup!$P$5,INDEX('view-code'!$P$3:$P$502,'group-code'!D494),"")</f>
        <v>#N/A</v>
      </c>
      <c r="F494" s="9" t="e">
        <f>IF(C494=Lookup!$P$6,INDEX('card-code'!$P$3:$P$502,'group-code'!D494),"")</f>
        <v>#N/A</v>
      </c>
      <c r="G494" s="9" t="str">
        <f t="shared" si="15"/>
        <v/>
      </c>
      <c r="H494" s="9" t="str">
        <f>_xlfn.IFNA(IF(C494=Lookup!$Q$6,"END",""),"")</f>
        <v/>
      </c>
    </row>
    <row r="495" spans="2:8" x14ac:dyDescent="0.45">
      <c r="B495" s="9">
        <f t="shared" si="14"/>
        <v>490</v>
      </c>
      <c r="C495" s="9" t="e">
        <f>IF(D494=VLOOKUP(C494,Lookup!$P$5:$R$6,3,0),VLOOKUP(C494,Lookup!$P$5:$Q$6,2,0),C494)</f>
        <v>#N/A</v>
      </c>
      <c r="D495" s="22" t="e">
        <f>IF(D494=VLOOKUP(C494,Lookup!$P$5:$R$6,3,0),1,D494+1)</f>
        <v>#N/A</v>
      </c>
      <c r="E495" s="9" t="e">
        <f>IF(C495=Lookup!$P$5,INDEX('view-code'!$P$3:$P$502,'group-code'!D495),"")</f>
        <v>#N/A</v>
      </c>
      <c r="F495" s="9" t="e">
        <f>IF(C495=Lookup!$P$6,INDEX('card-code'!$P$3:$P$502,'group-code'!D495),"")</f>
        <v>#N/A</v>
      </c>
      <c r="G495" s="9" t="str">
        <f t="shared" si="15"/>
        <v/>
      </c>
      <c r="H495" s="9" t="str">
        <f>_xlfn.IFNA(IF(C495=Lookup!$Q$6,"END",""),"")</f>
        <v/>
      </c>
    </row>
    <row r="496" spans="2:8" x14ac:dyDescent="0.45">
      <c r="B496" s="9">
        <f t="shared" si="14"/>
        <v>491</v>
      </c>
      <c r="C496" s="9" t="e">
        <f>IF(D495=VLOOKUP(C495,Lookup!$P$5:$R$6,3,0),VLOOKUP(C495,Lookup!$P$5:$Q$6,2,0),C495)</f>
        <v>#N/A</v>
      </c>
      <c r="D496" s="22" t="e">
        <f>IF(D495=VLOOKUP(C495,Lookup!$P$5:$R$6,3,0),1,D495+1)</f>
        <v>#N/A</v>
      </c>
      <c r="E496" s="9" t="e">
        <f>IF(C496=Lookup!$P$5,INDEX('view-code'!$P$3:$P$502,'group-code'!D496),"")</f>
        <v>#N/A</v>
      </c>
      <c r="F496" s="9" t="e">
        <f>IF(C496=Lookup!$P$6,INDEX('card-code'!$P$3:$P$502,'group-code'!D496),"")</f>
        <v>#N/A</v>
      </c>
      <c r="G496" s="9" t="str">
        <f t="shared" si="15"/>
        <v/>
      </c>
      <c r="H496" s="9" t="str">
        <f>_xlfn.IFNA(IF(C496=Lookup!$Q$6,"END",""),"")</f>
        <v/>
      </c>
    </row>
    <row r="497" spans="2:8" x14ac:dyDescent="0.45">
      <c r="B497" s="9">
        <f t="shared" si="14"/>
        <v>492</v>
      </c>
      <c r="C497" s="9" t="e">
        <f>IF(D496=VLOOKUP(C496,Lookup!$P$5:$R$6,3,0),VLOOKUP(C496,Lookup!$P$5:$Q$6,2,0),C496)</f>
        <v>#N/A</v>
      </c>
      <c r="D497" s="22" t="e">
        <f>IF(D496=VLOOKUP(C496,Lookup!$P$5:$R$6,3,0),1,D496+1)</f>
        <v>#N/A</v>
      </c>
      <c r="E497" s="9" t="e">
        <f>IF(C497=Lookup!$P$5,INDEX('view-code'!$P$3:$P$502,'group-code'!D497),"")</f>
        <v>#N/A</v>
      </c>
      <c r="F497" s="9" t="e">
        <f>IF(C497=Lookup!$P$6,INDEX('card-code'!$P$3:$P$502,'group-code'!D497),"")</f>
        <v>#N/A</v>
      </c>
      <c r="G497" s="9" t="str">
        <f t="shared" si="15"/>
        <v/>
      </c>
      <c r="H497" s="9" t="str">
        <f>_xlfn.IFNA(IF(C497=Lookup!$Q$6,"END",""),"")</f>
        <v/>
      </c>
    </row>
    <row r="498" spans="2:8" x14ac:dyDescent="0.45">
      <c r="B498" s="9">
        <f t="shared" si="14"/>
        <v>493</v>
      </c>
      <c r="C498" s="9" t="e">
        <f>IF(D497=VLOOKUP(C497,Lookup!$P$5:$R$6,3,0),VLOOKUP(C497,Lookup!$P$5:$Q$6,2,0),C497)</f>
        <v>#N/A</v>
      </c>
      <c r="D498" s="22" t="e">
        <f>IF(D497=VLOOKUP(C497,Lookup!$P$5:$R$6,3,0),1,D497+1)</f>
        <v>#N/A</v>
      </c>
      <c r="E498" s="9" t="e">
        <f>IF(C498=Lookup!$P$5,INDEX('view-code'!$P$3:$P$502,'group-code'!D498),"")</f>
        <v>#N/A</v>
      </c>
      <c r="F498" s="9" t="e">
        <f>IF(C498=Lookup!$P$6,INDEX('card-code'!$P$3:$P$502,'group-code'!D498),"")</f>
        <v>#N/A</v>
      </c>
      <c r="G498" s="9" t="str">
        <f t="shared" si="15"/>
        <v/>
      </c>
      <c r="H498" s="9" t="str">
        <f>_xlfn.IFNA(IF(C498=Lookup!$Q$6,"END",""),"")</f>
        <v/>
      </c>
    </row>
    <row r="499" spans="2:8" x14ac:dyDescent="0.45">
      <c r="B499" s="9">
        <f t="shared" si="14"/>
        <v>494</v>
      </c>
      <c r="C499" s="9" t="e">
        <f>IF(D498=VLOOKUP(C498,Lookup!$P$5:$R$6,3,0),VLOOKUP(C498,Lookup!$P$5:$Q$6,2,0),C498)</f>
        <v>#N/A</v>
      </c>
      <c r="D499" s="22" t="e">
        <f>IF(D498=VLOOKUP(C498,Lookup!$P$5:$R$6,3,0),1,D498+1)</f>
        <v>#N/A</v>
      </c>
      <c r="E499" s="9" t="e">
        <f>IF(C499=Lookup!$P$5,INDEX('view-code'!$P$3:$P$502,'group-code'!D499),"")</f>
        <v>#N/A</v>
      </c>
      <c r="F499" s="9" t="e">
        <f>IF(C499=Lookup!$P$6,INDEX('card-code'!$P$3:$P$502,'group-code'!D499),"")</f>
        <v>#N/A</v>
      </c>
      <c r="G499" s="9" t="str">
        <f t="shared" si="15"/>
        <v/>
      </c>
      <c r="H499" s="9" t="str">
        <f>_xlfn.IFNA(IF(C499=Lookup!$Q$6,"END",""),"")</f>
        <v/>
      </c>
    </row>
    <row r="500" spans="2:8" x14ac:dyDescent="0.45">
      <c r="B500" s="9">
        <f t="shared" si="14"/>
        <v>495</v>
      </c>
      <c r="C500" s="9" t="e">
        <f>IF(D499=VLOOKUP(C499,Lookup!$P$5:$R$6,3,0),VLOOKUP(C499,Lookup!$P$5:$Q$6,2,0),C499)</f>
        <v>#N/A</v>
      </c>
      <c r="D500" s="22" t="e">
        <f>IF(D499=VLOOKUP(C499,Lookup!$P$5:$R$6,3,0),1,D499+1)</f>
        <v>#N/A</v>
      </c>
      <c r="E500" s="9" t="e">
        <f>IF(C500=Lookup!$P$5,INDEX('view-code'!$P$3:$P$502,'group-code'!D500),"")</f>
        <v>#N/A</v>
      </c>
      <c r="F500" s="9" t="e">
        <f>IF(C500=Lookup!$P$6,INDEX('card-code'!$P$3:$P$502,'group-code'!D500),"")</f>
        <v>#N/A</v>
      </c>
      <c r="G500" s="9" t="str">
        <f t="shared" si="15"/>
        <v/>
      </c>
      <c r="H500" s="9" t="str">
        <f>_xlfn.IFNA(IF(C500=Lookup!$Q$6,"END",""),"")</f>
        <v/>
      </c>
    </row>
    <row r="501" spans="2:8" x14ac:dyDescent="0.45">
      <c r="B501" s="9">
        <f t="shared" si="14"/>
        <v>496</v>
      </c>
      <c r="C501" s="9" t="e">
        <f>IF(D500=VLOOKUP(C500,Lookup!$P$5:$R$6,3,0),VLOOKUP(C500,Lookup!$P$5:$Q$6,2,0),C500)</f>
        <v>#N/A</v>
      </c>
      <c r="D501" s="22" t="e">
        <f>IF(D500=VLOOKUP(C500,Lookup!$P$5:$R$6,3,0),1,D500+1)</f>
        <v>#N/A</v>
      </c>
      <c r="E501" s="9" t="e">
        <f>IF(C501=Lookup!$P$5,INDEX('view-code'!$P$3:$P$502,'group-code'!D501),"")</f>
        <v>#N/A</v>
      </c>
      <c r="F501" s="9" t="e">
        <f>IF(C501=Lookup!$P$6,INDEX('card-code'!$P$3:$P$502,'group-code'!D501),"")</f>
        <v>#N/A</v>
      </c>
      <c r="G501" s="9" t="str">
        <f t="shared" si="15"/>
        <v/>
      </c>
      <c r="H501" s="9" t="str">
        <f>_xlfn.IFNA(IF(C501=Lookup!$Q$6,"END",""),"")</f>
        <v/>
      </c>
    </row>
    <row r="502" spans="2:8" x14ac:dyDescent="0.45">
      <c r="B502" s="9">
        <f t="shared" si="14"/>
        <v>497</v>
      </c>
      <c r="C502" s="9" t="e">
        <f>IF(D501=VLOOKUP(C501,Lookup!$P$5:$R$6,3,0),VLOOKUP(C501,Lookup!$P$5:$Q$6,2,0),C501)</f>
        <v>#N/A</v>
      </c>
      <c r="D502" s="22" t="e">
        <f>IF(D501=VLOOKUP(C501,Lookup!$P$5:$R$6,3,0),1,D501+1)</f>
        <v>#N/A</v>
      </c>
      <c r="E502" s="9" t="e">
        <f>IF(C502=Lookup!$P$5,INDEX('view-code'!$P$3:$P$502,'group-code'!D502),"")</f>
        <v>#N/A</v>
      </c>
      <c r="F502" s="9" t="e">
        <f>IF(C502=Lookup!$P$6,INDEX('card-code'!$P$3:$P$502,'group-code'!D502),"")</f>
        <v>#N/A</v>
      </c>
      <c r="G502" s="9" t="str">
        <f t="shared" si="15"/>
        <v/>
      </c>
      <c r="H502" s="9" t="str">
        <f>_xlfn.IFNA(IF(C502=Lookup!$Q$6,"END",""),"")</f>
        <v/>
      </c>
    </row>
    <row r="503" spans="2:8" x14ac:dyDescent="0.45">
      <c r="B503" s="9">
        <f t="shared" si="14"/>
        <v>498</v>
      </c>
      <c r="C503" s="9" t="e">
        <f>IF(D502=VLOOKUP(C502,Lookup!$P$5:$R$6,3,0),VLOOKUP(C502,Lookup!$P$5:$Q$6,2,0),C502)</f>
        <v>#N/A</v>
      </c>
      <c r="D503" s="22" t="e">
        <f>IF(D502=VLOOKUP(C502,Lookup!$P$5:$R$6,3,0),1,D502+1)</f>
        <v>#N/A</v>
      </c>
      <c r="E503" s="9" t="e">
        <f>IF(C503=Lookup!$P$5,INDEX('view-code'!$P$3:$P$502,'group-code'!D503),"")</f>
        <v>#N/A</v>
      </c>
      <c r="F503" s="9" t="e">
        <f>IF(C503=Lookup!$P$6,INDEX('card-code'!$P$3:$P$502,'group-code'!D503),"")</f>
        <v>#N/A</v>
      </c>
      <c r="G503" s="9" t="str">
        <f t="shared" si="15"/>
        <v/>
      </c>
      <c r="H503" s="9" t="str">
        <f>_xlfn.IFNA(IF(C503=Lookup!$Q$6,"END",""),"")</f>
        <v/>
      </c>
    </row>
    <row r="504" spans="2:8" x14ac:dyDescent="0.45">
      <c r="B504" s="9">
        <f t="shared" si="14"/>
        <v>499</v>
      </c>
      <c r="C504" s="9" t="e">
        <f>IF(D503=VLOOKUP(C503,Lookup!$P$5:$R$6,3,0),VLOOKUP(C503,Lookup!$P$5:$Q$6,2,0),C503)</f>
        <v>#N/A</v>
      </c>
      <c r="D504" s="22" t="e">
        <f>IF(D503=VLOOKUP(C503,Lookup!$P$5:$R$6,3,0),1,D503+1)</f>
        <v>#N/A</v>
      </c>
      <c r="E504" s="9" t="e">
        <f>IF(C504=Lookup!$P$5,INDEX('view-code'!$P$3:$P$502,'group-code'!D504),"")</f>
        <v>#N/A</v>
      </c>
      <c r="F504" s="9" t="e">
        <f>IF(C504=Lookup!$P$6,INDEX('card-code'!$P$3:$P$502,'group-code'!D504),"")</f>
        <v>#N/A</v>
      </c>
      <c r="G504" s="9" t="str">
        <f t="shared" si="15"/>
        <v/>
      </c>
      <c r="H504" s="9" t="str">
        <f>_xlfn.IFNA(IF(C504=Lookup!$Q$6,"END",""),"")</f>
        <v/>
      </c>
    </row>
    <row r="505" spans="2:8" x14ac:dyDescent="0.45">
      <c r="B505" s="9">
        <f t="shared" si="14"/>
        <v>500</v>
      </c>
      <c r="C505" s="9" t="e">
        <f>IF(D504=VLOOKUP(C504,Lookup!$P$5:$R$6,3,0),VLOOKUP(C504,Lookup!$P$5:$Q$6,2,0),C504)</f>
        <v>#N/A</v>
      </c>
      <c r="D505" s="22" t="e">
        <f>IF(D504=VLOOKUP(C504,Lookup!$P$5:$R$6,3,0),1,D504+1)</f>
        <v>#N/A</v>
      </c>
      <c r="E505" s="9" t="e">
        <f>IF(C505=Lookup!$P$5,INDEX('view-code'!$P$3:$P$502,'group-code'!D505),"")</f>
        <v>#N/A</v>
      </c>
      <c r="F505" s="9" t="e">
        <f>IF(C505=Lookup!$P$6,INDEX('card-code'!$P$3:$P$502,'group-code'!D505),"")</f>
        <v>#N/A</v>
      </c>
      <c r="G505" s="9" t="str">
        <f t="shared" si="15"/>
        <v/>
      </c>
      <c r="H505" s="9" t="str">
        <f>_xlfn.IFNA(IF(C505=Lookup!$Q$6,"END",""),"")</f>
        <v/>
      </c>
    </row>
    <row r="506" spans="2:8" x14ac:dyDescent="0.45">
      <c r="B506" s="9">
        <f t="shared" si="14"/>
        <v>501</v>
      </c>
      <c r="C506" s="9" t="e">
        <f>IF(D505=VLOOKUP(C505,Lookup!$P$5:$R$6,3,0),VLOOKUP(C505,Lookup!$P$5:$Q$6,2,0),C505)</f>
        <v>#N/A</v>
      </c>
      <c r="D506" s="22" t="e">
        <f>IF(D505=VLOOKUP(C505,Lookup!$P$5:$R$6,3,0),1,D505+1)</f>
        <v>#N/A</v>
      </c>
      <c r="E506" s="9" t="e">
        <f>IF(C506=Lookup!$P$5,INDEX('view-code'!$P$3:$P$502,'group-code'!D506),"")</f>
        <v>#N/A</v>
      </c>
      <c r="F506" s="9" t="e">
        <f>IF(C506=Lookup!$P$6,INDEX('card-code'!$P$3:$P$502,'group-code'!D506),"")</f>
        <v>#N/A</v>
      </c>
      <c r="G506" s="9" t="str">
        <f t="shared" ref="G506:G569" si="16">_xlfn.IFNA(  E506&amp;F506,  "")</f>
        <v/>
      </c>
      <c r="H506" s="9" t="str">
        <f>_xlfn.IFNA(IF(C506=Lookup!$Q$6,"END",""),"")</f>
        <v/>
      </c>
    </row>
    <row r="507" spans="2:8" x14ac:dyDescent="0.45">
      <c r="B507" s="9">
        <f t="shared" si="14"/>
        <v>502</v>
      </c>
      <c r="C507" s="9" t="e">
        <f>IF(D506=VLOOKUP(C506,Lookup!$P$5:$R$6,3,0),VLOOKUP(C506,Lookup!$P$5:$Q$6,2,0),C506)</f>
        <v>#N/A</v>
      </c>
      <c r="D507" s="22" t="e">
        <f>IF(D506=VLOOKUP(C506,Lookup!$P$5:$R$6,3,0),1,D506+1)</f>
        <v>#N/A</v>
      </c>
      <c r="E507" s="9" t="e">
        <f>IF(C507=Lookup!$P$5,INDEX('view-code'!$P$3:$P$502,'group-code'!D507),"")</f>
        <v>#N/A</v>
      </c>
      <c r="F507" s="9" t="e">
        <f>IF(C507=Lookup!$P$6,INDEX('card-code'!$P$3:$P$502,'group-code'!D507),"")</f>
        <v>#N/A</v>
      </c>
      <c r="G507" s="9" t="str">
        <f t="shared" si="16"/>
        <v/>
      </c>
      <c r="H507" s="9" t="str">
        <f>_xlfn.IFNA(IF(C507=Lookup!$Q$6,"END",""),"")</f>
        <v/>
      </c>
    </row>
    <row r="508" spans="2:8" x14ac:dyDescent="0.45">
      <c r="B508" s="9">
        <f t="shared" si="14"/>
        <v>503</v>
      </c>
      <c r="C508" s="9" t="e">
        <f>IF(D507=VLOOKUP(C507,Lookup!$P$5:$R$6,3,0),VLOOKUP(C507,Lookup!$P$5:$Q$6,2,0),C507)</f>
        <v>#N/A</v>
      </c>
      <c r="D508" s="22" t="e">
        <f>IF(D507=VLOOKUP(C507,Lookup!$P$5:$R$6,3,0),1,D507+1)</f>
        <v>#N/A</v>
      </c>
      <c r="E508" s="9" t="e">
        <f>IF(C508=Lookup!$P$5,INDEX('view-code'!$P$3:$P$502,'group-code'!D508),"")</f>
        <v>#N/A</v>
      </c>
      <c r="F508" s="9" t="e">
        <f>IF(C508=Lookup!$P$6,INDEX('card-code'!$P$3:$P$502,'group-code'!D508),"")</f>
        <v>#N/A</v>
      </c>
      <c r="G508" s="9" t="str">
        <f t="shared" si="16"/>
        <v/>
      </c>
      <c r="H508" s="9" t="str">
        <f>_xlfn.IFNA(IF(C508=Lookup!$Q$6,"END",""),"")</f>
        <v/>
      </c>
    </row>
    <row r="509" spans="2:8" x14ac:dyDescent="0.45">
      <c r="B509" s="9">
        <f t="shared" si="14"/>
        <v>504</v>
      </c>
      <c r="C509" s="9" t="e">
        <f>IF(D508=VLOOKUP(C508,Lookup!$P$5:$R$6,3,0),VLOOKUP(C508,Lookup!$P$5:$Q$6,2,0),C508)</f>
        <v>#N/A</v>
      </c>
      <c r="D509" s="22" t="e">
        <f>IF(D508=VLOOKUP(C508,Lookup!$P$5:$R$6,3,0),1,D508+1)</f>
        <v>#N/A</v>
      </c>
      <c r="E509" s="9" t="e">
        <f>IF(C509=Lookup!$P$5,INDEX('view-code'!$P$3:$P$502,'group-code'!D509),"")</f>
        <v>#N/A</v>
      </c>
      <c r="F509" s="9" t="e">
        <f>IF(C509=Lookup!$P$6,INDEX('card-code'!$P$3:$P$502,'group-code'!D509),"")</f>
        <v>#N/A</v>
      </c>
      <c r="G509" s="9" t="str">
        <f t="shared" si="16"/>
        <v/>
      </c>
      <c r="H509" s="9" t="str">
        <f>_xlfn.IFNA(IF(C509=Lookup!$Q$6,"END",""),"")</f>
        <v/>
      </c>
    </row>
    <row r="510" spans="2:8" x14ac:dyDescent="0.45">
      <c r="B510" s="9">
        <f t="shared" si="14"/>
        <v>505</v>
      </c>
      <c r="C510" s="9" t="e">
        <f>IF(D509=VLOOKUP(C509,Lookup!$P$5:$R$6,3,0),VLOOKUP(C509,Lookup!$P$5:$Q$6,2,0),C509)</f>
        <v>#N/A</v>
      </c>
      <c r="D510" s="22" t="e">
        <f>IF(D509=VLOOKUP(C509,Lookup!$P$5:$R$6,3,0),1,D509+1)</f>
        <v>#N/A</v>
      </c>
      <c r="E510" s="9" t="e">
        <f>IF(C510=Lookup!$P$5,INDEX('view-code'!$P$3:$P$502,'group-code'!D510),"")</f>
        <v>#N/A</v>
      </c>
      <c r="F510" s="9" t="e">
        <f>IF(C510=Lookup!$P$6,INDEX('card-code'!$P$3:$P$502,'group-code'!D510),"")</f>
        <v>#N/A</v>
      </c>
      <c r="G510" s="9" t="str">
        <f t="shared" si="16"/>
        <v/>
      </c>
      <c r="H510" s="9" t="str">
        <f>_xlfn.IFNA(IF(C510=Lookup!$Q$6,"END",""),"")</f>
        <v/>
      </c>
    </row>
    <row r="511" spans="2:8" x14ac:dyDescent="0.45">
      <c r="B511" s="9">
        <f t="shared" si="14"/>
        <v>506</v>
      </c>
      <c r="C511" s="9" t="e">
        <f>IF(D510=VLOOKUP(C510,Lookup!$P$5:$R$6,3,0),VLOOKUP(C510,Lookup!$P$5:$Q$6,2,0),C510)</f>
        <v>#N/A</v>
      </c>
      <c r="D511" s="22" t="e">
        <f>IF(D510=VLOOKUP(C510,Lookup!$P$5:$R$6,3,0),1,D510+1)</f>
        <v>#N/A</v>
      </c>
      <c r="E511" s="9" t="e">
        <f>IF(C511=Lookup!$P$5,INDEX('view-code'!$P$3:$P$502,'group-code'!D511),"")</f>
        <v>#N/A</v>
      </c>
      <c r="F511" s="9" t="e">
        <f>IF(C511=Lookup!$P$6,INDEX('card-code'!$P$3:$P$502,'group-code'!D511),"")</f>
        <v>#N/A</v>
      </c>
      <c r="G511" s="9" t="str">
        <f t="shared" si="16"/>
        <v/>
      </c>
      <c r="H511" s="9" t="str">
        <f>_xlfn.IFNA(IF(C511=Lookup!$Q$6,"END",""),"")</f>
        <v/>
      </c>
    </row>
    <row r="512" spans="2:8" x14ac:dyDescent="0.45">
      <c r="B512" s="9">
        <f t="shared" si="14"/>
        <v>507</v>
      </c>
      <c r="C512" s="9" t="e">
        <f>IF(D511=VLOOKUP(C511,Lookup!$P$5:$R$6,3,0),VLOOKUP(C511,Lookup!$P$5:$Q$6,2,0),C511)</f>
        <v>#N/A</v>
      </c>
      <c r="D512" s="22" t="e">
        <f>IF(D511=VLOOKUP(C511,Lookup!$P$5:$R$6,3,0),1,D511+1)</f>
        <v>#N/A</v>
      </c>
      <c r="E512" s="9" t="e">
        <f>IF(C512=Lookup!$P$5,INDEX('view-code'!$P$3:$P$502,'group-code'!D512),"")</f>
        <v>#N/A</v>
      </c>
      <c r="F512" s="9" t="e">
        <f>IF(C512=Lookup!$P$6,INDEX('card-code'!$P$3:$P$502,'group-code'!D512),"")</f>
        <v>#N/A</v>
      </c>
      <c r="G512" s="9" t="str">
        <f t="shared" si="16"/>
        <v/>
      </c>
      <c r="H512" s="9" t="str">
        <f>_xlfn.IFNA(IF(C512=Lookup!$Q$6,"END",""),"")</f>
        <v/>
      </c>
    </row>
    <row r="513" spans="2:8" x14ac:dyDescent="0.45">
      <c r="B513" s="9">
        <f t="shared" si="14"/>
        <v>508</v>
      </c>
      <c r="C513" s="9" t="e">
        <f>IF(D512=VLOOKUP(C512,Lookup!$P$5:$R$6,3,0),VLOOKUP(C512,Lookup!$P$5:$Q$6,2,0),C512)</f>
        <v>#N/A</v>
      </c>
      <c r="D513" s="22" t="e">
        <f>IF(D512=VLOOKUP(C512,Lookup!$P$5:$R$6,3,0),1,D512+1)</f>
        <v>#N/A</v>
      </c>
      <c r="E513" s="9" t="e">
        <f>IF(C513=Lookup!$P$5,INDEX('view-code'!$P$3:$P$502,'group-code'!D513),"")</f>
        <v>#N/A</v>
      </c>
      <c r="F513" s="9" t="e">
        <f>IF(C513=Lookup!$P$6,INDEX('card-code'!$P$3:$P$502,'group-code'!D513),"")</f>
        <v>#N/A</v>
      </c>
      <c r="G513" s="9" t="str">
        <f t="shared" si="16"/>
        <v/>
      </c>
      <c r="H513" s="9" t="str">
        <f>_xlfn.IFNA(IF(C513=Lookup!$Q$6,"END",""),"")</f>
        <v/>
      </c>
    </row>
    <row r="514" spans="2:8" x14ac:dyDescent="0.45">
      <c r="B514" s="9">
        <f t="shared" si="14"/>
        <v>509</v>
      </c>
      <c r="C514" s="9" t="e">
        <f>IF(D513=VLOOKUP(C513,Lookup!$P$5:$R$6,3,0),VLOOKUP(C513,Lookup!$P$5:$Q$6,2,0),C513)</f>
        <v>#N/A</v>
      </c>
      <c r="D514" s="22" t="e">
        <f>IF(D513=VLOOKUP(C513,Lookup!$P$5:$R$6,3,0),1,D513+1)</f>
        <v>#N/A</v>
      </c>
      <c r="E514" s="9" t="e">
        <f>IF(C514=Lookup!$P$5,INDEX('view-code'!$P$3:$P$502,'group-code'!D514),"")</f>
        <v>#N/A</v>
      </c>
      <c r="F514" s="9" t="e">
        <f>IF(C514=Lookup!$P$6,INDEX('card-code'!$P$3:$P$502,'group-code'!D514),"")</f>
        <v>#N/A</v>
      </c>
      <c r="G514" s="9" t="str">
        <f t="shared" si="16"/>
        <v/>
      </c>
      <c r="H514" s="9" t="str">
        <f>_xlfn.IFNA(IF(C514=Lookup!$Q$6,"END",""),"")</f>
        <v/>
      </c>
    </row>
    <row r="515" spans="2:8" x14ac:dyDescent="0.45">
      <c r="B515" s="9">
        <f t="shared" si="14"/>
        <v>510</v>
      </c>
      <c r="C515" s="9" t="e">
        <f>IF(D514=VLOOKUP(C514,Lookup!$P$5:$R$6,3,0),VLOOKUP(C514,Lookup!$P$5:$Q$6,2,0),C514)</f>
        <v>#N/A</v>
      </c>
      <c r="D515" s="22" t="e">
        <f>IF(D514=VLOOKUP(C514,Lookup!$P$5:$R$6,3,0),1,D514+1)</f>
        <v>#N/A</v>
      </c>
      <c r="E515" s="9" t="e">
        <f>IF(C515=Lookup!$P$5,INDEX('view-code'!$P$3:$P$502,'group-code'!D515),"")</f>
        <v>#N/A</v>
      </c>
      <c r="F515" s="9" t="e">
        <f>IF(C515=Lookup!$P$6,INDEX('card-code'!$P$3:$P$502,'group-code'!D515),"")</f>
        <v>#N/A</v>
      </c>
      <c r="G515" s="9" t="str">
        <f t="shared" si="16"/>
        <v/>
      </c>
      <c r="H515" s="9" t="str">
        <f>_xlfn.IFNA(IF(C515=Lookup!$Q$6,"END",""),"")</f>
        <v/>
      </c>
    </row>
    <row r="516" spans="2:8" x14ac:dyDescent="0.45">
      <c r="B516" s="9">
        <f t="shared" si="14"/>
        <v>511</v>
      </c>
      <c r="C516" s="9" t="e">
        <f>IF(D515=VLOOKUP(C515,Lookup!$P$5:$R$6,3,0),VLOOKUP(C515,Lookup!$P$5:$Q$6,2,0),C515)</f>
        <v>#N/A</v>
      </c>
      <c r="D516" s="22" t="e">
        <f>IF(D515=VLOOKUP(C515,Lookup!$P$5:$R$6,3,0),1,D515+1)</f>
        <v>#N/A</v>
      </c>
      <c r="E516" s="9" t="e">
        <f>IF(C516=Lookup!$P$5,INDEX('view-code'!$P$3:$P$502,'group-code'!D516),"")</f>
        <v>#N/A</v>
      </c>
      <c r="F516" s="9" t="e">
        <f>IF(C516=Lookup!$P$6,INDEX('card-code'!$P$3:$P$502,'group-code'!D516),"")</f>
        <v>#N/A</v>
      </c>
      <c r="G516" s="9" t="str">
        <f t="shared" si="16"/>
        <v/>
      </c>
      <c r="H516" s="9" t="str">
        <f>_xlfn.IFNA(IF(C516=Lookup!$Q$6,"END",""),"")</f>
        <v/>
      </c>
    </row>
    <row r="517" spans="2:8" x14ac:dyDescent="0.45">
      <c r="B517" s="9">
        <f t="shared" si="14"/>
        <v>512</v>
      </c>
      <c r="C517" s="9" t="e">
        <f>IF(D516=VLOOKUP(C516,Lookup!$P$5:$R$6,3,0),VLOOKUP(C516,Lookup!$P$5:$Q$6,2,0),C516)</f>
        <v>#N/A</v>
      </c>
      <c r="D517" s="22" t="e">
        <f>IF(D516=VLOOKUP(C516,Lookup!$P$5:$R$6,3,0),1,D516+1)</f>
        <v>#N/A</v>
      </c>
      <c r="E517" s="9" t="e">
        <f>IF(C517=Lookup!$P$5,INDEX('view-code'!$P$3:$P$502,'group-code'!D517),"")</f>
        <v>#N/A</v>
      </c>
      <c r="F517" s="9" t="e">
        <f>IF(C517=Lookup!$P$6,INDEX('card-code'!$P$3:$P$502,'group-code'!D517),"")</f>
        <v>#N/A</v>
      </c>
      <c r="G517" s="9" t="str">
        <f t="shared" si="16"/>
        <v/>
      </c>
      <c r="H517" s="9" t="str">
        <f>_xlfn.IFNA(IF(C517=Lookup!$Q$6,"END",""),"")</f>
        <v/>
      </c>
    </row>
    <row r="518" spans="2:8" x14ac:dyDescent="0.45">
      <c r="B518" s="9">
        <f t="shared" si="14"/>
        <v>513</v>
      </c>
      <c r="C518" s="9" t="e">
        <f>IF(D517=VLOOKUP(C517,Lookup!$P$5:$R$6,3,0),VLOOKUP(C517,Lookup!$P$5:$Q$6,2,0),C517)</f>
        <v>#N/A</v>
      </c>
      <c r="D518" s="22" t="e">
        <f>IF(D517=VLOOKUP(C517,Lookup!$P$5:$R$6,3,0),1,D517+1)</f>
        <v>#N/A</v>
      </c>
      <c r="E518" s="9" t="e">
        <f>IF(C518=Lookup!$P$5,INDEX('view-code'!$P$3:$P$502,'group-code'!D518),"")</f>
        <v>#N/A</v>
      </c>
      <c r="F518" s="9" t="e">
        <f>IF(C518=Lookup!$P$6,INDEX('card-code'!$P$3:$P$502,'group-code'!D518),"")</f>
        <v>#N/A</v>
      </c>
      <c r="G518" s="9" t="str">
        <f t="shared" si="16"/>
        <v/>
      </c>
      <c r="H518" s="9" t="str">
        <f>_xlfn.IFNA(IF(C518=Lookup!$Q$6,"END",""),"")</f>
        <v/>
      </c>
    </row>
    <row r="519" spans="2:8" x14ac:dyDescent="0.45">
      <c r="B519" s="9">
        <f t="shared" si="14"/>
        <v>514</v>
      </c>
      <c r="C519" s="9" t="e">
        <f>IF(D518=VLOOKUP(C518,Lookup!$P$5:$R$6,3,0),VLOOKUP(C518,Lookup!$P$5:$Q$6,2,0),C518)</f>
        <v>#N/A</v>
      </c>
      <c r="D519" s="22" t="e">
        <f>IF(D518=VLOOKUP(C518,Lookup!$P$5:$R$6,3,0),1,D518+1)</f>
        <v>#N/A</v>
      </c>
      <c r="E519" s="9" t="e">
        <f>IF(C519=Lookup!$P$5,INDEX('view-code'!$P$3:$P$502,'group-code'!D519),"")</f>
        <v>#N/A</v>
      </c>
      <c r="F519" s="9" t="e">
        <f>IF(C519=Lookup!$P$6,INDEX('card-code'!$P$3:$P$502,'group-code'!D519),"")</f>
        <v>#N/A</v>
      </c>
      <c r="G519" s="9" t="str">
        <f t="shared" si="16"/>
        <v/>
      </c>
      <c r="H519" s="9" t="str">
        <f>_xlfn.IFNA(IF(C519=Lookup!$Q$6,"END",""),"")</f>
        <v/>
      </c>
    </row>
    <row r="520" spans="2:8" x14ac:dyDescent="0.45">
      <c r="B520" s="9">
        <f t="shared" ref="B520:B583" si="17">B519+1</f>
        <v>515</v>
      </c>
      <c r="C520" s="9" t="e">
        <f>IF(D519=VLOOKUP(C519,Lookup!$P$5:$R$6,3,0),VLOOKUP(C519,Lookup!$P$5:$Q$6,2,0),C519)</f>
        <v>#N/A</v>
      </c>
      <c r="D520" s="22" t="e">
        <f>IF(D519=VLOOKUP(C519,Lookup!$P$5:$R$6,3,0),1,D519+1)</f>
        <v>#N/A</v>
      </c>
      <c r="E520" s="9" t="e">
        <f>IF(C520=Lookup!$P$5,INDEX('view-code'!$P$3:$P$502,'group-code'!D520),"")</f>
        <v>#N/A</v>
      </c>
      <c r="F520" s="9" t="e">
        <f>IF(C520=Lookup!$P$6,INDEX('card-code'!$P$3:$P$502,'group-code'!D520),"")</f>
        <v>#N/A</v>
      </c>
      <c r="G520" s="9" t="str">
        <f t="shared" si="16"/>
        <v/>
      </c>
      <c r="H520" s="9" t="str">
        <f>_xlfn.IFNA(IF(C520=Lookup!$Q$6,"END",""),"")</f>
        <v/>
      </c>
    </row>
    <row r="521" spans="2:8" x14ac:dyDescent="0.45">
      <c r="B521" s="9">
        <f t="shared" si="17"/>
        <v>516</v>
      </c>
      <c r="C521" s="9" t="e">
        <f>IF(D520=VLOOKUP(C520,Lookup!$P$5:$R$6,3,0),VLOOKUP(C520,Lookup!$P$5:$Q$6,2,0),C520)</f>
        <v>#N/A</v>
      </c>
      <c r="D521" s="22" t="e">
        <f>IF(D520=VLOOKUP(C520,Lookup!$P$5:$R$6,3,0),1,D520+1)</f>
        <v>#N/A</v>
      </c>
      <c r="E521" s="9" t="e">
        <f>IF(C521=Lookup!$P$5,INDEX('view-code'!$P$3:$P$502,'group-code'!D521),"")</f>
        <v>#N/A</v>
      </c>
      <c r="F521" s="9" t="e">
        <f>IF(C521=Lookup!$P$6,INDEX('card-code'!$P$3:$P$502,'group-code'!D521),"")</f>
        <v>#N/A</v>
      </c>
      <c r="G521" s="9" t="str">
        <f t="shared" si="16"/>
        <v/>
      </c>
      <c r="H521" s="9" t="str">
        <f>_xlfn.IFNA(IF(C521=Lookup!$Q$6,"END",""),"")</f>
        <v/>
      </c>
    </row>
    <row r="522" spans="2:8" x14ac:dyDescent="0.45">
      <c r="B522" s="9">
        <f t="shared" si="17"/>
        <v>517</v>
      </c>
      <c r="C522" s="9" t="e">
        <f>IF(D521=VLOOKUP(C521,Lookup!$P$5:$R$6,3,0),VLOOKUP(C521,Lookup!$P$5:$Q$6,2,0),C521)</f>
        <v>#N/A</v>
      </c>
      <c r="D522" s="22" t="e">
        <f>IF(D521=VLOOKUP(C521,Lookup!$P$5:$R$6,3,0),1,D521+1)</f>
        <v>#N/A</v>
      </c>
      <c r="E522" s="9" t="e">
        <f>IF(C522=Lookup!$P$5,INDEX('view-code'!$P$3:$P$502,'group-code'!D522),"")</f>
        <v>#N/A</v>
      </c>
      <c r="F522" s="9" t="e">
        <f>IF(C522=Lookup!$P$6,INDEX('card-code'!$P$3:$P$502,'group-code'!D522),"")</f>
        <v>#N/A</v>
      </c>
      <c r="G522" s="9" t="str">
        <f t="shared" si="16"/>
        <v/>
      </c>
      <c r="H522" s="9" t="str">
        <f>_xlfn.IFNA(IF(C522=Lookup!$Q$6,"END",""),"")</f>
        <v/>
      </c>
    </row>
    <row r="523" spans="2:8" x14ac:dyDescent="0.45">
      <c r="B523" s="9">
        <f t="shared" si="17"/>
        <v>518</v>
      </c>
      <c r="C523" s="9" t="e">
        <f>IF(D522=VLOOKUP(C522,Lookup!$P$5:$R$6,3,0),VLOOKUP(C522,Lookup!$P$5:$Q$6,2,0),C522)</f>
        <v>#N/A</v>
      </c>
      <c r="D523" s="22" t="e">
        <f>IF(D522=VLOOKUP(C522,Lookup!$P$5:$R$6,3,0),1,D522+1)</f>
        <v>#N/A</v>
      </c>
      <c r="E523" s="9" t="e">
        <f>IF(C523=Lookup!$P$5,INDEX('view-code'!$P$3:$P$502,'group-code'!D523),"")</f>
        <v>#N/A</v>
      </c>
      <c r="F523" s="9" t="e">
        <f>IF(C523=Lookup!$P$6,INDEX('card-code'!$P$3:$P$502,'group-code'!D523),"")</f>
        <v>#N/A</v>
      </c>
      <c r="G523" s="9" t="str">
        <f t="shared" si="16"/>
        <v/>
      </c>
      <c r="H523" s="9" t="str">
        <f>_xlfn.IFNA(IF(C523=Lookup!$Q$6,"END",""),"")</f>
        <v/>
      </c>
    </row>
    <row r="524" spans="2:8" x14ac:dyDescent="0.45">
      <c r="B524" s="9">
        <f t="shared" si="17"/>
        <v>519</v>
      </c>
      <c r="C524" s="9" t="e">
        <f>IF(D523=VLOOKUP(C523,Lookup!$P$5:$R$6,3,0),VLOOKUP(C523,Lookup!$P$5:$Q$6,2,0),C523)</f>
        <v>#N/A</v>
      </c>
      <c r="D524" s="22" t="e">
        <f>IF(D523=VLOOKUP(C523,Lookup!$P$5:$R$6,3,0),1,D523+1)</f>
        <v>#N/A</v>
      </c>
      <c r="E524" s="9" t="e">
        <f>IF(C524=Lookup!$P$5,INDEX('view-code'!$P$3:$P$502,'group-code'!D524),"")</f>
        <v>#N/A</v>
      </c>
      <c r="F524" s="9" t="e">
        <f>IF(C524=Lookup!$P$6,INDEX('card-code'!$P$3:$P$502,'group-code'!D524),"")</f>
        <v>#N/A</v>
      </c>
      <c r="G524" s="9" t="str">
        <f t="shared" si="16"/>
        <v/>
      </c>
      <c r="H524" s="9" t="str">
        <f>_xlfn.IFNA(IF(C524=Lookup!$Q$6,"END",""),"")</f>
        <v/>
      </c>
    </row>
    <row r="525" spans="2:8" x14ac:dyDescent="0.45">
      <c r="B525" s="9">
        <f t="shared" si="17"/>
        <v>520</v>
      </c>
      <c r="C525" s="9" t="e">
        <f>IF(D524=VLOOKUP(C524,Lookup!$P$5:$R$6,3,0),VLOOKUP(C524,Lookup!$P$5:$Q$6,2,0),C524)</f>
        <v>#N/A</v>
      </c>
      <c r="D525" s="22" t="e">
        <f>IF(D524=VLOOKUP(C524,Lookup!$P$5:$R$6,3,0),1,D524+1)</f>
        <v>#N/A</v>
      </c>
      <c r="E525" s="9" t="e">
        <f>IF(C525=Lookup!$P$5,INDEX('view-code'!$P$3:$P$502,'group-code'!D525),"")</f>
        <v>#N/A</v>
      </c>
      <c r="F525" s="9" t="e">
        <f>IF(C525=Lookup!$P$6,INDEX('card-code'!$P$3:$P$502,'group-code'!D525),"")</f>
        <v>#N/A</v>
      </c>
      <c r="G525" s="9" t="str">
        <f t="shared" si="16"/>
        <v/>
      </c>
      <c r="H525" s="9" t="str">
        <f>_xlfn.IFNA(IF(C525=Lookup!$Q$6,"END",""),"")</f>
        <v/>
      </c>
    </row>
    <row r="526" spans="2:8" x14ac:dyDescent="0.45">
      <c r="B526" s="9">
        <f t="shared" si="17"/>
        <v>521</v>
      </c>
      <c r="C526" s="9" t="e">
        <f>IF(D525=VLOOKUP(C525,Lookup!$P$5:$R$6,3,0),VLOOKUP(C525,Lookup!$P$5:$Q$6,2,0),C525)</f>
        <v>#N/A</v>
      </c>
      <c r="D526" s="22" t="e">
        <f>IF(D525=VLOOKUP(C525,Lookup!$P$5:$R$6,3,0),1,D525+1)</f>
        <v>#N/A</v>
      </c>
      <c r="E526" s="9" t="e">
        <f>IF(C526=Lookup!$P$5,INDEX('view-code'!$P$3:$P$502,'group-code'!D526),"")</f>
        <v>#N/A</v>
      </c>
      <c r="F526" s="9" t="e">
        <f>IF(C526=Lookup!$P$6,INDEX('card-code'!$P$3:$P$502,'group-code'!D526),"")</f>
        <v>#N/A</v>
      </c>
      <c r="G526" s="9" t="str">
        <f t="shared" si="16"/>
        <v/>
      </c>
      <c r="H526" s="9" t="str">
        <f>_xlfn.IFNA(IF(C526=Lookup!$Q$6,"END",""),"")</f>
        <v/>
      </c>
    </row>
    <row r="527" spans="2:8" x14ac:dyDescent="0.45">
      <c r="B527" s="9">
        <f t="shared" si="17"/>
        <v>522</v>
      </c>
      <c r="C527" s="9" t="e">
        <f>IF(D526=VLOOKUP(C526,Lookup!$P$5:$R$6,3,0),VLOOKUP(C526,Lookup!$P$5:$Q$6,2,0),C526)</f>
        <v>#N/A</v>
      </c>
      <c r="D527" s="22" t="e">
        <f>IF(D526=VLOOKUP(C526,Lookup!$P$5:$R$6,3,0),1,D526+1)</f>
        <v>#N/A</v>
      </c>
      <c r="E527" s="9" t="e">
        <f>IF(C527=Lookup!$P$5,INDEX('view-code'!$P$3:$P$502,'group-code'!D527),"")</f>
        <v>#N/A</v>
      </c>
      <c r="F527" s="9" t="e">
        <f>IF(C527=Lookup!$P$6,INDEX('card-code'!$P$3:$P$502,'group-code'!D527),"")</f>
        <v>#N/A</v>
      </c>
      <c r="G527" s="9" t="str">
        <f t="shared" si="16"/>
        <v/>
      </c>
      <c r="H527" s="9" t="str">
        <f>_xlfn.IFNA(IF(C527=Lookup!$Q$6,"END",""),"")</f>
        <v/>
      </c>
    </row>
    <row r="528" spans="2:8" x14ac:dyDescent="0.45">
      <c r="B528" s="9">
        <f t="shared" si="17"/>
        <v>523</v>
      </c>
      <c r="C528" s="9" t="e">
        <f>IF(D527=VLOOKUP(C527,Lookup!$P$5:$R$6,3,0),VLOOKUP(C527,Lookup!$P$5:$Q$6,2,0),C527)</f>
        <v>#N/A</v>
      </c>
      <c r="D528" s="22" t="e">
        <f>IF(D527=VLOOKUP(C527,Lookup!$P$5:$R$6,3,0),1,D527+1)</f>
        <v>#N/A</v>
      </c>
      <c r="E528" s="9" t="e">
        <f>IF(C528=Lookup!$P$5,INDEX('view-code'!$P$3:$P$502,'group-code'!D528),"")</f>
        <v>#N/A</v>
      </c>
      <c r="F528" s="9" t="e">
        <f>IF(C528=Lookup!$P$6,INDEX('card-code'!$P$3:$P$502,'group-code'!D528),"")</f>
        <v>#N/A</v>
      </c>
      <c r="G528" s="9" t="str">
        <f t="shared" si="16"/>
        <v/>
      </c>
      <c r="H528" s="9" t="str">
        <f>_xlfn.IFNA(IF(C528=Lookup!$Q$6,"END",""),"")</f>
        <v/>
      </c>
    </row>
    <row r="529" spans="2:8" x14ac:dyDescent="0.45">
      <c r="B529" s="9">
        <f t="shared" si="17"/>
        <v>524</v>
      </c>
      <c r="C529" s="9" t="e">
        <f>IF(D528=VLOOKUP(C528,Lookup!$P$5:$R$6,3,0),VLOOKUP(C528,Lookup!$P$5:$Q$6,2,0),C528)</f>
        <v>#N/A</v>
      </c>
      <c r="D529" s="22" t="e">
        <f>IF(D528=VLOOKUP(C528,Lookup!$P$5:$R$6,3,0),1,D528+1)</f>
        <v>#N/A</v>
      </c>
      <c r="E529" s="9" t="e">
        <f>IF(C529=Lookup!$P$5,INDEX('view-code'!$P$3:$P$502,'group-code'!D529),"")</f>
        <v>#N/A</v>
      </c>
      <c r="F529" s="9" t="e">
        <f>IF(C529=Lookup!$P$6,INDEX('card-code'!$P$3:$P$502,'group-code'!D529),"")</f>
        <v>#N/A</v>
      </c>
      <c r="G529" s="9" t="str">
        <f t="shared" si="16"/>
        <v/>
      </c>
      <c r="H529" s="9" t="str">
        <f>_xlfn.IFNA(IF(C529=Lookup!$Q$6,"END",""),"")</f>
        <v/>
      </c>
    </row>
    <row r="530" spans="2:8" x14ac:dyDescent="0.45">
      <c r="B530" s="9">
        <f t="shared" si="17"/>
        <v>525</v>
      </c>
      <c r="C530" s="9" t="e">
        <f>IF(D529=VLOOKUP(C529,Lookup!$P$5:$R$6,3,0),VLOOKUP(C529,Lookup!$P$5:$Q$6,2,0),C529)</f>
        <v>#N/A</v>
      </c>
      <c r="D530" s="22" t="e">
        <f>IF(D529=VLOOKUP(C529,Lookup!$P$5:$R$6,3,0),1,D529+1)</f>
        <v>#N/A</v>
      </c>
      <c r="E530" s="9" t="e">
        <f>IF(C530=Lookup!$P$5,INDEX('view-code'!$P$3:$P$502,'group-code'!D530),"")</f>
        <v>#N/A</v>
      </c>
      <c r="F530" s="9" t="e">
        <f>IF(C530=Lookup!$P$6,INDEX('card-code'!$P$3:$P$502,'group-code'!D530),"")</f>
        <v>#N/A</v>
      </c>
      <c r="G530" s="9" t="str">
        <f t="shared" si="16"/>
        <v/>
      </c>
      <c r="H530" s="9" t="str">
        <f>_xlfn.IFNA(IF(C530=Lookup!$Q$6,"END",""),"")</f>
        <v/>
      </c>
    </row>
    <row r="531" spans="2:8" x14ac:dyDescent="0.45">
      <c r="B531" s="9">
        <f t="shared" si="17"/>
        <v>526</v>
      </c>
      <c r="C531" s="9" t="e">
        <f>IF(D530=VLOOKUP(C530,Lookup!$P$5:$R$6,3,0),VLOOKUP(C530,Lookup!$P$5:$Q$6,2,0),C530)</f>
        <v>#N/A</v>
      </c>
      <c r="D531" s="22" t="e">
        <f>IF(D530=VLOOKUP(C530,Lookup!$P$5:$R$6,3,0),1,D530+1)</f>
        <v>#N/A</v>
      </c>
      <c r="E531" s="9" t="e">
        <f>IF(C531=Lookup!$P$5,INDEX('view-code'!$P$3:$P$502,'group-code'!D531),"")</f>
        <v>#N/A</v>
      </c>
      <c r="F531" s="9" t="e">
        <f>IF(C531=Lookup!$P$6,INDEX('card-code'!$P$3:$P$502,'group-code'!D531),"")</f>
        <v>#N/A</v>
      </c>
      <c r="G531" s="9" t="str">
        <f t="shared" si="16"/>
        <v/>
      </c>
      <c r="H531" s="9" t="str">
        <f>_xlfn.IFNA(IF(C531=Lookup!$Q$6,"END",""),"")</f>
        <v/>
      </c>
    </row>
    <row r="532" spans="2:8" x14ac:dyDescent="0.45">
      <c r="B532" s="9">
        <f t="shared" si="17"/>
        <v>527</v>
      </c>
      <c r="C532" s="9" t="e">
        <f>IF(D531=VLOOKUP(C531,Lookup!$P$5:$R$6,3,0),VLOOKUP(C531,Lookup!$P$5:$Q$6,2,0),C531)</f>
        <v>#N/A</v>
      </c>
      <c r="D532" s="22" t="e">
        <f>IF(D531=VLOOKUP(C531,Lookup!$P$5:$R$6,3,0),1,D531+1)</f>
        <v>#N/A</v>
      </c>
      <c r="E532" s="9" t="e">
        <f>IF(C532=Lookup!$P$5,INDEX('view-code'!$P$3:$P$502,'group-code'!D532),"")</f>
        <v>#N/A</v>
      </c>
      <c r="F532" s="9" t="e">
        <f>IF(C532=Lookup!$P$6,INDEX('card-code'!$P$3:$P$502,'group-code'!D532),"")</f>
        <v>#N/A</v>
      </c>
      <c r="G532" s="9" t="str">
        <f t="shared" si="16"/>
        <v/>
      </c>
      <c r="H532" s="9" t="str">
        <f>_xlfn.IFNA(IF(C532=Lookup!$Q$6,"END",""),"")</f>
        <v/>
      </c>
    </row>
    <row r="533" spans="2:8" x14ac:dyDescent="0.45">
      <c r="B533" s="9">
        <f t="shared" si="17"/>
        <v>528</v>
      </c>
      <c r="C533" s="9" t="e">
        <f>IF(D532=VLOOKUP(C532,Lookup!$P$5:$R$6,3,0),VLOOKUP(C532,Lookup!$P$5:$Q$6,2,0),C532)</f>
        <v>#N/A</v>
      </c>
      <c r="D533" s="22" t="e">
        <f>IF(D532=VLOOKUP(C532,Lookup!$P$5:$R$6,3,0),1,D532+1)</f>
        <v>#N/A</v>
      </c>
      <c r="E533" s="9" t="e">
        <f>IF(C533=Lookup!$P$5,INDEX('view-code'!$P$3:$P$502,'group-code'!D533),"")</f>
        <v>#N/A</v>
      </c>
      <c r="F533" s="9" t="e">
        <f>IF(C533=Lookup!$P$6,INDEX('card-code'!$P$3:$P$502,'group-code'!D533),"")</f>
        <v>#N/A</v>
      </c>
      <c r="G533" s="9" t="str">
        <f t="shared" si="16"/>
        <v/>
      </c>
      <c r="H533" s="9" t="str">
        <f>_xlfn.IFNA(IF(C533=Lookup!$Q$6,"END",""),"")</f>
        <v/>
      </c>
    </row>
    <row r="534" spans="2:8" x14ac:dyDescent="0.45">
      <c r="B534" s="9">
        <f t="shared" si="17"/>
        <v>529</v>
      </c>
      <c r="C534" s="9" t="e">
        <f>IF(D533=VLOOKUP(C533,Lookup!$P$5:$R$6,3,0),VLOOKUP(C533,Lookup!$P$5:$Q$6,2,0),C533)</f>
        <v>#N/A</v>
      </c>
      <c r="D534" s="22" t="e">
        <f>IF(D533=VLOOKUP(C533,Lookup!$P$5:$R$6,3,0),1,D533+1)</f>
        <v>#N/A</v>
      </c>
      <c r="E534" s="9" t="e">
        <f>IF(C534=Lookup!$P$5,INDEX('view-code'!$P$3:$P$502,'group-code'!D534),"")</f>
        <v>#N/A</v>
      </c>
      <c r="F534" s="9" t="e">
        <f>IF(C534=Lookup!$P$6,INDEX('card-code'!$P$3:$P$502,'group-code'!D534),"")</f>
        <v>#N/A</v>
      </c>
      <c r="G534" s="9" t="str">
        <f t="shared" si="16"/>
        <v/>
      </c>
      <c r="H534" s="9" t="str">
        <f>_xlfn.IFNA(IF(C534=Lookup!$Q$6,"END",""),"")</f>
        <v/>
      </c>
    </row>
    <row r="535" spans="2:8" x14ac:dyDescent="0.45">
      <c r="B535" s="9">
        <f t="shared" si="17"/>
        <v>530</v>
      </c>
      <c r="C535" s="9" t="e">
        <f>IF(D534=VLOOKUP(C534,Lookup!$P$5:$R$6,3,0),VLOOKUP(C534,Lookup!$P$5:$Q$6,2,0),C534)</f>
        <v>#N/A</v>
      </c>
      <c r="D535" s="22" t="e">
        <f>IF(D534=VLOOKUP(C534,Lookup!$P$5:$R$6,3,0),1,D534+1)</f>
        <v>#N/A</v>
      </c>
      <c r="E535" s="9" t="e">
        <f>IF(C535=Lookup!$P$5,INDEX('view-code'!$P$3:$P$502,'group-code'!D535),"")</f>
        <v>#N/A</v>
      </c>
      <c r="F535" s="9" t="e">
        <f>IF(C535=Lookup!$P$6,INDEX('card-code'!$P$3:$P$502,'group-code'!D535),"")</f>
        <v>#N/A</v>
      </c>
      <c r="G535" s="9" t="str">
        <f t="shared" si="16"/>
        <v/>
      </c>
      <c r="H535" s="9" t="str">
        <f>_xlfn.IFNA(IF(C535=Lookup!$Q$6,"END",""),"")</f>
        <v/>
      </c>
    </row>
    <row r="536" spans="2:8" x14ac:dyDescent="0.45">
      <c r="B536" s="9">
        <f t="shared" si="17"/>
        <v>531</v>
      </c>
      <c r="C536" s="9" t="e">
        <f>IF(D535=VLOOKUP(C535,Lookup!$P$5:$R$6,3,0),VLOOKUP(C535,Lookup!$P$5:$Q$6,2,0),C535)</f>
        <v>#N/A</v>
      </c>
      <c r="D536" s="22" t="e">
        <f>IF(D535=VLOOKUP(C535,Lookup!$P$5:$R$6,3,0),1,D535+1)</f>
        <v>#N/A</v>
      </c>
      <c r="E536" s="9" t="e">
        <f>IF(C536=Lookup!$P$5,INDEX('view-code'!$P$3:$P$502,'group-code'!D536),"")</f>
        <v>#N/A</v>
      </c>
      <c r="F536" s="9" t="e">
        <f>IF(C536=Lookup!$P$6,INDEX('card-code'!$P$3:$P$502,'group-code'!D536),"")</f>
        <v>#N/A</v>
      </c>
      <c r="G536" s="9" t="str">
        <f t="shared" si="16"/>
        <v/>
      </c>
      <c r="H536" s="9" t="str">
        <f>_xlfn.IFNA(IF(C536=Lookup!$Q$6,"END",""),"")</f>
        <v/>
      </c>
    </row>
    <row r="537" spans="2:8" x14ac:dyDescent="0.45">
      <c r="B537" s="9">
        <f t="shared" si="17"/>
        <v>532</v>
      </c>
      <c r="C537" s="9" t="e">
        <f>IF(D536=VLOOKUP(C536,Lookup!$P$5:$R$6,3,0),VLOOKUP(C536,Lookup!$P$5:$Q$6,2,0),C536)</f>
        <v>#N/A</v>
      </c>
      <c r="D537" s="22" t="e">
        <f>IF(D536=VLOOKUP(C536,Lookup!$P$5:$R$6,3,0),1,D536+1)</f>
        <v>#N/A</v>
      </c>
      <c r="E537" s="9" t="e">
        <f>IF(C537=Lookup!$P$5,INDEX('view-code'!$P$3:$P$502,'group-code'!D537),"")</f>
        <v>#N/A</v>
      </c>
      <c r="F537" s="9" t="e">
        <f>IF(C537=Lookup!$P$6,INDEX('card-code'!$P$3:$P$502,'group-code'!D537),"")</f>
        <v>#N/A</v>
      </c>
      <c r="G537" s="9" t="str">
        <f t="shared" si="16"/>
        <v/>
      </c>
      <c r="H537" s="9" t="str">
        <f>_xlfn.IFNA(IF(C537=Lookup!$Q$6,"END",""),"")</f>
        <v/>
      </c>
    </row>
    <row r="538" spans="2:8" x14ac:dyDescent="0.45">
      <c r="B538" s="9">
        <f t="shared" si="17"/>
        <v>533</v>
      </c>
      <c r="C538" s="9" t="e">
        <f>IF(D537=VLOOKUP(C537,Lookup!$P$5:$R$6,3,0),VLOOKUP(C537,Lookup!$P$5:$Q$6,2,0),C537)</f>
        <v>#N/A</v>
      </c>
      <c r="D538" s="22" t="e">
        <f>IF(D537=VLOOKUP(C537,Lookup!$P$5:$R$6,3,0),1,D537+1)</f>
        <v>#N/A</v>
      </c>
      <c r="E538" s="9" t="e">
        <f>IF(C538=Lookup!$P$5,INDEX('view-code'!$P$3:$P$502,'group-code'!D538),"")</f>
        <v>#N/A</v>
      </c>
      <c r="F538" s="9" t="e">
        <f>IF(C538=Lookup!$P$6,INDEX('card-code'!$P$3:$P$502,'group-code'!D538),"")</f>
        <v>#N/A</v>
      </c>
      <c r="G538" s="9" t="str">
        <f t="shared" si="16"/>
        <v/>
      </c>
      <c r="H538" s="9" t="str">
        <f>_xlfn.IFNA(IF(C538=Lookup!$Q$6,"END",""),"")</f>
        <v/>
      </c>
    </row>
    <row r="539" spans="2:8" x14ac:dyDescent="0.45">
      <c r="B539" s="9">
        <f t="shared" si="17"/>
        <v>534</v>
      </c>
      <c r="C539" s="9" t="e">
        <f>IF(D538=VLOOKUP(C538,Lookup!$P$5:$R$6,3,0),VLOOKUP(C538,Lookup!$P$5:$Q$6,2,0),C538)</f>
        <v>#N/A</v>
      </c>
      <c r="D539" s="22" t="e">
        <f>IF(D538=VLOOKUP(C538,Lookup!$P$5:$R$6,3,0),1,D538+1)</f>
        <v>#N/A</v>
      </c>
      <c r="E539" s="9" t="e">
        <f>IF(C539=Lookup!$P$5,INDEX('view-code'!$P$3:$P$502,'group-code'!D539),"")</f>
        <v>#N/A</v>
      </c>
      <c r="F539" s="9" t="e">
        <f>IF(C539=Lookup!$P$6,INDEX('card-code'!$P$3:$P$502,'group-code'!D539),"")</f>
        <v>#N/A</v>
      </c>
      <c r="G539" s="9" t="str">
        <f t="shared" si="16"/>
        <v/>
      </c>
      <c r="H539" s="9" t="str">
        <f>_xlfn.IFNA(IF(C539=Lookup!$Q$6,"END",""),"")</f>
        <v/>
      </c>
    </row>
    <row r="540" spans="2:8" x14ac:dyDescent="0.45">
      <c r="B540" s="9">
        <f t="shared" si="17"/>
        <v>535</v>
      </c>
      <c r="C540" s="9" t="e">
        <f>IF(D539=VLOOKUP(C539,Lookup!$P$5:$R$6,3,0),VLOOKUP(C539,Lookup!$P$5:$Q$6,2,0),C539)</f>
        <v>#N/A</v>
      </c>
      <c r="D540" s="22" t="e">
        <f>IF(D539=VLOOKUP(C539,Lookup!$P$5:$R$6,3,0),1,D539+1)</f>
        <v>#N/A</v>
      </c>
      <c r="E540" s="9" t="e">
        <f>IF(C540=Lookup!$P$5,INDEX('view-code'!$P$3:$P$502,'group-code'!D540),"")</f>
        <v>#N/A</v>
      </c>
      <c r="F540" s="9" t="e">
        <f>IF(C540=Lookup!$P$6,INDEX('card-code'!$P$3:$P$502,'group-code'!D540),"")</f>
        <v>#N/A</v>
      </c>
      <c r="G540" s="9" t="str">
        <f t="shared" si="16"/>
        <v/>
      </c>
      <c r="H540" s="9" t="str">
        <f>_xlfn.IFNA(IF(C540=Lookup!$Q$6,"END",""),"")</f>
        <v/>
      </c>
    </row>
    <row r="541" spans="2:8" x14ac:dyDescent="0.45">
      <c r="B541" s="9">
        <f t="shared" si="17"/>
        <v>536</v>
      </c>
      <c r="C541" s="9" t="e">
        <f>IF(D540=VLOOKUP(C540,Lookup!$P$5:$R$6,3,0),VLOOKUP(C540,Lookup!$P$5:$Q$6,2,0),C540)</f>
        <v>#N/A</v>
      </c>
      <c r="D541" s="22" t="e">
        <f>IF(D540=VLOOKUP(C540,Lookup!$P$5:$R$6,3,0),1,D540+1)</f>
        <v>#N/A</v>
      </c>
      <c r="E541" s="9" t="e">
        <f>IF(C541=Lookup!$P$5,INDEX('view-code'!$P$3:$P$502,'group-code'!D541),"")</f>
        <v>#N/A</v>
      </c>
      <c r="F541" s="9" t="e">
        <f>IF(C541=Lookup!$P$6,INDEX('card-code'!$P$3:$P$502,'group-code'!D541),"")</f>
        <v>#N/A</v>
      </c>
      <c r="G541" s="9" t="str">
        <f t="shared" si="16"/>
        <v/>
      </c>
      <c r="H541" s="9" t="str">
        <f>_xlfn.IFNA(IF(C541=Lookup!$Q$6,"END",""),"")</f>
        <v/>
      </c>
    </row>
    <row r="542" spans="2:8" x14ac:dyDescent="0.45">
      <c r="B542" s="9">
        <f t="shared" si="17"/>
        <v>537</v>
      </c>
      <c r="C542" s="9" t="e">
        <f>IF(D541=VLOOKUP(C541,Lookup!$P$5:$R$6,3,0),VLOOKUP(C541,Lookup!$P$5:$Q$6,2,0),C541)</f>
        <v>#N/A</v>
      </c>
      <c r="D542" s="22" t="e">
        <f>IF(D541=VLOOKUP(C541,Lookup!$P$5:$R$6,3,0),1,D541+1)</f>
        <v>#N/A</v>
      </c>
      <c r="E542" s="9" t="e">
        <f>IF(C542=Lookup!$P$5,INDEX('view-code'!$P$3:$P$502,'group-code'!D542),"")</f>
        <v>#N/A</v>
      </c>
      <c r="F542" s="9" t="e">
        <f>IF(C542=Lookup!$P$6,INDEX('card-code'!$P$3:$P$502,'group-code'!D542),"")</f>
        <v>#N/A</v>
      </c>
      <c r="G542" s="9" t="str">
        <f t="shared" si="16"/>
        <v/>
      </c>
      <c r="H542" s="9" t="str">
        <f>_xlfn.IFNA(IF(C542=Lookup!$Q$6,"END",""),"")</f>
        <v/>
      </c>
    </row>
    <row r="543" spans="2:8" x14ac:dyDescent="0.45">
      <c r="B543" s="9">
        <f t="shared" si="17"/>
        <v>538</v>
      </c>
      <c r="C543" s="9" t="e">
        <f>IF(D542=VLOOKUP(C542,Lookup!$P$5:$R$6,3,0),VLOOKUP(C542,Lookup!$P$5:$Q$6,2,0),C542)</f>
        <v>#N/A</v>
      </c>
      <c r="D543" s="22" t="e">
        <f>IF(D542=VLOOKUP(C542,Lookup!$P$5:$R$6,3,0),1,D542+1)</f>
        <v>#N/A</v>
      </c>
      <c r="E543" s="9" t="e">
        <f>IF(C543=Lookup!$P$5,INDEX('view-code'!$P$3:$P$502,'group-code'!D543),"")</f>
        <v>#N/A</v>
      </c>
      <c r="F543" s="9" t="e">
        <f>IF(C543=Lookup!$P$6,INDEX('card-code'!$P$3:$P$502,'group-code'!D543),"")</f>
        <v>#N/A</v>
      </c>
      <c r="G543" s="9" t="str">
        <f t="shared" si="16"/>
        <v/>
      </c>
      <c r="H543" s="9" t="str">
        <f>_xlfn.IFNA(IF(C543=Lookup!$Q$6,"END",""),"")</f>
        <v/>
      </c>
    </row>
    <row r="544" spans="2:8" x14ac:dyDescent="0.45">
      <c r="B544" s="9">
        <f t="shared" si="17"/>
        <v>539</v>
      </c>
      <c r="C544" s="9" t="e">
        <f>IF(D543=VLOOKUP(C543,Lookup!$P$5:$R$6,3,0),VLOOKUP(C543,Lookup!$P$5:$Q$6,2,0),C543)</f>
        <v>#N/A</v>
      </c>
      <c r="D544" s="22" t="e">
        <f>IF(D543=VLOOKUP(C543,Lookup!$P$5:$R$6,3,0),1,D543+1)</f>
        <v>#N/A</v>
      </c>
      <c r="E544" s="9" t="e">
        <f>IF(C544=Lookup!$P$5,INDEX('view-code'!$P$3:$P$502,'group-code'!D544),"")</f>
        <v>#N/A</v>
      </c>
      <c r="F544" s="9" t="e">
        <f>IF(C544=Lookup!$P$6,INDEX('card-code'!$P$3:$P$502,'group-code'!D544),"")</f>
        <v>#N/A</v>
      </c>
      <c r="G544" s="9" t="str">
        <f t="shared" si="16"/>
        <v/>
      </c>
      <c r="H544" s="9" t="str">
        <f>_xlfn.IFNA(IF(C544=Lookup!$Q$6,"END",""),"")</f>
        <v/>
      </c>
    </row>
    <row r="545" spans="2:8" x14ac:dyDescent="0.45">
      <c r="B545" s="9">
        <f t="shared" si="17"/>
        <v>540</v>
      </c>
      <c r="C545" s="9" t="e">
        <f>IF(D544=VLOOKUP(C544,Lookup!$P$5:$R$6,3,0),VLOOKUP(C544,Lookup!$P$5:$Q$6,2,0),C544)</f>
        <v>#N/A</v>
      </c>
      <c r="D545" s="22" t="e">
        <f>IF(D544=VLOOKUP(C544,Lookup!$P$5:$R$6,3,0),1,D544+1)</f>
        <v>#N/A</v>
      </c>
      <c r="E545" s="9" t="e">
        <f>IF(C545=Lookup!$P$5,INDEX('view-code'!$P$3:$P$502,'group-code'!D545),"")</f>
        <v>#N/A</v>
      </c>
      <c r="F545" s="9" t="e">
        <f>IF(C545=Lookup!$P$6,INDEX('card-code'!$P$3:$P$502,'group-code'!D545),"")</f>
        <v>#N/A</v>
      </c>
      <c r="G545" s="9" t="str">
        <f t="shared" si="16"/>
        <v/>
      </c>
      <c r="H545" s="9" t="str">
        <f>_xlfn.IFNA(IF(C545=Lookup!$Q$6,"END",""),"")</f>
        <v/>
      </c>
    </row>
    <row r="546" spans="2:8" x14ac:dyDescent="0.45">
      <c r="B546" s="9">
        <f t="shared" si="17"/>
        <v>541</v>
      </c>
      <c r="C546" s="9" t="e">
        <f>IF(D545=VLOOKUP(C545,Lookup!$P$5:$R$6,3,0),VLOOKUP(C545,Lookup!$P$5:$Q$6,2,0),C545)</f>
        <v>#N/A</v>
      </c>
      <c r="D546" s="22" t="e">
        <f>IF(D545=VLOOKUP(C545,Lookup!$P$5:$R$6,3,0),1,D545+1)</f>
        <v>#N/A</v>
      </c>
      <c r="E546" s="9" t="e">
        <f>IF(C546=Lookup!$P$5,INDEX('view-code'!$P$3:$P$502,'group-code'!D546),"")</f>
        <v>#N/A</v>
      </c>
      <c r="F546" s="9" t="e">
        <f>IF(C546=Lookup!$P$6,INDEX('card-code'!$P$3:$P$502,'group-code'!D546),"")</f>
        <v>#N/A</v>
      </c>
      <c r="G546" s="9" t="str">
        <f t="shared" si="16"/>
        <v/>
      </c>
      <c r="H546" s="9" t="str">
        <f>_xlfn.IFNA(IF(C546=Lookup!$Q$6,"END",""),"")</f>
        <v/>
      </c>
    </row>
    <row r="547" spans="2:8" x14ac:dyDescent="0.45">
      <c r="B547" s="9">
        <f t="shared" si="17"/>
        <v>542</v>
      </c>
      <c r="C547" s="9" t="e">
        <f>IF(D546=VLOOKUP(C546,Lookup!$P$5:$R$6,3,0),VLOOKUP(C546,Lookup!$P$5:$Q$6,2,0),C546)</f>
        <v>#N/A</v>
      </c>
      <c r="D547" s="22" t="e">
        <f>IF(D546=VLOOKUP(C546,Lookup!$P$5:$R$6,3,0),1,D546+1)</f>
        <v>#N/A</v>
      </c>
      <c r="E547" s="9" t="e">
        <f>IF(C547=Lookup!$P$5,INDEX('view-code'!$P$3:$P$502,'group-code'!D547),"")</f>
        <v>#N/A</v>
      </c>
      <c r="F547" s="9" t="e">
        <f>IF(C547=Lookup!$P$6,INDEX('card-code'!$P$3:$P$502,'group-code'!D547),"")</f>
        <v>#N/A</v>
      </c>
      <c r="G547" s="9" t="str">
        <f t="shared" si="16"/>
        <v/>
      </c>
      <c r="H547" s="9" t="str">
        <f>_xlfn.IFNA(IF(C547=Lookup!$Q$6,"END",""),"")</f>
        <v/>
      </c>
    </row>
    <row r="548" spans="2:8" x14ac:dyDescent="0.45">
      <c r="B548" s="9">
        <f t="shared" si="17"/>
        <v>543</v>
      </c>
      <c r="C548" s="9" t="e">
        <f>IF(D547=VLOOKUP(C547,Lookup!$P$5:$R$6,3,0),VLOOKUP(C547,Lookup!$P$5:$Q$6,2,0),C547)</f>
        <v>#N/A</v>
      </c>
      <c r="D548" s="22" t="e">
        <f>IF(D547=VLOOKUP(C547,Lookup!$P$5:$R$6,3,0),1,D547+1)</f>
        <v>#N/A</v>
      </c>
      <c r="E548" s="9" t="e">
        <f>IF(C548=Lookup!$P$5,INDEX('view-code'!$P$3:$P$502,'group-code'!D548),"")</f>
        <v>#N/A</v>
      </c>
      <c r="F548" s="9" t="e">
        <f>IF(C548=Lookup!$P$6,INDEX('card-code'!$P$3:$P$502,'group-code'!D548),"")</f>
        <v>#N/A</v>
      </c>
      <c r="G548" s="9" t="str">
        <f t="shared" si="16"/>
        <v/>
      </c>
      <c r="H548" s="9" t="str">
        <f>_xlfn.IFNA(IF(C548=Lookup!$Q$6,"END",""),"")</f>
        <v/>
      </c>
    </row>
    <row r="549" spans="2:8" x14ac:dyDescent="0.45">
      <c r="B549" s="9">
        <f t="shared" si="17"/>
        <v>544</v>
      </c>
      <c r="C549" s="9" t="e">
        <f>IF(D548=VLOOKUP(C548,Lookup!$P$5:$R$6,3,0),VLOOKUP(C548,Lookup!$P$5:$Q$6,2,0),C548)</f>
        <v>#N/A</v>
      </c>
      <c r="D549" s="22" t="e">
        <f>IF(D548=VLOOKUP(C548,Lookup!$P$5:$R$6,3,0),1,D548+1)</f>
        <v>#N/A</v>
      </c>
      <c r="E549" s="9" t="e">
        <f>IF(C549=Lookup!$P$5,INDEX('view-code'!$P$3:$P$502,'group-code'!D549),"")</f>
        <v>#N/A</v>
      </c>
      <c r="F549" s="9" t="e">
        <f>IF(C549=Lookup!$P$6,INDEX('card-code'!$P$3:$P$502,'group-code'!D549),"")</f>
        <v>#N/A</v>
      </c>
      <c r="G549" s="9" t="str">
        <f t="shared" si="16"/>
        <v/>
      </c>
      <c r="H549" s="9" t="str">
        <f>_xlfn.IFNA(IF(C549=Lookup!$Q$6,"END",""),"")</f>
        <v/>
      </c>
    </row>
    <row r="550" spans="2:8" x14ac:dyDescent="0.45">
      <c r="B550" s="9">
        <f t="shared" si="17"/>
        <v>545</v>
      </c>
      <c r="C550" s="9" t="e">
        <f>IF(D549=VLOOKUP(C549,Lookup!$P$5:$R$6,3,0),VLOOKUP(C549,Lookup!$P$5:$Q$6,2,0),C549)</f>
        <v>#N/A</v>
      </c>
      <c r="D550" s="22" t="e">
        <f>IF(D549=VLOOKUP(C549,Lookup!$P$5:$R$6,3,0),1,D549+1)</f>
        <v>#N/A</v>
      </c>
      <c r="E550" s="9" t="e">
        <f>IF(C550=Lookup!$P$5,INDEX('view-code'!$P$3:$P$502,'group-code'!D550),"")</f>
        <v>#N/A</v>
      </c>
      <c r="F550" s="9" t="e">
        <f>IF(C550=Lookup!$P$6,INDEX('card-code'!$P$3:$P$502,'group-code'!D550),"")</f>
        <v>#N/A</v>
      </c>
      <c r="G550" s="9" t="str">
        <f t="shared" si="16"/>
        <v/>
      </c>
      <c r="H550" s="9" t="str">
        <f>_xlfn.IFNA(IF(C550=Lookup!$Q$6,"END",""),"")</f>
        <v/>
      </c>
    </row>
    <row r="551" spans="2:8" x14ac:dyDescent="0.45">
      <c r="B551" s="9">
        <f t="shared" si="17"/>
        <v>546</v>
      </c>
      <c r="C551" s="9" t="e">
        <f>IF(D550=VLOOKUP(C550,Lookup!$P$5:$R$6,3,0),VLOOKUP(C550,Lookup!$P$5:$Q$6,2,0),C550)</f>
        <v>#N/A</v>
      </c>
      <c r="D551" s="22" t="e">
        <f>IF(D550=VLOOKUP(C550,Lookup!$P$5:$R$6,3,0),1,D550+1)</f>
        <v>#N/A</v>
      </c>
      <c r="E551" s="9" t="e">
        <f>IF(C551=Lookup!$P$5,INDEX('view-code'!$P$3:$P$502,'group-code'!D551),"")</f>
        <v>#N/A</v>
      </c>
      <c r="F551" s="9" t="e">
        <f>IF(C551=Lookup!$P$6,INDEX('card-code'!$P$3:$P$502,'group-code'!D551),"")</f>
        <v>#N/A</v>
      </c>
      <c r="G551" s="9" t="str">
        <f t="shared" si="16"/>
        <v/>
      </c>
      <c r="H551" s="9" t="str">
        <f>_xlfn.IFNA(IF(C551=Lookup!$Q$6,"END",""),"")</f>
        <v/>
      </c>
    </row>
    <row r="552" spans="2:8" x14ac:dyDescent="0.45">
      <c r="B552" s="9">
        <f t="shared" si="17"/>
        <v>547</v>
      </c>
      <c r="C552" s="9" t="e">
        <f>IF(D551=VLOOKUP(C551,Lookup!$P$5:$R$6,3,0),VLOOKUP(C551,Lookup!$P$5:$Q$6,2,0),C551)</f>
        <v>#N/A</v>
      </c>
      <c r="D552" s="22" t="e">
        <f>IF(D551=VLOOKUP(C551,Lookup!$P$5:$R$6,3,0),1,D551+1)</f>
        <v>#N/A</v>
      </c>
      <c r="E552" s="9" t="e">
        <f>IF(C552=Lookup!$P$5,INDEX('view-code'!$P$3:$P$502,'group-code'!D552),"")</f>
        <v>#N/A</v>
      </c>
      <c r="F552" s="9" t="e">
        <f>IF(C552=Lookup!$P$6,INDEX('card-code'!$P$3:$P$502,'group-code'!D552),"")</f>
        <v>#N/A</v>
      </c>
      <c r="G552" s="9" t="str">
        <f t="shared" si="16"/>
        <v/>
      </c>
      <c r="H552" s="9" t="str">
        <f>_xlfn.IFNA(IF(C552=Lookup!$Q$6,"END",""),"")</f>
        <v/>
      </c>
    </row>
    <row r="553" spans="2:8" x14ac:dyDescent="0.45">
      <c r="B553" s="9">
        <f t="shared" si="17"/>
        <v>548</v>
      </c>
      <c r="C553" s="9" t="e">
        <f>IF(D552=VLOOKUP(C552,Lookup!$P$5:$R$6,3,0),VLOOKUP(C552,Lookup!$P$5:$Q$6,2,0),C552)</f>
        <v>#N/A</v>
      </c>
      <c r="D553" s="22" t="e">
        <f>IF(D552=VLOOKUP(C552,Lookup!$P$5:$R$6,3,0),1,D552+1)</f>
        <v>#N/A</v>
      </c>
      <c r="E553" s="9" t="e">
        <f>IF(C553=Lookup!$P$5,INDEX('view-code'!$P$3:$P$502,'group-code'!D553),"")</f>
        <v>#N/A</v>
      </c>
      <c r="F553" s="9" t="e">
        <f>IF(C553=Lookup!$P$6,INDEX('card-code'!$P$3:$P$502,'group-code'!D553),"")</f>
        <v>#N/A</v>
      </c>
      <c r="G553" s="9" t="str">
        <f t="shared" si="16"/>
        <v/>
      </c>
      <c r="H553" s="9" t="str">
        <f>_xlfn.IFNA(IF(C553=Lookup!$Q$6,"END",""),"")</f>
        <v/>
      </c>
    </row>
    <row r="554" spans="2:8" x14ac:dyDescent="0.45">
      <c r="B554" s="9">
        <f t="shared" si="17"/>
        <v>549</v>
      </c>
      <c r="C554" s="9" t="e">
        <f>IF(D553=VLOOKUP(C553,Lookup!$P$5:$R$6,3,0),VLOOKUP(C553,Lookup!$P$5:$Q$6,2,0),C553)</f>
        <v>#N/A</v>
      </c>
      <c r="D554" s="22" t="e">
        <f>IF(D553=VLOOKUP(C553,Lookup!$P$5:$R$6,3,0),1,D553+1)</f>
        <v>#N/A</v>
      </c>
      <c r="E554" s="9" t="e">
        <f>IF(C554=Lookup!$P$5,INDEX('view-code'!$P$3:$P$502,'group-code'!D554),"")</f>
        <v>#N/A</v>
      </c>
      <c r="F554" s="9" t="e">
        <f>IF(C554=Lookup!$P$6,INDEX('card-code'!$P$3:$P$502,'group-code'!D554),"")</f>
        <v>#N/A</v>
      </c>
      <c r="G554" s="9" t="str">
        <f t="shared" si="16"/>
        <v/>
      </c>
      <c r="H554" s="9" t="str">
        <f>_xlfn.IFNA(IF(C554=Lookup!$Q$6,"END",""),"")</f>
        <v/>
      </c>
    </row>
    <row r="555" spans="2:8" x14ac:dyDescent="0.45">
      <c r="B555" s="9">
        <f t="shared" si="17"/>
        <v>550</v>
      </c>
      <c r="C555" s="9" t="e">
        <f>IF(D554=VLOOKUP(C554,Lookup!$P$5:$R$6,3,0),VLOOKUP(C554,Lookup!$P$5:$Q$6,2,0),C554)</f>
        <v>#N/A</v>
      </c>
      <c r="D555" s="22" t="e">
        <f>IF(D554=VLOOKUP(C554,Lookup!$P$5:$R$6,3,0),1,D554+1)</f>
        <v>#N/A</v>
      </c>
      <c r="E555" s="9" t="e">
        <f>IF(C555=Lookup!$P$5,INDEX('view-code'!$P$3:$P$502,'group-code'!D555),"")</f>
        <v>#N/A</v>
      </c>
      <c r="F555" s="9" t="e">
        <f>IF(C555=Lookup!$P$6,INDEX('card-code'!$P$3:$P$502,'group-code'!D555),"")</f>
        <v>#N/A</v>
      </c>
      <c r="G555" s="9" t="str">
        <f t="shared" si="16"/>
        <v/>
      </c>
      <c r="H555" s="9" t="str">
        <f>_xlfn.IFNA(IF(C555=Lookup!$Q$6,"END",""),"")</f>
        <v/>
      </c>
    </row>
    <row r="556" spans="2:8" x14ac:dyDescent="0.45">
      <c r="B556" s="9">
        <f t="shared" si="17"/>
        <v>551</v>
      </c>
      <c r="C556" s="9" t="e">
        <f>IF(D555=VLOOKUP(C555,Lookup!$P$5:$R$6,3,0),VLOOKUP(C555,Lookup!$P$5:$Q$6,2,0),C555)</f>
        <v>#N/A</v>
      </c>
      <c r="D556" s="22" t="e">
        <f>IF(D555=VLOOKUP(C555,Lookup!$P$5:$R$6,3,0),1,D555+1)</f>
        <v>#N/A</v>
      </c>
      <c r="E556" s="9" t="e">
        <f>IF(C556=Lookup!$P$5,INDEX('view-code'!$P$3:$P$502,'group-code'!D556),"")</f>
        <v>#N/A</v>
      </c>
      <c r="F556" s="9" t="e">
        <f>IF(C556=Lookup!$P$6,INDEX('card-code'!$P$3:$P$502,'group-code'!D556),"")</f>
        <v>#N/A</v>
      </c>
      <c r="G556" s="9" t="str">
        <f t="shared" si="16"/>
        <v/>
      </c>
      <c r="H556" s="9" t="str">
        <f>_xlfn.IFNA(IF(C556=Lookup!$Q$6,"END",""),"")</f>
        <v/>
      </c>
    </row>
    <row r="557" spans="2:8" x14ac:dyDescent="0.45">
      <c r="B557" s="9">
        <f t="shared" si="17"/>
        <v>552</v>
      </c>
      <c r="C557" s="9" t="e">
        <f>IF(D556=VLOOKUP(C556,Lookup!$P$5:$R$6,3,0),VLOOKUP(C556,Lookup!$P$5:$Q$6,2,0),C556)</f>
        <v>#N/A</v>
      </c>
      <c r="D557" s="22" t="e">
        <f>IF(D556=VLOOKUP(C556,Lookup!$P$5:$R$6,3,0),1,D556+1)</f>
        <v>#N/A</v>
      </c>
      <c r="E557" s="9" t="e">
        <f>IF(C557=Lookup!$P$5,INDEX('view-code'!$P$3:$P$502,'group-code'!D557),"")</f>
        <v>#N/A</v>
      </c>
      <c r="F557" s="9" t="e">
        <f>IF(C557=Lookup!$P$6,INDEX('card-code'!$P$3:$P$502,'group-code'!D557),"")</f>
        <v>#N/A</v>
      </c>
      <c r="G557" s="9" t="str">
        <f t="shared" si="16"/>
        <v/>
      </c>
      <c r="H557" s="9" t="str">
        <f>_xlfn.IFNA(IF(C557=Lookup!$Q$6,"END",""),"")</f>
        <v/>
      </c>
    </row>
    <row r="558" spans="2:8" x14ac:dyDescent="0.45">
      <c r="B558" s="9">
        <f t="shared" si="17"/>
        <v>553</v>
      </c>
      <c r="C558" s="9" t="e">
        <f>IF(D557=VLOOKUP(C557,Lookup!$P$5:$R$6,3,0),VLOOKUP(C557,Lookup!$P$5:$Q$6,2,0),C557)</f>
        <v>#N/A</v>
      </c>
      <c r="D558" s="22" t="e">
        <f>IF(D557=VLOOKUP(C557,Lookup!$P$5:$R$6,3,0),1,D557+1)</f>
        <v>#N/A</v>
      </c>
      <c r="E558" s="9" t="e">
        <f>IF(C558=Lookup!$P$5,INDEX('view-code'!$P$3:$P$502,'group-code'!D558),"")</f>
        <v>#N/A</v>
      </c>
      <c r="F558" s="9" t="e">
        <f>IF(C558=Lookup!$P$6,INDEX('card-code'!$P$3:$P$502,'group-code'!D558),"")</f>
        <v>#N/A</v>
      </c>
      <c r="G558" s="9" t="str">
        <f t="shared" si="16"/>
        <v/>
      </c>
      <c r="H558" s="9" t="str">
        <f>_xlfn.IFNA(IF(C558=Lookup!$Q$6,"END",""),"")</f>
        <v/>
      </c>
    </row>
    <row r="559" spans="2:8" x14ac:dyDescent="0.45">
      <c r="B559" s="9">
        <f t="shared" si="17"/>
        <v>554</v>
      </c>
      <c r="C559" s="9" t="e">
        <f>IF(D558=VLOOKUP(C558,Lookup!$P$5:$R$6,3,0),VLOOKUP(C558,Lookup!$P$5:$Q$6,2,0),C558)</f>
        <v>#N/A</v>
      </c>
      <c r="D559" s="22" t="e">
        <f>IF(D558=VLOOKUP(C558,Lookup!$P$5:$R$6,3,0),1,D558+1)</f>
        <v>#N/A</v>
      </c>
      <c r="E559" s="9" t="e">
        <f>IF(C559=Lookup!$P$5,INDEX('view-code'!$P$3:$P$502,'group-code'!D559),"")</f>
        <v>#N/A</v>
      </c>
      <c r="F559" s="9" t="e">
        <f>IF(C559=Lookup!$P$6,INDEX('card-code'!$P$3:$P$502,'group-code'!D559),"")</f>
        <v>#N/A</v>
      </c>
      <c r="G559" s="9" t="str">
        <f t="shared" si="16"/>
        <v/>
      </c>
      <c r="H559" s="9" t="str">
        <f>_xlfn.IFNA(IF(C559=Lookup!$Q$6,"END",""),"")</f>
        <v/>
      </c>
    </row>
    <row r="560" spans="2:8" x14ac:dyDescent="0.45">
      <c r="B560" s="9">
        <f t="shared" si="17"/>
        <v>555</v>
      </c>
      <c r="C560" s="9" t="e">
        <f>IF(D559=VLOOKUP(C559,Lookup!$P$5:$R$6,3,0),VLOOKUP(C559,Lookup!$P$5:$Q$6,2,0),C559)</f>
        <v>#N/A</v>
      </c>
      <c r="D560" s="22" t="e">
        <f>IF(D559=VLOOKUP(C559,Lookup!$P$5:$R$6,3,0),1,D559+1)</f>
        <v>#N/A</v>
      </c>
      <c r="E560" s="9" t="e">
        <f>IF(C560=Lookup!$P$5,INDEX('view-code'!$P$3:$P$502,'group-code'!D560),"")</f>
        <v>#N/A</v>
      </c>
      <c r="F560" s="9" t="e">
        <f>IF(C560=Lookup!$P$6,INDEX('card-code'!$P$3:$P$502,'group-code'!D560),"")</f>
        <v>#N/A</v>
      </c>
      <c r="G560" s="9" t="str">
        <f t="shared" si="16"/>
        <v/>
      </c>
      <c r="H560" s="9" t="str">
        <f>_xlfn.IFNA(IF(C560=Lookup!$Q$6,"END",""),"")</f>
        <v/>
      </c>
    </row>
    <row r="561" spans="2:8" x14ac:dyDescent="0.45">
      <c r="B561" s="9">
        <f t="shared" si="17"/>
        <v>556</v>
      </c>
      <c r="C561" s="9" t="e">
        <f>IF(D560=VLOOKUP(C560,Lookup!$P$5:$R$6,3,0),VLOOKUP(C560,Lookup!$P$5:$Q$6,2,0),C560)</f>
        <v>#N/A</v>
      </c>
      <c r="D561" s="22" t="e">
        <f>IF(D560=VLOOKUP(C560,Lookup!$P$5:$R$6,3,0),1,D560+1)</f>
        <v>#N/A</v>
      </c>
      <c r="E561" s="9" t="e">
        <f>IF(C561=Lookup!$P$5,INDEX('view-code'!$P$3:$P$502,'group-code'!D561),"")</f>
        <v>#N/A</v>
      </c>
      <c r="F561" s="9" t="e">
        <f>IF(C561=Lookup!$P$6,INDEX('card-code'!$P$3:$P$502,'group-code'!D561),"")</f>
        <v>#N/A</v>
      </c>
      <c r="G561" s="9" t="str">
        <f t="shared" si="16"/>
        <v/>
      </c>
      <c r="H561" s="9" t="str">
        <f>_xlfn.IFNA(IF(C561=Lookup!$Q$6,"END",""),"")</f>
        <v/>
      </c>
    </row>
    <row r="562" spans="2:8" x14ac:dyDescent="0.45">
      <c r="B562" s="9">
        <f t="shared" si="17"/>
        <v>557</v>
      </c>
      <c r="C562" s="9" t="e">
        <f>IF(D561=VLOOKUP(C561,Lookup!$P$5:$R$6,3,0),VLOOKUP(C561,Lookup!$P$5:$Q$6,2,0),C561)</f>
        <v>#N/A</v>
      </c>
      <c r="D562" s="22" t="e">
        <f>IF(D561=VLOOKUP(C561,Lookup!$P$5:$R$6,3,0),1,D561+1)</f>
        <v>#N/A</v>
      </c>
      <c r="E562" s="9" t="e">
        <f>IF(C562=Lookup!$P$5,INDEX('view-code'!$P$3:$P$502,'group-code'!D562),"")</f>
        <v>#N/A</v>
      </c>
      <c r="F562" s="9" t="e">
        <f>IF(C562=Lookup!$P$6,INDEX('card-code'!$P$3:$P$502,'group-code'!D562),"")</f>
        <v>#N/A</v>
      </c>
      <c r="G562" s="9" t="str">
        <f t="shared" si="16"/>
        <v/>
      </c>
      <c r="H562" s="9" t="str">
        <f>_xlfn.IFNA(IF(C562=Lookup!$Q$6,"END",""),"")</f>
        <v/>
      </c>
    </row>
    <row r="563" spans="2:8" x14ac:dyDescent="0.45">
      <c r="B563" s="9">
        <f t="shared" si="17"/>
        <v>558</v>
      </c>
      <c r="C563" s="9" t="e">
        <f>IF(D562=VLOOKUP(C562,Lookup!$P$5:$R$6,3,0),VLOOKUP(C562,Lookup!$P$5:$Q$6,2,0),C562)</f>
        <v>#N/A</v>
      </c>
      <c r="D563" s="22" t="e">
        <f>IF(D562=VLOOKUP(C562,Lookup!$P$5:$R$6,3,0),1,D562+1)</f>
        <v>#N/A</v>
      </c>
      <c r="E563" s="9" t="e">
        <f>IF(C563=Lookup!$P$5,INDEX('view-code'!$P$3:$P$502,'group-code'!D563),"")</f>
        <v>#N/A</v>
      </c>
      <c r="F563" s="9" t="e">
        <f>IF(C563=Lookup!$P$6,INDEX('card-code'!$P$3:$P$502,'group-code'!D563),"")</f>
        <v>#N/A</v>
      </c>
      <c r="G563" s="9" t="str">
        <f t="shared" si="16"/>
        <v/>
      </c>
      <c r="H563" s="9" t="str">
        <f>_xlfn.IFNA(IF(C563=Lookup!$Q$6,"END",""),"")</f>
        <v/>
      </c>
    </row>
    <row r="564" spans="2:8" x14ac:dyDescent="0.45">
      <c r="B564" s="9">
        <f t="shared" si="17"/>
        <v>559</v>
      </c>
      <c r="C564" s="9" t="e">
        <f>IF(D563=VLOOKUP(C563,Lookup!$P$5:$R$6,3,0),VLOOKUP(C563,Lookup!$P$5:$Q$6,2,0),C563)</f>
        <v>#N/A</v>
      </c>
      <c r="D564" s="22" t="e">
        <f>IF(D563=VLOOKUP(C563,Lookup!$P$5:$R$6,3,0),1,D563+1)</f>
        <v>#N/A</v>
      </c>
      <c r="E564" s="9" t="e">
        <f>IF(C564=Lookup!$P$5,INDEX('view-code'!$P$3:$P$502,'group-code'!D564),"")</f>
        <v>#N/A</v>
      </c>
      <c r="F564" s="9" t="e">
        <f>IF(C564=Lookup!$P$6,INDEX('card-code'!$P$3:$P$502,'group-code'!D564),"")</f>
        <v>#N/A</v>
      </c>
      <c r="G564" s="9" t="str">
        <f t="shared" si="16"/>
        <v/>
      </c>
      <c r="H564" s="9" t="str">
        <f>_xlfn.IFNA(IF(C564=Lookup!$Q$6,"END",""),"")</f>
        <v/>
      </c>
    </row>
    <row r="565" spans="2:8" x14ac:dyDescent="0.45">
      <c r="B565" s="9">
        <f t="shared" si="17"/>
        <v>560</v>
      </c>
      <c r="C565" s="9" t="e">
        <f>IF(D564=VLOOKUP(C564,Lookup!$P$5:$R$6,3,0),VLOOKUP(C564,Lookup!$P$5:$Q$6,2,0),C564)</f>
        <v>#N/A</v>
      </c>
      <c r="D565" s="22" t="e">
        <f>IF(D564=VLOOKUP(C564,Lookup!$P$5:$R$6,3,0),1,D564+1)</f>
        <v>#N/A</v>
      </c>
      <c r="E565" s="9" t="e">
        <f>IF(C565=Lookup!$P$5,INDEX('view-code'!$P$3:$P$502,'group-code'!D565),"")</f>
        <v>#N/A</v>
      </c>
      <c r="F565" s="9" t="e">
        <f>IF(C565=Lookup!$P$6,INDEX('card-code'!$P$3:$P$502,'group-code'!D565),"")</f>
        <v>#N/A</v>
      </c>
      <c r="G565" s="9" t="str">
        <f t="shared" si="16"/>
        <v/>
      </c>
      <c r="H565" s="9" t="str">
        <f>_xlfn.IFNA(IF(C565=Lookup!$Q$6,"END",""),"")</f>
        <v/>
      </c>
    </row>
    <row r="566" spans="2:8" x14ac:dyDescent="0.45">
      <c r="B566" s="9">
        <f t="shared" si="17"/>
        <v>561</v>
      </c>
      <c r="C566" s="9" t="e">
        <f>IF(D565=VLOOKUP(C565,Lookup!$P$5:$R$6,3,0),VLOOKUP(C565,Lookup!$P$5:$Q$6,2,0),C565)</f>
        <v>#N/A</v>
      </c>
      <c r="D566" s="22" t="e">
        <f>IF(D565=VLOOKUP(C565,Lookup!$P$5:$R$6,3,0),1,D565+1)</f>
        <v>#N/A</v>
      </c>
      <c r="E566" s="9" t="e">
        <f>IF(C566=Lookup!$P$5,INDEX('view-code'!$P$3:$P$502,'group-code'!D566),"")</f>
        <v>#N/A</v>
      </c>
      <c r="F566" s="9" t="e">
        <f>IF(C566=Lookup!$P$6,INDEX('card-code'!$P$3:$P$502,'group-code'!D566),"")</f>
        <v>#N/A</v>
      </c>
      <c r="G566" s="9" t="str">
        <f t="shared" si="16"/>
        <v/>
      </c>
      <c r="H566" s="9" t="str">
        <f>_xlfn.IFNA(IF(C566=Lookup!$Q$6,"END",""),"")</f>
        <v/>
      </c>
    </row>
    <row r="567" spans="2:8" x14ac:dyDescent="0.45">
      <c r="B567" s="9">
        <f t="shared" si="17"/>
        <v>562</v>
      </c>
      <c r="C567" s="9" t="e">
        <f>IF(D566=VLOOKUP(C566,Lookup!$P$5:$R$6,3,0),VLOOKUP(C566,Lookup!$P$5:$Q$6,2,0),C566)</f>
        <v>#N/A</v>
      </c>
      <c r="D567" s="22" t="e">
        <f>IF(D566=VLOOKUP(C566,Lookup!$P$5:$R$6,3,0),1,D566+1)</f>
        <v>#N/A</v>
      </c>
      <c r="E567" s="9" t="e">
        <f>IF(C567=Lookup!$P$5,INDEX('view-code'!$P$3:$P$502,'group-code'!D567),"")</f>
        <v>#N/A</v>
      </c>
      <c r="F567" s="9" t="e">
        <f>IF(C567=Lookup!$P$6,INDEX('card-code'!$P$3:$P$502,'group-code'!D567),"")</f>
        <v>#N/A</v>
      </c>
      <c r="G567" s="9" t="str">
        <f t="shared" si="16"/>
        <v/>
      </c>
      <c r="H567" s="9" t="str">
        <f>_xlfn.IFNA(IF(C567=Lookup!$Q$6,"END",""),"")</f>
        <v/>
      </c>
    </row>
    <row r="568" spans="2:8" x14ac:dyDescent="0.45">
      <c r="B568" s="9">
        <f t="shared" si="17"/>
        <v>563</v>
      </c>
      <c r="C568" s="9" t="e">
        <f>IF(D567=VLOOKUP(C567,Lookup!$P$5:$R$6,3,0),VLOOKUP(C567,Lookup!$P$5:$Q$6,2,0),C567)</f>
        <v>#N/A</v>
      </c>
      <c r="D568" s="22" t="e">
        <f>IF(D567=VLOOKUP(C567,Lookup!$P$5:$R$6,3,0),1,D567+1)</f>
        <v>#N/A</v>
      </c>
      <c r="E568" s="9" t="e">
        <f>IF(C568=Lookup!$P$5,INDEX('view-code'!$P$3:$P$502,'group-code'!D568),"")</f>
        <v>#N/A</v>
      </c>
      <c r="F568" s="9" t="e">
        <f>IF(C568=Lookup!$P$6,INDEX('card-code'!$P$3:$P$502,'group-code'!D568),"")</f>
        <v>#N/A</v>
      </c>
      <c r="G568" s="9" t="str">
        <f t="shared" si="16"/>
        <v/>
      </c>
      <c r="H568" s="9" t="str">
        <f>_xlfn.IFNA(IF(C568=Lookup!$Q$6,"END",""),"")</f>
        <v/>
      </c>
    </row>
    <row r="569" spans="2:8" x14ac:dyDescent="0.45">
      <c r="B569" s="9">
        <f t="shared" si="17"/>
        <v>564</v>
      </c>
      <c r="C569" s="9" t="e">
        <f>IF(D568=VLOOKUP(C568,Lookup!$P$5:$R$6,3,0),VLOOKUP(C568,Lookup!$P$5:$Q$6,2,0),C568)</f>
        <v>#N/A</v>
      </c>
      <c r="D569" s="22" t="e">
        <f>IF(D568=VLOOKUP(C568,Lookup!$P$5:$R$6,3,0),1,D568+1)</f>
        <v>#N/A</v>
      </c>
      <c r="E569" s="9" t="e">
        <f>IF(C569=Lookup!$P$5,INDEX('view-code'!$P$3:$P$502,'group-code'!D569),"")</f>
        <v>#N/A</v>
      </c>
      <c r="F569" s="9" t="e">
        <f>IF(C569=Lookup!$P$6,INDEX('card-code'!$P$3:$P$502,'group-code'!D569),"")</f>
        <v>#N/A</v>
      </c>
      <c r="G569" s="9" t="str">
        <f t="shared" si="16"/>
        <v/>
      </c>
      <c r="H569" s="9" t="str">
        <f>_xlfn.IFNA(IF(C569=Lookup!$Q$6,"END",""),"")</f>
        <v/>
      </c>
    </row>
    <row r="570" spans="2:8" x14ac:dyDescent="0.45">
      <c r="B570" s="9">
        <f t="shared" si="17"/>
        <v>565</v>
      </c>
      <c r="C570" s="9" t="e">
        <f>IF(D569=VLOOKUP(C569,Lookup!$P$5:$R$6,3,0),VLOOKUP(C569,Lookup!$P$5:$Q$6,2,0),C569)</f>
        <v>#N/A</v>
      </c>
      <c r="D570" s="22" t="e">
        <f>IF(D569=VLOOKUP(C569,Lookup!$P$5:$R$6,3,0),1,D569+1)</f>
        <v>#N/A</v>
      </c>
      <c r="E570" s="9" t="e">
        <f>IF(C570=Lookup!$P$5,INDEX('view-code'!$P$3:$P$502,'group-code'!D570),"")</f>
        <v>#N/A</v>
      </c>
      <c r="F570" s="9" t="e">
        <f>IF(C570=Lookup!$P$6,INDEX('card-code'!$P$3:$P$502,'group-code'!D570),"")</f>
        <v>#N/A</v>
      </c>
      <c r="G570" s="9" t="str">
        <f t="shared" ref="G570:G633" si="18">_xlfn.IFNA(  E570&amp;F570,  "")</f>
        <v/>
      </c>
      <c r="H570" s="9" t="str">
        <f>_xlfn.IFNA(IF(C570=Lookup!$Q$6,"END",""),"")</f>
        <v/>
      </c>
    </row>
    <row r="571" spans="2:8" x14ac:dyDescent="0.45">
      <c r="B571" s="9">
        <f t="shared" si="17"/>
        <v>566</v>
      </c>
      <c r="C571" s="9" t="e">
        <f>IF(D570=VLOOKUP(C570,Lookup!$P$5:$R$6,3,0),VLOOKUP(C570,Lookup!$P$5:$Q$6,2,0),C570)</f>
        <v>#N/A</v>
      </c>
      <c r="D571" s="22" t="e">
        <f>IF(D570=VLOOKUP(C570,Lookup!$P$5:$R$6,3,0),1,D570+1)</f>
        <v>#N/A</v>
      </c>
      <c r="E571" s="9" t="e">
        <f>IF(C571=Lookup!$P$5,INDEX('view-code'!$P$3:$P$502,'group-code'!D571),"")</f>
        <v>#N/A</v>
      </c>
      <c r="F571" s="9" t="e">
        <f>IF(C571=Lookup!$P$6,INDEX('card-code'!$P$3:$P$502,'group-code'!D571),"")</f>
        <v>#N/A</v>
      </c>
      <c r="G571" s="9" t="str">
        <f t="shared" si="18"/>
        <v/>
      </c>
      <c r="H571" s="9" t="str">
        <f>_xlfn.IFNA(IF(C571=Lookup!$Q$6,"END",""),"")</f>
        <v/>
      </c>
    </row>
    <row r="572" spans="2:8" x14ac:dyDescent="0.45">
      <c r="B572" s="9">
        <f t="shared" si="17"/>
        <v>567</v>
      </c>
      <c r="C572" s="9" t="e">
        <f>IF(D571=VLOOKUP(C571,Lookup!$P$5:$R$6,3,0),VLOOKUP(C571,Lookup!$P$5:$Q$6,2,0),C571)</f>
        <v>#N/A</v>
      </c>
      <c r="D572" s="22" t="e">
        <f>IF(D571=VLOOKUP(C571,Lookup!$P$5:$R$6,3,0),1,D571+1)</f>
        <v>#N/A</v>
      </c>
      <c r="E572" s="9" t="e">
        <f>IF(C572=Lookup!$P$5,INDEX('view-code'!$P$3:$P$502,'group-code'!D572),"")</f>
        <v>#N/A</v>
      </c>
      <c r="F572" s="9" t="e">
        <f>IF(C572=Lookup!$P$6,INDEX('card-code'!$P$3:$P$502,'group-code'!D572),"")</f>
        <v>#N/A</v>
      </c>
      <c r="G572" s="9" t="str">
        <f t="shared" si="18"/>
        <v/>
      </c>
      <c r="H572" s="9" t="str">
        <f>_xlfn.IFNA(IF(C572=Lookup!$Q$6,"END",""),"")</f>
        <v/>
      </c>
    </row>
    <row r="573" spans="2:8" x14ac:dyDescent="0.45">
      <c r="B573" s="9">
        <f t="shared" si="17"/>
        <v>568</v>
      </c>
      <c r="C573" s="9" t="e">
        <f>IF(D572=VLOOKUP(C572,Lookup!$P$5:$R$6,3,0),VLOOKUP(C572,Lookup!$P$5:$Q$6,2,0),C572)</f>
        <v>#N/A</v>
      </c>
      <c r="D573" s="22" t="e">
        <f>IF(D572=VLOOKUP(C572,Lookup!$P$5:$R$6,3,0),1,D572+1)</f>
        <v>#N/A</v>
      </c>
      <c r="E573" s="9" t="e">
        <f>IF(C573=Lookup!$P$5,INDEX('view-code'!$P$3:$P$502,'group-code'!D573),"")</f>
        <v>#N/A</v>
      </c>
      <c r="F573" s="9" t="e">
        <f>IF(C573=Lookup!$P$6,INDEX('card-code'!$P$3:$P$502,'group-code'!D573),"")</f>
        <v>#N/A</v>
      </c>
      <c r="G573" s="9" t="str">
        <f t="shared" si="18"/>
        <v/>
      </c>
      <c r="H573" s="9" t="str">
        <f>_xlfn.IFNA(IF(C573=Lookup!$Q$6,"END",""),"")</f>
        <v/>
      </c>
    </row>
    <row r="574" spans="2:8" x14ac:dyDescent="0.45">
      <c r="B574" s="9">
        <f t="shared" si="17"/>
        <v>569</v>
      </c>
      <c r="C574" s="9" t="e">
        <f>IF(D573=VLOOKUP(C573,Lookup!$P$5:$R$6,3,0),VLOOKUP(C573,Lookup!$P$5:$Q$6,2,0),C573)</f>
        <v>#N/A</v>
      </c>
      <c r="D574" s="22" t="e">
        <f>IF(D573=VLOOKUP(C573,Lookup!$P$5:$R$6,3,0),1,D573+1)</f>
        <v>#N/A</v>
      </c>
      <c r="E574" s="9" t="e">
        <f>IF(C574=Lookup!$P$5,INDEX('view-code'!$P$3:$P$502,'group-code'!D574),"")</f>
        <v>#N/A</v>
      </c>
      <c r="F574" s="9" t="e">
        <f>IF(C574=Lookup!$P$6,INDEX('card-code'!$P$3:$P$502,'group-code'!D574),"")</f>
        <v>#N/A</v>
      </c>
      <c r="G574" s="9" t="str">
        <f t="shared" si="18"/>
        <v/>
      </c>
      <c r="H574" s="9" t="str">
        <f>_xlfn.IFNA(IF(C574=Lookup!$Q$6,"END",""),"")</f>
        <v/>
      </c>
    </row>
    <row r="575" spans="2:8" x14ac:dyDescent="0.45">
      <c r="B575" s="9">
        <f t="shared" si="17"/>
        <v>570</v>
      </c>
      <c r="C575" s="9" t="e">
        <f>IF(D574=VLOOKUP(C574,Lookup!$P$5:$R$6,3,0),VLOOKUP(C574,Lookup!$P$5:$Q$6,2,0),C574)</f>
        <v>#N/A</v>
      </c>
      <c r="D575" s="22" t="e">
        <f>IF(D574=VLOOKUP(C574,Lookup!$P$5:$R$6,3,0),1,D574+1)</f>
        <v>#N/A</v>
      </c>
      <c r="E575" s="9" t="e">
        <f>IF(C575=Lookup!$P$5,INDEX('view-code'!$P$3:$P$502,'group-code'!D575),"")</f>
        <v>#N/A</v>
      </c>
      <c r="F575" s="9" t="e">
        <f>IF(C575=Lookup!$P$6,INDEX('card-code'!$P$3:$P$502,'group-code'!D575),"")</f>
        <v>#N/A</v>
      </c>
      <c r="G575" s="9" t="str">
        <f t="shared" si="18"/>
        <v/>
      </c>
      <c r="H575" s="9" t="str">
        <f>_xlfn.IFNA(IF(C575=Lookup!$Q$6,"END",""),"")</f>
        <v/>
      </c>
    </row>
    <row r="576" spans="2:8" x14ac:dyDescent="0.45">
      <c r="B576" s="9">
        <f t="shared" si="17"/>
        <v>571</v>
      </c>
      <c r="C576" s="9" t="e">
        <f>IF(D575=VLOOKUP(C575,Lookup!$P$5:$R$6,3,0),VLOOKUP(C575,Lookup!$P$5:$Q$6,2,0),C575)</f>
        <v>#N/A</v>
      </c>
      <c r="D576" s="22" t="e">
        <f>IF(D575=VLOOKUP(C575,Lookup!$P$5:$R$6,3,0),1,D575+1)</f>
        <v>#N/A</v>
      </c>
      <c r="E576" s="9" t="e">
        <f>IF(C576=Lookup!$P$5,INDEX('view-code'!$P$3:$P$502,'group-code'!D576),"")</f>
        <v>#N/A</v>
      </c>
      <c r="F576" s="9" t="e">
        <f>IF(C576=Lookup!$P$6,INDEX('card-code'!$P$3:$P$502,'group-code'!D576),"")</f>
        <v>#N/A</v>
      </c>
      <c r="G576" s="9" t="str">
        <f t="shared" si="18"/>
        <v/>
      </c>
      <c r="H576" s="9" t="str">
        <f>_xlfn.IFNA(IF(C576=Lookup!$Q$6,"END",""),"")</f>
        <v/>
      </c>
    </row>
    <row r="577" spans="2:8" x14ac:dyDescent="0.45">
      <c r="B577" s="9">
        <f t="shared" si="17"/>
        <v>572</v>
      </c>
      <c r="C577" s="9" t="e">
        <f>IF(D576=VLOOKUP(C576,Lookup!$P$5:$R$6,3,0),VLOOKUP(C576,Lookup!$P$5:$Q$6,2,0),C576)</f>
        <v>#N/A</v>
      </c>
      <c r="D577" s="22" t="e">
        <f>IF(D576=VLOOKUP(C576,Lookup!$P$5:$R$6,3,0),1,D576+1)</f>
        <v>#N/A</v>
      </c>
      <c r="E577" s="9" t="e">
        <f>IF(C577=Lookup!$P$5,INDEX('view-code'!$P$3:$P$502,'group-code'!D577),"")</f>
        <v>#N/A</v>
      </c>
      <c r="F577" s="9" t="e">
        <f>IF(C577=Lookup!$P$6,INDEX('card-code'!$P$3:$P$502,'group-code'!D577),"")</f>
        <v>#N/A</v>
      </c>
      <c r="G577" s="9" t="str">
        <f t="shared" si="18"/>
        <v/>
      </c>
      <c r="H577" s="9" t="str">
        <f>_xlfn.IFNA(IF(C577=Lookup!$Q$6,"END",""),"")</f>
        <v/>
      </c>
    </row>
    <row r="578" spans="2:8" x14ac:dyDescent="0.45">
      <c r="B578" s="9">
        <f t="shared" si="17"/>
        <v>573</v>
      </c>
      <c r="C578" s="9" t="e">
        <f>IF(D577=VLOOKUP(C577,Lookup!$P$5:$R$6,3,0),VLOOKUP(C577,Lookup!$P$5:$Q$6,2,0),C577)</f>
        <v>#N/A</v>
      </c>
      <c r="D578" s="22" t="e">
        <f>IF(D577=VLOOKUP(C577,Lookup!$P$5:$R$6,3,0),1,D577+1)</f>
        <v>#N/A</v>
      </c>
      <c r="E578" s="9" t="e">
        <f>IF(C578=Lookup!$P$5,INDEX('view-code'!$P$3:$P$502,'group-code'!D578),"")</f>
        <v>#N/A</v>
      </c>
      <c r="F578" s="9" t="e">
        <f>IF(C578=Lookup!$P$6,INDEX('card-code'!$P$3:$P$502,'group-code'!D578),"")</f>
        <v>#N/A</v>
      </c>
      <c r="G578" s="9" t="str">
        <f t="shared" si="18"/>
        <v/>
      </c>
      <c r="H578" s="9" t="str">
        <f>_xlfn.IFNA(IF(C578=Lookup!$Q$6,"END",""),"")</f>
        <v/>
      </c>
    </row>
    <row r="579" spans="2:8" x14ac:dyDescent="0.45">
      <c r="B579" s="9">
        <f t="shared" si="17"/>
        <v>574</v>
      </c>
      <c r="C579" s="9" t="e">
        <f>IF(D578=VLOOKUP(C578,Lookup!$P$5:$R$6,3,0),VLOOKUP(C578,Lookup!$P$5:$Q$6,2,0),C578)</f>
        <v>#N/A</v>
      </c>
      <c r="D579" s="22" t="e">
        <f>IF(D578=VLOOKUP(C578,Lookup!$P$5:$R$6,3,0),1,D578+1)</f>
        <v>#N/A</v>
      </c>
      <c r="E579" s="9" t="e">
        <f>IF(C579=Lookup!$P$5,INDEX('view-code'!$P$3:$P$502,'group-code'!D579),"")</f>
        <v>#N/A</v>
      </c>
      <c r="F579" s="9" t="e">
        <f>IF(C579=Lookup!$P$6,INDEX('card-code'!$P$3:$P$502,'group-code'!D579),"")</f>
        <v>#N/A</v>
      </c>
      <c r="G579" s="9" t="str">
        <f t="shared" si="18"/>
        <v/>
      </c>
      <c r="H579" s="9" t="str">
        <f>_xlfn.IFNA(IF(C579=Lookup!$Q$6,"END",""),"")</f>
        <v/>
      </c>
    </row>
    <row r="580" spans="2:8" x14ac:dyDescent="0.45">
      <c r="B580" s="9">
        <f t="shared" si="17"/>
        <v>575</v>
      </c>
      <c r="C580" s="9" t="e">
        <f>IF(D579=VLOOKUP(C579,Lookup!$P$5:$R$6,3,0),VLOOKUP(C579,Lookup!$P$5:$Q$6,2,0),C579)</f>
        <v>#N/A</v>
      </c>
      <c r="D580" s="22" t="e">
        <f>IF(D579=VLOOKUP(C579,Lookup!$P$5:$R$6,3,0),1,D579+1)</f>
        <v>#N/A</v>
      </c>
      <c r="E580" s="9" t="e">
        <f>IF(C580=Lookup!$P$5,INDEX('view-code'!$P$3:$P$502,'group-code'!D580),"")</f>
        <v>#N/A</v>
      </c>
      <c r="F580" s="9" t="e">
        <f>IF(C580=Lookup!$P$6,INDEX('card-code'!$P$3:$P$502,'group-code'!D580),"")</f>
        <v>#N/A</v>
      </c>
      <c r="G580" s="9" t="str">
        <f t="shared" si="18"/>
        <v/>
      </c>
      <c r="H580" s="9" t="str">
        <f>_xlfn.IFNA(IF(C580=Lookup!$Q$6,"END",""),"")</f>
        <v/>
      </c>
    </row>
    <row r="581" spans="2:8" x14ac:dyDescent="0.45">
      <c r="B581" s="9">
        <f t="shared" si="17"/>
        <v>576</v>
      </c>
      <c r="C581" s="9" t="e">
        <f>IF(D580=VLOOKUP(C580,Lookup!$P$5:$R$6,3,0),VLOOKUP(C580,Lookup!$P$5:$Q$6,2,0),C580)</f>
        <v>#N/A</v>
      </c>
      <c r="D581" s="22" t="e">
        <f>IF(D580=VLOOKUP(C580,Lookup!$P$5:$R$6,3,0),1,D580+1)</f>
        <v>#N/A</v>
      </c>
      <c r="E581" s="9" t="e">
        <f>IF(C581=Lookup!$P$5,INDEX('view-code'!$P$3:$P$502,'group-code'!D581),"")</f>
        <v>#N/A</v>
      </c>
      <c r="F581" s="9" t="e">
        <f>IF(C581=Lookup!$P$6,INDEX('card-code'!$P$3:$P$502,'group-code'!D581),"")</f>
        <v>#N/A</v>
      </c>
      <c r="G581" s="9" t="str">
        <f t="shared" si="18"/>
        <v/>
      </c>
      <c r="H581" s="9" t="str">
        <f>_xlfn.IFNA(IF(C581=Lookup!$Q$6,"END",""),"")</f>
        <v/>
      </c>
    </row>
    <row r="582" spans="2:8" x14ac:dyDescent="0.45">
      <c r="B582" s="9">
        <f t="shared" si="17"/>
        <v>577</v>
      </c>
      <c r="C582" s="9" t="e">
        <f>IF(D581=VLOOKUP(C581,Lookup!$P$5:$R$6,3,0),VLOOKUP(C581,Lookup!$P$5:$Q$6,2,0),C581)</f>
        <v>#N/A</v>
      </c>
      <c r="D582" s="22" t="e">
        <f>IF(D581=VLOOKUP(C581,Lookup!$P$5:$R$6,3,0),1,D581+1)</f>
        <v>#N/A</v>
      </c>
      <c r="E582" s="9" t="e">
        <f>IF(C582=Lookup!$P$5,INDEX('view-code'!$P$3:$P$502,'group-code'!D582),"")</f>
        <v>#N/A</v>
      </c>
      <c r="F582" s="9" t="e">
        <f>IF(C582=Lookup!$P$6,INDEX('card-code'!$P$3:$P$502,'group-code'!D582),"")</f>
        <v>#N/A</v>
      </c>
      <c r="G582" s="9" t="str">
        <f t="shared" si="18"/>
        <v/>
      </c>
      <c r="H582" s="9" t="str">
        <f>_xlfn.IFNA(IF(C582=Lookup!$Q$6,"END",""),"")</f>
        <v/>
      </c>
    </row>
    <row r="583" spans="2:8" x14ac:dyDescent="0.45">
      <c r="B583" s="9">
        <f t="shared" si="17"/>
        <v>578</v>
      </c>
      <c r="C583" s="9" t="e">
        <f>IF(D582=VLOOKUP(C582,Lookup!$P$5:$R$6,3,0),VLOOKUP(C582,Lookup!$P$5:$Q$6,2,0),C582)</f>
        <v>#N/A</v>
      </c>
      <c r="D583" s="22" t="e">
        <f>IF(D582=VLOOKUP(C582,Lookup!$P$5:$R$6,3,0),1,D582+1)</f>
        <v>#N/A</v>
      </c>
      <c r="E583" s="9" t="e">
        <f>IF(C583=Lookup!$P$5,INDEX('view-code'!$P$3:$P$502,'group-code'!D583),"")</f>
        <v>#N/A</v>
      </c>
      <c r="F583" s="9" t="e">
        <f>IF(C583=Lookup!$P$6,INDEX('card-code'!$P$3:$P$502,'group-code'!D583),"")</f>
        <v>#N/A</v>
      </c>
      <c r="G583" s="9" t="str">
        <f t="shared" si="18"/>
        <v/>
      </c>
      <c r="H583" s="9" t="str">
        <f>_xlfn.IFNA(IF(C583=Lookup!$Q$6,"END",""),"")</f>
        <v/>
      </c>
    </row>
    <row r="584" spans="2:8" x14ac:dyDescent="0.45">
      <c r="B584" s="9">
        <f t="shared" ref="B584:B647" si="19">B583+1</f>
        <v>579</v>
      </c>
      <c r="C584" s="9" t="e">
        <f>IF(D583=VLOOKUP(C583,Lookup!$P$5:$R$6,3,0),VLOOKUP(C583,Lookup!$P$5:$Q$6,2,0),C583)</f>
        <v>#N/A</v>
      </c>
      <c r="D584" s="22" t="e">
        <f>IF(D583=VLOOKUP(C583,Lookup!$P$5:$R$6,3,0),1,D583+1)</f>
        <v>#N/A</v>
      </c>
      <c r="E584" s="9" t="e">
        <f>IF(C584=Lookup!$P$5,INDEX('view-code'!$P$3:$P$502,'group-code'!D584),"")</f>
        <v>#N/A</v>
      </c>
      <c r="F584" s="9" t="e">
        <f>IF(C584=Lookup!$P$6,INDEX('card-code'!$P$3:$P$502,'group-code'!D584),"")</f>
        <v>#N/A</v>
      </c>
      <c r="G584" s="9" t="str">
        <f t="shared" si="18"/>
        <v/>
      </c>
      <c r="H584" s="9" t="str">
        <f>_xlfn.IFNA(IF(C584=Lookup!$Q$6,"END",""),"")</f>
        <v/>
      </c>
    </row>
    <row r="585" spans="2:8" x14ac:dyDescent="0.45">
      <c r="B585" s="9">
        <f t="shared" si="19"/>
        <v>580</v>
      </c>
      <c r="C585" s="9" t="e">
        <f>IF(D584=VLOOKUP(C584,Lookup!$P$5:$R$6,3,0),VLOOKUP(C584,Lookup!$P$5:$Q$6,2,0),C584)</f>
        <v>#N/A</v>
      </c>
      <c r="D585" s="22" t="e">
        <f>IF(D584=VLOOKUP(C584,Lookup!$P$5:$R$6,3,0),1,D584+1)</f>
        <v>#N/A</v>
      </c>
      <c r="E585" s="9" t="e">
        <f>IF(C585=Lookup!$P$5,INDEX('view-code'!$P$3:$P$502,'group-code'!D585),"")</f>
        <v>#N/A</v>
      </c>
      <c r="F585" s="9" t="e">
        <f>IF(C585=Lookup!$P$6,INDEX('card-code'!$P$3:$P$502,'group-code'!D585),"")</f>
        <v>#N/A</v>
      </c>
      <c r="G585" s="9" t="str">
        <f t="shared" si="18"/>
        <v/>
      </c>
      <c r="H585" s="9" t="str">
        <f>_xlfn.IFNA(IF(C585=Lookup!$Q$6,"END",""),"")</f>
        <v/>
      </c>
    </row>
    <row r="586" spans="2:8" x14ac:dyDescent="0.45">
      <c r="B586" s="9">
        <f t="shared" si="19"/>
        <v>581</v>
      </c>
      <c r="C586" s="9" t="e">
        <f>IF(D585=VLOOKUP(C585,Lookup!$P$5:$R$6,3,0),VLOOKUP(C585,Lookup!$P$5:$Q$6,2,0),C585)</f>
        <v>#N/A</v>
      </c>
      <c r="D586" s="22" t="e">
        <f>IF(D585=VLOOKUP(C585,Lookup!$P$5:$R$6,3,0),1,D585+1)</f>
        <v>#N/A</v>
      </c>
      <c r="E586" s="9" t="e">
        <f>IF(C586=Lookup!$P$5,INDEX('view-code'!$P$3:$P$502,'group-code'!D586),"")</f>
        <v>#N/A</v>
      </c>
      <c r="F586" s="9" t="e">
        <f>IF(C586=Lookup!$P$6,INDEX('card-code'!$P$3:$P$502,'group-code'!D586),"")</f>
        <v>#N/A</v>
      </c>
      <c r="G586" s="9" t="str">
        <f t="shared" si="18"/>
        <v/>
      </c>
      <c r="H586" s="9" t="str">
        <f>_xlfn.IFNA(IF(C586=Lookup!$Q$6,"END",""),"")</f>
        <v/>
      </c>
    </row>
    <row r="587" spans="2:8" x14ac:dyDescent="0.45">
      <c r="B587" s="9">
        <f t="shared" si="19"/>
        <v>582</v>
      </c>
      <c r="C587" s="9" t="e">
        <f>IF(D586=VLOOKUP(C586,Lookup!$P$5:$R$6,3,0),VLOOKUP(C586,Lookup!$P$5:$Q$6,2,0),C586)</f>
        <v>#N/A</v>
      </c>
      <c r="D587" s="22" t="e">
        <f>IF(D586=VLOOKUP(C586,Lookup!$P$5:$R$6,3,0),1,D586+1)</f>
        <v>#N/A</v>
      </c>
      <c r="E587" s="9" t="e">
        <f>IF(C587=Lookup!$P$5,INDEX('view-code'!$P$3:$P$502,'group-code'!D587),"")</f>
        <v>#N/A</v>
      </c>
      <c r="F587" s="9" t="e">
        <f>IF(C587=Lookup!$P$6,INDEX('card-code'!$P$3:$P$502,'group-code'!D587),"")</f>
        <v>#N/A</v>
      </c>
      <c r="G587" s="9" t="str">
        <f t="shared" si="18"/>
        <v/>
      </c>
      <c r="H587" s="9" t="str">
        <f>_xlfn.IFNA(IF(C587=Lookup!$Q$6,"END",""),"")</f>
        <v/>
      </c>
    </row>
    <row r="588" spans="2:8" x14ac:dyDescent="0.45">
      <c r="B588" s="9">
        <f t="shared" si="19"/>
        <v>583</v>
      </c>
      <c r="C588" s="9" t="e">
        <f>IF(D587=VLOOKUP(C587,Lookup!$P$5:$R$6,3,0),VLOOKUP(C587,Lookup!$P$5:$Q$6,2,0),C587)</f>
        <v>#N/A</v>
      </c>
      <c r="D588" s="22" t="e">
        <f>IF(D587=VLOOKUP(C587,Lookup!$P$5:$R$6,3,0),1,D587+1)</f>
        <v>#N/A</v>
      </c>
      <c r="E588" s="9" t="e">
        <f>IF(C588=Lookup!$P$5,INDEX('view-code'!$P$3:$P$502,'group-code'!D588),"")</f>
        <v>#N/A</v>
      </c>
      <c r="F588" s="9" t="e">
        <f>IF(C588=Lookup!$P$6,INDEX('card-code'!$P$3:$P$502,'group-code'!D588),"")</f>
        <v>#N/A</v>
      </c>
      <c r="G588" s="9" t="str">
        <f t="shared" si="18"/>
        <v/>
      </c>
      <c r="H588" s="9" t="str">
        <f>_xlfn.IFNA(IF(C588=Lookup!$Q$6,"END",""),"")</f>
        <v/>
      </c>
    </row>
    <row r="589" spans="2:8" x14ac:dyDescent="0.45">
      <c r="B589" s="9">
        <f t="shared" si="19"/>
        <v>584</v>
      </c>
      <c r="C589" s="9" t="e">
        <f>IF(D588=VLOOKUP(C588,Lookup!$P$5:$R$6,3,0),VLOOKUP(C588,Lookup!$P$5:$Q$6,2,0),C588)</f>
        <v>#N/A</v>
      </c>
      <c r="D589" s="22" t="e">
        <f>IF(D588=VLOOKUP(C588,Lookup!$P$5:$R$6,3,0),1,D588+1)</f>
        <v>#N/A</v>
      </c>
      <c r="E589" s="9" t="e">
        <f>IF(C589=Lookup!$P$5,INDEX('view-code'!$P$3:$P$502,'group-code'!D589),"")</f>
        <v>#N/A</v>
      </c>
      <c r="F589" s="9" t="e">
        <f>IF(C589=Lookup!$P$6,INDEX('card-code'!$P$3:$P$502,'group-code'!D589),"")</f>
        <v>#N/A</v>
      </c>
      <c r="G589" s="9" t="str">
        <f t="shared" si="18"/>
        <v/>
      </c>
      <c r="H589" s="9" t="str">
        <f>_xlfn.IFNA(IF(C589=Lookup!$Q$6,"END",""),"")</f>
        <v/>
      </c>
    </row>
    <row r="590" spans="2:8" x14ac:dyDescent="0.45">
      <c r="B590" s="9">
        <f t="shared" si="19"/>
        <v>585</v>
      </c>
      <c r="C590" s="9" t="e">
        <f>IF(D589=VLOOKUP(C589,Lookup!$P$5:$R$6,3,0),VLOOKUP(C589,Lookup!$P$5:$Q$6,2,0),C589)</f>
        <v>#N/A</v>
      </c>
      <c r="D590" s="22" t="e">
        <f>IF(D589=VLOOKUP(C589,Lookup!$P$5:$R$6,3,0),1,D589+1)</f>
        <v>#N/A</v>
      </c>
      <c r="E590" s="9" t="e">
        <f>IF(C590=Lookup!$P$5,INDEX('view-code'!$P$3:$P$502,'group-code'!D590),"")</f>
        <v>#N/A</v>
      </c>
      <c r="F590" s="9" t="e">
        <f>IF(C590=Lookup!$P$6,INDEX('card-code'!$P$3:$P$502,'group-code'!D590),"")</f>
        <v>#N/A</v>
      </c>
      <c r="G590" s="9" t="str">
        <f t="shared" si="18"/>
        <v/>
      </c>
      <c r="H590" s="9" t="str">
        <f>_xlfn.IFNA(IF(C590=Lookup!$Q$6,"END",""),"")</f>
        <v/>
      </c>
    </row>
    <row r="591" spans="2:8" x14ac:dyDescent="0.45">
      <c r="B591" s="9">
        <f t="shared" si="19"/>
        <v>586</v>
      </c>
      <c r="C591" s="9" t="e">
        <f>IF(D590=VLOOKUP(C590,Lookup!$P$5:$R$6,3,0),VLOOKUP(C590,Lookup!$P$5:$Q$6,2,0),C590)</f>
        <v>#N/A</v>
      </c>
      <c r="D591" s="22" t="e">
        <f>IF(D590=VLOOKUP(C590,Lookup!$P$5:$R$6,3,0),1,D590+1)</f>
        <v>#N/A</v>
      </c>
      <c r="E591" s="9" t="e">
        <f>IF(C591=Lookup!$P$5,INDEX('view-code'!$P$3:$P$502,'group-code'!D591),"")</f>
        <v>#N/A</v>
      </c>
      <c r="F591" s="9" t="e">
        <f>IF(C591=Lookup!$P$6,INDEX('card-code'!$P$3:$P$502,'group-code'!D591),"")</f>
        <v>#N/A</v>
      </c>
      <c r="G591" s="9" t="str">
        <f t="shared" si="18"/>
        <v/>
      </c>
      <c r="H591" s="9" t="str">
        <f>_xlfn.IFNA(IF(C591=Lookup!$Q$6,"END",""),"")</f>
        <v/>
      </c>
    </row>
    <row r="592" spans="2:8" x14ac:dyDescent="0.45">
      <c r="B592" s="9">
        <f t="shared" si="19"/>
        <v>587</v>
      </c>
      <c r="C592" s="9" t="e">
        <f>IF(D591=VLOOKUP(C591,Lookup!$P$5:$R$6,3,0),VLOOKUP(C591,Lookup!$P$5:$Q$6,2,0),C591)</f>
        <v>#N/A</v>
      </c>
      <c r="D592" s="22" t="e">
        <f>IF(D591=VLOOKUP(C591,Lookup!$P$5:$R$6,3,0),1,D591+1)</f>
        <v>#N/A</v>
      </c>
      <c r="E592" s="9" t="e">
        <f>IF(C592=Lookup!$P$5,INDEX('view-code'!$P$3:$P$502,'group-code'!D592),"")</f>
        <v>#N/A</v>
      </c>
      <c r="F592" s="9" t="e">
        <f>IF(C592=Lookup!$P$6,INDEX('card-code'!$P$3:$P$502,'group-code'!D592),"")</f>
        <v>#N/A</v>
      </c>
      <c r="G592" s="9" t="str">
        <f t="shared" si="18"/>
        <v/>
      </c>
      <c r="H592" s="9" t="str">
        <f>_xlfn.IFNA(IF(C592=Lookup!$Q$6,"END",""),"")</f>
        <v/>
      </c>
    </row>
    <row r="593" spans="2:8" x14ac:dyDescent="0.45">
      <c r="B593" s="9">
        <f t="shared" si="19"/>
        <v>588</v>
      </c>
      <c r="C593" s="9" t="e">
        <f>IF(D592=VLOOKUP(C592,Lookup!$P$5:$R$6,3,0),VLOOKUP(C592,Lookup!$P$5:$Q$6,2,0),C592)</f>
        <v>#N/A</v>
      </c>
      <c r="D593" s="22" t="e">
        <f>IF(D592=VLOOKUP(C592,Lookup!$P$5:$R$6,3,0),1,D592+1)</f>
        <v>#N/A</v>
      </c>
      <c r="E593" s="9" t="e">
        <f>IF(C593=Lookup!$P$5,INDEX('view-code'!$P$3:$P$502,'group-code'!D593),"")</f>
        <v>#N/A</v>
      </c>
      <c r="F593" s="9" t="e">
        <f>IF(C593=Lookup!$P$6,INDEX('card-code'!$P$3:$P$502,'group-code'!D593),"")</f>
        <v>#N/A</v>
      </c>
      <c r="G593" s="9" t="str">
        <f t="shared" si="18"/>
        <v/>
      </c>
      <c r="H593" s="9" t="str">
        <f>_xlfn.IFNA(IF(C593=Lookup!$Q$6,"END",""),"")</f>
        <v/>
      </c>
    </row>
    <row r="594" spans="2:8" x14ac:dyDescent="0.45">
      <c r="B594" s="9">
        <f t="shared" si="19"/>
        <v>589</v>
      </c>
      <c r="C594" s="9" t="e">
        <f>IF(D593=VLOOKUP(C593,Lookup!$P$5:$R$6,3,0),VLOOKUP(C593,Lookup!$P$5:$Q$6,2,0),C593)</f>
        <v>#N/A</v>
      </c>
      <c r="D594" s="22" t="e">
        <f>IF(D593=VLOOKUP(C593,Lookup!$P$5:$R$6,3,0),1,D593+1)</f>
        <v>#N/A</v>
      </c>
      <c r="E594" s="9" t="e">
        <f>IF(C594=Lookup!$P$5,INDEX('view-code'!$P$3:$P$502,'group-code'!D594),"")</f>
        <v>#N/A</v>
      </c>
      <c r="F594" s="9" t="e">
        <f>IF(C594=Lookup!$P$6,INDEX('card-code'!$P$3:$P$502,'group-code'!D594),"")</f>
        <v>#N/A</v>
      </c>
      <c r="G594" s="9" t="str">
        <f t="shared" si="18"/>
        <v/>
      </c>
      <c r="H594" s="9" t="str">
        <f>_xlfn.IFNA(IF(C594=Lookup!$Q$6,"END",""),"")</f>
        <v/>
      </c>
    </row>
    <row r="595" spans="2:8" x14ac:dyDescent="0.45">
      <c r="B595" s="9">
        <f t="shared" si="19"/>
        <v>590</v>
      </c>
      <c r="C595" s="9" t="e">
        <f>IF(D594=VLOOKUP(C594,Lookup!$P$5:$R$6,3,0),VLOOKUP(C594,Lookup!$P$5:$Q$6,2,0),C594)</f>
        <v>#N/A</v>
      </c>
      <c r="D595" s="22" t="e">
        <f>IF(D594=VLOOKUP(C594,Lookup!$P$5:$R$6,3,0),1,D594+1)</f>
        <v>#N/A</v>
      </c>
      <c r="E595" s="9" t="e">
        <f>IF(C595=Lookup!$P$5,INDEX('view-code'!$P$3:$P$502,'group-code'!D595),"")</f>
        <v>#N/A</v>
      </c>
      <c r="F595" s="9" t="e">
        <f>IF(C595=Lookup!$P$6,INDEX('card-code'!$P$3:$P$502,'group-code'!D595),"")</f>
        <v>#N/A</v>
      </c>
      <c r="G595" s="9" t="str">
        <f t="shared" si="18"/>
        <v/>
      </c>
      <c r="H595" s="9" t="str">
        <f>_xlfn.IFNA(IF(C595=Lookup!$Q$6,"END",""),"")</f>
        <v/>
      </c>
    </row>
    <row r="596" spans="2:8" x14ac:dyDescent="0.45">
      <c r="B596" s="9">
        <f t="shared" si="19"/>
        <v>591</v>
      </c>
      <c r="C596" s="9" t="e">
        <f>IF(D595=VLOOKUP(C595,Lookup!$P$5:$R$6,3,0),VLOOKUP(C595,Lookup!$P$5:$Q$6,2,0),C595)</f>
        <v>#N/A</v>
      </c>
      <c r="D596" s="22" t="e">
        <f>IF(D595=VLOOKUP(C595,Lookup!$P$5:$R$6,3,0),1,D595+1)</f>
        <v>#N/A</v>
      </c>
      <c r="E596" s="9" t="e">
        <f>IF(C596=Lookup!$P$5,INDEX('view-code'!$P$3:$P$502,'group-code'!D596),"")</f>
        <v>#N/A</v>
      </c>
      <c r="F596" s="9" t="e">
        <f>IF(C596=Lookup!$P$6,INDEX('card-code'!$P$3:$P$502,'group-code'!D596),"")</f>
        <v>#N/A</v>
      </c>
      <c r="G596" s="9" t="str">
        <f t="shared" si="18"/>
        <v/>
      </c>
      <c r="H596" s="9" t="str">
        <f>_xlfn.IFNA(IF(C596=Lookup!$Q$6,"END",""),"")</f>
        <v/>
      </c>
    </row>
    <row r="597" spans="2:8" x14ac:dyDescent="0.45">
      <c r="B597" s="9">
        <f t="shared" si="19"/>
        <v>592</v>
      </c>
      <c r="C597" s="9" t="e">
        <f>IF(D596=VLOOKUP(C596,Lookup!$P$5:$R$6,3,0),VLOOKUP(C596,Lookup!$P$5:$Q$6,2,0),C596)</f>
        <v>#N/A</v>
      </c>
      <c r="D597" s="22" t="e">
        <f>IF(D596=VLOOKUP(C596,Lookup!$P$5:$R$6,3,0),1,D596+1)</f>
        <v>#N/A</v>
      </c>
      <c r="E597" s="9" t="e">
        <f>IF(C597=Lookup!$P$5,INDEX('view-code'!$P$3:$P$502,'group-code'!D597),"")</f>
        <v>#N/A</v>
      </c>
      <c r="F597" s="9" t="e">
        <f>IF(C597=Lookup!$P$6,INDEX('card-code'!$P$3:$P$502,'group-code'!D597),"")</f>
        <v>#N/A</v>
      </c>
      <c r="G597" s="9" t="str">
        <f t="shared" si="18"/>
        <v/>
      </c>
      <c r="H597" s="9" t="str">
        <f>_xlfn.IFNA(IF(C597=Lookup!$Q$6,"END",""),"")</f>
        <v/>
      </c>
    </row>
    <row r="598" spans="2:8" x14ac:dyDescent="0.45">
      <c r="B598" s="9">
        <f t="shared" si="19"/>
        <v>593</v>
      </c>
      <c r="C598" s="9" t="e">
        <f>IF(D597=VLOOKUP(C597,Lookup!$P$5:$R$6,3,0),VLOOKUP(C597,Lookup!$P$5:$Q$6,2,0),C597)</f>
        <v>#N/A</v>
      </c>
      <c r="D598" s="22" t="e">
        <f>IF(D597=VLOOKUP(C597,Lookup!$P$5:$R$6,3,0),1,D597+1)</f>
        <v>#N/A</v>
      </c>
      <c r="E598" s="9" t="e">
        <f>IF(C598=Lookup!$P$5,INDEX('view-code'!$P$3:$P$502,'group-code'!D598),"")</f>
        <v>#N/A</v>
      </c>
      <c r="F598" s="9" t="e">
        <f>IF(C598=Lookup!$P$6,INDEX('card-code'!$P$3:$P$502,'group-code'!D598),"")</f>
        <v>#N/A</v>
      </c>
      <c r="G598" s="9" t="str">
        <f t="shared" si="18"/>
        <v/>
      </c>
      <c r="H598" s="9" t="str">
        <f>_xlfn.IFNA(IF(C598=Lookup!$Q$6,"END",""),"")</f>
        <v/>
      </c>
    </row>
    <row r="599" spans="2:8" x14ac:dyDescent="0.45">
      <c r="B599" s="9">
        <f t="shared" si="19"/>
        <v>594</v>
      </c>
      <c r="C599" s="9" t="e">
        <f>IF(D598=VLOOKUP(C598,Lookup!$P$5:$R$6,3,0),VLOOKUP(C598,Lookup!$P$5:$Q$6,2,0),C598)</f>
        <v>#N/A</v>
      </c>
      <c r="D599" s="22" t="e">
        <f>IF(D598=VLOOKUP(C598,Lookup!$P$5:$R$6,3,0),1,D598+1)</f>
        <v>#N/A</v>
      </c>
      <c r="E599" s="9" t="e">
        <f>IF(C599=Lookup!$P$5,INDEX('view-code'!$P$3:$P$502,'group-code'!D599),"")</f>
        <v>#N/A</v>
      </c>
      <c r="F599" s="9" t="e">
        <f>IF(C599=Lookup!$P$6,INDEX('card-code'!$P$3:$P$502,'group-code'!D599),"")</f>
        <v>#N/A</v>
      </c>
      <c r="G599" s="9" t="str">
        <f t="shared" si="18"/>
        <v/>
      </c>
      <c r="H599" s="9" t="str">
        <f>_xlfn.IFNA(IF(C599=Lookup!$Q$6,"END",""),"")</f>
        <v/>
      </c>
    </row>
    <row r="600" spans="2:8" x14ac:dyDescent="0.45">
      <c r="B600" s="9">
        <f t="shared" si="19"/>
        <v>595</v>
      </c>
      <c r="C600" s="9" t="e">
        <f>IF(D599=VLOOKUP(C599,Lookup!$P$5:$R$6,3,0),VLOOKUP(C599,Lookup!$P$5:$Q$6,2,0),C599)</f>
        <v>#N/A</v>
      </c>
      <c r="D600" s="22" t="e">
        <f>IF(D599=VLOOKUP(C599,Lookup!$P$5:$R$6,3,0),1,D599+1)</f>
        <v>#N/A</v>
      </c>
      <c r="E600" s="9" t="e">
        <f>IF(C600=Lookup!$P$5,INDEX('view-code'!$P$3:$P$502,'group-code'!D600),"")</f>
        <v>#N/A</v>
      </c>
      <c r="F600" s="9" t="e">
        <f>IF(C600=Lookup!$P$6,INDEX('card-code'!$P$3:$P$502,'group-code'!D600),"")</f>
        <v>#N/A</v>
      </c>
      <c r="G600" s="9" t="str">
        <f t="shared" si="18"/>
        <v/>
      </c>
      <c r="H600" s="9" t="str">
        <f>_xlfn.IFNA(IF(C600=Lookup!$Q$6,"END",""),"")</f>
        <v/>
      </c>
    </row>
    <row r="601" spans="2:8" x14ac:dyDescent="0.45">
      <c r="B601" s="9">
        <f t="shared" si="19"/>
        <v>596</v>
      </c>
      <c r="C601" s="9" t="e">
        <f>IF(D600=VLOOKUP(C600,Lookup!$P$5:$R$6,3,0),VLOOKUP(C600,Lookup!$P$5:$Q$6,2,0),C600)</f>
        <v>#N/A</v>
      </c>
      <c r="D601" s="22" t="e">
        <f>IF(D600=VLOOKUP(C600,Lookup!$P$5:$R$6,3,0),1,D600+1)</f>
        <v>#N/A</v>
      </c>
      <c r="E601" s="9" t="e">
        <f>IF(C601=Lookup!$P$5,INDEX('view-code'!$P$3:$P$502,'group-code'!D601),"")</f>
        <v>#N/A</v>
      </c>
      <c r="F601" s="9" t="e">
        <f>IF(C601=Lookup!$P$6,INDEX('card-code'!$P$3:$P$502,'group-code'!D601),"")</f>
        <v>#N/A</v>
      </c>
      <c r="G601" s="9" t="str">
        <f t="shared" si="18"/>
        <v/>
      </c>
      <c r="H601" s="9" t="str">
        <f>_xlfn.IFNA(IF(C601=Lookup!$Q$6,"END",""),"")</f>
        <v/>
      </c>
    </row>
    <row r="602" spans="2:8" x14ac:dyDescent="0.45">
      <c r="B602" s="9">
        <f t="shared" si="19"/>
        <v>597</v>
      </c>
      <c r="C602" s="9" t="e">
        <f>IF(D601=VLOOKUP(C601,Lookup!$P$5:$R$6,3,0),VLOOKUP(C601,Lookup!$P$5:$Q$6,2,0),C601)</f>
        <v>#N/A</v>
      </c>
      <c r="D602" s="22" t="e">
        <f>IF(D601=VLOOKUP(C601,Lookup!$P$5:$R$6,3,0),1,D601+1)</f>
        <v>#N/A</v>
      </c>
      <c r="E602" s="9" t="e">
        <f>IF(C602=Lookup!$P$5,INDEX('view-code'!$P$3:$P$502,'group-code'!D602),"")</f>
        <v>#N/A</v>
      </c>
      <c r="F602" s="9" t="e">
        <f>IF(C602=Lookup!$P$6,INDEX('card-code'!$P$3:$P$502,'group-code'!D602),"")</f>
        <v>#N/A</v>
      </c>
      <c r="G602" s="9" t="str">
        <f t="shared" si="18"/>
        <v/>
      </c>
      <c r="H602" s="9" t="str">
        <f>_xlfn.IFNA(IF(C602=Lookup!$Q$6,"END",""),"")</f>
        <v/>
      </c>
    </row>
    <row r="603" spans="2:8" x14ac:dyDescent="0.45">
      <c r="B603" s="9">
        <f t="shared" si="19"/>
        <v>598</v>
      </c>
      <c r="C603" s="9" t="e">
        <f>IF(D602=VLOOKUP(C602,Lookup!$P$5:$R$6,3,0),VLOOKUP(C602,Lookup!$P$5:$Q$6,2,0),C602)</f>
        <v>#N/A</v>
      </c>
      <c r="D603" s="22" t="e">
        <f>IF(D602=VLOOKUP(C602,Lookup!$P$5:$R$6,3,0),1,D602+1)</f>
        <v>#N/A</v>
      </c>
      <c r="E603" s="9" t="e">
        <f>IF(C603=Lookup!$P$5,INDEX('view-code'!$P$3:$P$502,'group-code'!D603),"")</f>
        <v>#N/A</v>
      </c>
      <c r="F603" s="9" t="e">
        <f>IF(C603=Lookup!$P$6,INDEX('card-code'!$P$3:$P$502,'group-code'!D603),"")</f>
        <v>#N/A</v>
      </c>
      <c r="G603" s="9" t="str">
        <f t="shared" si="18"/>
        <v/>
      </c>
      <c r="H603" s="9" t="str">
        <f>_xlfn.IFNA(IF(C603=Lookup!$Q$6,"END",""),"")</f>
        <v/>
      </c>
    </row>
    <row r="604" spans="2:8" x14ac:dyDescent="0.45">
      <c r="B604" s="9">
        <f t="shared" si="19"/>
        <v>599</v>
      </c>
      <c r="C604" s="9" t="e">
        <f>IF(D603=VLOOKUP(C603,Lookup!$P$5:$R$6,3,0),VLOOKUP(C603,Lookup!$P$5:$Q$6,2,0),C603)</f>
        <v>#N/A</v>
      </c>
      <c r="D604" s="22" t="e">
        <f>IF(D603=VLOOKUP(C603,Lookup!$P$5:$R$6,3,0),1,D603+1)</f>
        <v>#N/A</v>
      </c>
      <c r="E604" s="9" t="e">
        <f>IF(C604=Lookup!$P$5,INDEX('view-code'!$P$3:$P$502,'group-code'!D604),"")</f>
        <v>#N/A</v>
      </c>
      <c r="F604" s="9" t="e">
        <f>IF(C604=Lookup!$P$6,INDEX('card-code'!$P$3:$P$502,'group-code'!D604),"")</f>
        <v>#N/A</v>
      </c>
      <c r="G604" s="9" t="str">
        <f t="shared" si="18"/>
        <v/>
      </c>
      <c r="H604" s="9" t="str">
        <f>_xlfn.IFNA(IF(C604=Lookup!$Q$6,"END",""),"")</f>
        <v/>
      </c>
    </row>
    <row r="605" spans="2:8" x14ac:dyDescent="0.45">
      <c r="B605" s="9">
        <f t="shared" si="19"/>
        <v>600</v>
      </c>
      <c r="C605" s="9" t="e">
        <f>IF(D604=VLOOKUP(C604,Lookup!$P$5:$R$6,3,0),VLOOKUP(C604,Lookup!$P$5:$Q$6,2,0),C604)</f>
        <v>#N/A</v>
      </c>
      <c r="D605" s="22" t="e">
        <f>IF(D604=VLOOKUP(C604,Lookup!$P$5:$R$6,3,0),1,D604+1)</f>
        <v>#N/A</v>
      </c>
      <c r="E605" s="9" t="e">
        <f>IF(C605=Lookup!$P$5,INDEX('view-code'!$P$3:$P$502,'group-code'!D605),"")</f>
        <v>#N/A</v>
      </c>
      <c r="F605" s="9" t="e">
        <f>IF(C605=Lookup!$P$6,INDEX('card-code'!$P$3:$P$502,'group-code'!D605),"")</f>
        <v>#N/A</v>
      </c>
      <c r="G605" s="9" t="str">
        <f t="shared" si="18"/>
        <v/>
      </c>
      <c r="H605" s="9" t="str">
        <f>_xlfn.IFNA(IF(C605=Lookup!$Q$6,"END",""),"")</f>
        <v/>
      </c>
    </row>
    <row r="606" spans="2:8" x14ac:dyDescent="0.45">
      <c r="B606" s="9">
        <f t="shared" si="19"/>
        <v>601</v>
      </c>
      <c r="C606" s="9" t="e">
        <f>IF(D605=VLOOKUP(C605,Lookup!$P$5:$R$6,3,0),VLOOKUP(C605,Lookup!$P$5:$Q$6,2,0),C605)</f>
        <v>#N/A</v>
      </c>
      <c r="D606" s="22" t="e">
        <f>IF(D605=VLOOKUP(C605,Lookup!$P$5:$R$6,3,0),1,D605+1)</f>
        <v>#N/A</v>
      </c>
      <c r="E606" s="9" t="e">
        <f>IF(C606=Lookup!$P$5,INDEX('view-code'!$P$3:$P$502,'group-code'!D606),"")</f>
        <v>#N/A</v>
      </c>
      <c r="F606" s="9" t="e">
        <f>IF(C606=Lookup!$P$6,INDEX('card-code'!$P$3:$P$502,'group-code'!D606),"")</f>
        <v>#N/A</v>
      </c>
      <c r="G606" s="9" t="str">
        <f t="shared" si="18"/>
        <v/>
      </c>
      <c r="H606" s="9" t="str">
        <f>_xlfn.IFNA(IF(C606=Lookup!$Q$6,"END",""),"")</f>
        <v/>
      </c>
    </row>
    <row r="607" spans="2:8" x14ac:dyDescent="0.45">
      <c r="B607" s="9">
        <f t="shared" si="19"/>
        <v>602</v>
      </c>
      <c r="C607" s="9" t="e">
        <f>IF(D606=VLOOKUP(C606,Lookup!$P$5:$R$6,3,0),VLOOKUP(C606,Lookup!$P$5:$Q$6,2,0),C606)</f>
        <v>#N/A</v>
      </c>
      <c r="D607" s="22" t="e">
        <f>IF(D606=VLOOKUP(C606,Lookup!$P$5:$R$6,3,0),1,D606+1)</f>
        <v>#N/A</v>
      </c>
      <c r="E607" s="9" t="e">
        <f>IF(C607=Lookup!$P$5,INDEX('view-code'!$P$3:$P$502,'group-code'!D607),"")</f>
        <v>#N/A</v>
      </c>
      <c r="F607" s="9" t="e">
        <f>IF(C607=Lookup!$P$6,INDEX('card-code'!$P$3:$P$502,'group-code'!D607),"")</f>
        <v>#N/A</v>
      </c>
      <c r="G607" s="9" t="str">
        <f t="shared" si="18"/>
        <v/>
      </c>
      <c r="H607" s="9" t="str">
        <f>_xlfn.IFNA(IF(C607=Lookup!$Q$6,"END",""),"")</f>
        <v/>
      </c>
    </row>
    <row r="608" spans="2:8" x14ac:dyDescent="0.45">
      <c r="B608" s="9">
        <f t="shared" si="19"/>
        <v>603</v>
      </c>
      <c r="C608" s="9" t="e">
        <f>IF(D607=VLOOKUP(C607,Lookup!$P$5:$R$6,3,0),VLOOKUP(C607,Lookup!$P$5:$Q$6,2,0),C607)</f>
        <v>#N/A</v>
      </c>
      <c r="D608" s="22" t="e">
        <f>IF(D607=VLOOKUP(C607,Lookup!$P$5:$R$6,3,0),1,D607+1)</f>
        <v>#N/A</v>
      </c>
      <c r="E608" s="9" t="e">
        <f>IF(C608=Lookup!$P$5,INDEX('view-code'!$P$3:$P$502,'group-code'!D608),"")</f>
        <v>#N/A</v>
      </c>
      <c r="F608" s="9" t="e">
        <f>IF(C608=Lookup!$P$6,INDEX('card-code'!$P$3:$P$502,'group-code'!D608),"")</f>
        <v>#N/A</v>
      </c>
      <c r="G608" s="9" t="str">
        <f t="shared" si="18"/>
        <v/>
      </c>
      <c r="H608" s="9" t="str">
        <f>_xlfn.IFNA(IF(C608=Lookup!$Q$6,"END",""),"")</f>
        <v/>
      </c>
    </row>
    <row r="609" spans="2:8" x14ac:dyDescent="0.45">
      <c r="B609" s="9">
        <f t="shared" si="19"/>
        <v>604</v>
      </c>
      <c r="C609" s="9" t="e">
        <f>IF(D608=VLOOKUP(C608,Lookup!$P$5:$R$6,3,0),VLOOKUP(C608,Lookup!$P$5:$Q$6,2,0),C608)</f>
        <v>#N/A</v>
      </c>
      <c r="D609" s="22" t="e">
        <f>IF(D608=VLOOKUP(C608,Lookup!$P$5:$R$6,3,0),1,D608+1)</f>
        <v>#N/A</v>
      </c>
      <c r="E609" s="9" t="e">
        <f>IF(C609=Lookup!$P$5,INDEX('view-code'!$P$3:$P$502,'group-code'!D609),"")</f>
        <v>#N/A</v>
      </c>
      <c r="F609" s="9" t="e">
        <f>IF(C609=Lookup!$P$6,INDEX('card-code'!$P$3:$P$502,'group-code'!D609),"")</f>
        <v>#N/A</v>
      </c>
      <c r="G609" s="9" t="str">
        <f t="shared" si="18"/>
        <v/>
      </c>
      <c r="H609" s="9" t="str">
        <f>_xlfn.IFNA(IF(C609=Lookup!$Q$6,"END",""),"")</f>
        <v/>
      </c>
    </row>
    <row r="610" spans="2:8" x14ac:dyDescent="0.45">
      <c r="B610" s="9">
        <f t="shared" si="19"/>
        <v>605</v>
      </c>
      <c r="C610" s="9" t="e">
        <f>IF(D609=VLOOKUP(C609,Lookup!$P$5:$R$6,3,0),VLOOKUP(C609,Lookup!$P$5:$Q$6,2,0),C609)</f>
        <v>#N/A</v>
      </c>
      <c r="D610" s="22" t="e">
        <f>IF(D609=VLOOKUP(C609,Lookup!$P$5:$R$6,3,0),1,D609+1)</f>
        <v>#N/A</v>
      </c>
      <c r="E610" s="9" t="e">
        <f>IF(C610=Lookup!$P$5,INDEX('view-code'!$P$3:$P$502,'group-code'!D610),"")</f>
        <v>#N/A</v>
      </c>
      <c r="F610" s="9" t="e">
        <f>IF(C610=Lookup!$P$6,INDEX('card-code'!$P$3:$P$502,'group-code'!D610),"")</f>
        <v>#N/A</v>
      </c>
      <c r="G610" s="9" t="str">
        <f t="shared" si="18"/>
        <v/>
      </c>
      <c r="H610" s="9" t="str">
        <f>_xlfn.IFNA(IF(C610=Lookup!$Q$6,"END",""),"")</f>
        <v/>
      </c>
    </row>
    <row r="611" spans="2:8" x14ac:dyDescent="0.45">
      <c r="B611" s="9">
        <f t="shared" si="19"/>
        <v>606</v>
      </c>
      <c r="C611" s="9" t="e">
        <f>IF(D610=VLOOKUP(C610,Lookup!$P$5:$R$6,3,0),VLOOKUP(C610,Lookup!$P$5:$Q$6,2,0),C610)</f>
        <v>#N/A</v>
      </c>
      <c r="D611" s="22" t="e">
        <f>IF(D610=VLOOKUP(C610,Lookup!$P$5:$R$6,3,0),1,D610+1)</f>
        <v>#N/A</v>
      </c>
      <c r="E611" s="9" t="e">
        <f>IF(C611=Lookup!$P$5,INDEX('view-code'!$P$3:$P$502,'group-code'!D611),"")</f>
        <v>#N/A</v>
      </c>
      <c r="F611" s="9" t="e">
        <f>IF(C611=Lookup!$P$6,INDEX('card-code'!$P$3:$P$502,'group-code'!D611),"")</f>
        <v>#N/A</v>
      </c>
      <c r="G611" s="9" t="str">
        <f t="shared" si="18"/>
        <v/>
      </c>
      <c r="H611" s="9" t="str">
        <f>_xlfn.IFNA(IF(C611=Lookup!$Q$6,"END",""),"")</f>
        <v/>
      </c>
    </row>
    <row r="612" spans="2:8" x14ac:dyDescent="0.45">
      <c r="B612" s="9">
        <f t="shared" si="19"/>
        <v>607</v>
      </c>
      <c r="C612" s="9" t="e">
        <f>IF(D611=VLOOKUP(C611,Lookup!$P$5:$R$6,3,0),VLOOKUP(C611,Lookup!$P$5:$Q$6,2,0),C611)</f>
        <v>#N/A</v>
      </c>
      <c r="D612" s="22" t="e">
        <f>IF(D611=VLOOKUP(C611,Lookup!$P$5:$R$6,3,0),1,D611+1)</f>
        <v>#N/A</v>
      </c>
      <c r="E612" s="9" t="e">
        <f>IF(C612=Lookup!$P$5,INDEX('view-code'!$P$3:$P$502,'group-code'!D612),"")</f>
        <v>#N/A</v>
      </c>
      <c r="F612" s="9" t="e">
        <f>IF(C612=Lookup!$P$6,INDEX('card-code'!$P$3:$P$502,'group-code'!D612),"")</f>
        <v>#N/A</v>
      </c>
      <c r="G612" s="9" t="str">
        <f t="shared" si="18"/>
        <v/>
      </c>
      <c r="H612" s="9" t="str">
        <f>_xlfn.IFNA(IF(C612=Lookup!$Q$6,"END",""),"")</f>
        <v/>
      </c>
    </row>
    <row r="613" spans="2:8" x14ac:dyDescent="0.45">
      <c r="B613" s="9">
        <f t="shared" si="19"/>
        <v>608</v>
      </c>
      <c r="C613" s="9" t="e">
        <f>IF(D612=VLOOKUP(C612,Lookup!$P$5:$R$6,3,0),VLOOKUP(C612,Lookup!$P$5:$Q$6,2,0),C612)</f>
        <v>#N/A</v>
      </c>
      <c r="D613" s="22" t="e">
        <f>IF(D612=VLOOKUP(C612,Lookup!$P$5:$R$6,3,0),1,D612+1)</f>
        <v>#N/A</v>
      </c>
      <c r="E613" s="9" t="e">
        <f>IF(C613=Lookup!$P$5,INDEX('view-code'!$P$3:$P$502,'group-code'!D613),"")</f>
        <v>#N/A</v>
      </c>
      <c r="F613" s="9" t="e">
        <f>IF(C613=Lookup!$P$6,INDEX('card-code'!$P$3:$P$502,'group-code'!D613),"")</f>
        <v>#N/A</v>
      </c>
      <c r="G613" s="9" t="str">
        <f t="shared" si="18"/>
        <v/>
      </c>
      <c r="H613" s="9" t="str">
        <f>_xlfn.IFNA(IF(C613=Lookup!$Q$6,"END",""),"")</f>
        <v/>
      </c>
    </row>
    <row r="614" spans="2:8" x14ac:dyDescent="0.45">
      <c r="B614" s="9">
        <f t="shared" si="19"/>
        <v>609</v>
      </c>
      <c r="C614" s="9" t="e">
        <f>IF(D613=VLOOKUP(C613,Lookup!$P$5:$R$6,3,0),VLOOKUP(C613,Lookup!$P$5:$Q$6,2,0),C613)</f>
        <v>#N/A</v>
      </c>
      <c r="D614" s="22" t="e">
        <f>IF(D613=VLOOKUP(C613,Lookup!$P$5:$R$6,3,0),1,D613+1)</f>
        <v>#N/A</v>
      </c>
      <c r="E614" s="9" t="e">
        <f>IF(C614=Lookup!$P$5,INDEX('view-code'!$P$3:$P$502,'group-code'!D614),"")</f>
        <v>#N/A</v>
      </c>
      <c r="F614" s="9" t="e">
        <f>IF(C614=Lookup!$P$6,INDEX('card-code'!$P$3:$P$502,'group-code'!D614),"")</f>
        <v>#N/A</v>
      </c>
      <c r="G614" s="9" t="str">
        <f t="shared" si="18"/>
        <v/>
      </c>
      <c r="H614" s="9" t="str">
        <f>_xlfn.IFNA(IF(C614=Lookup!$Q$6,"END",""),"")</f>
        <v/>
      </c>
    </row>
    <row r="615" spans="2:8" x14ac:dyDescent="0.45">
      <c r="B615" s="9">
        <f t="shared" si="19"/>
        <v>610</v>
      </c>
      <c r="C615" s="9" t="e">
        <f>IF(D614=VLOOKUP(C614,Lookup!$P$5:$R$6,3,0),VLOOKUP(C614,Lookup!$P$5:$Q$6,2,0),C614)</f>
        <v>#N/A</v>
      </c>
      <c r="D615" s="22" t="e">
        <f>IF(D614=VLOOKUP(C614,Lookup!$P$5:$R$6,3,0),1,D614+1)</f>
        <v>#N/A</v>
      </c>
      <c r="E615" s="9" t="e">
        <f>IF(C615=Lookup!$P$5,INDEX('view-code'!$P$3:$P$502,'group-code'!D615),"")</f>
        <v>#N/A</v>
      </c>
      <c r="F615" s="9" t="e">
        <f>IF(C615=Lookup!$P$6,INDEX('card-code'!$P$3:$P$502,'group-code'!D615),"")</f>
        <v>#N/A</v>
      </c>
      <c r="G615" s="9" t="str">
        <f t="shared" si="18"/>
        <v/>
      </c>
      <c r="H615" s="9" t="str">
        <f>_xlfn.IFNA(IF(C615=Lookup!$Q$6,"END",""),"")</f>
        <v/>
      </c>
    </row>
    <row r="616" spans="2:8" x14ac:dyDescent="0.45">
      <c r="B616" s="9">
        <f t="shared" si="19"/>
        <v>611</v>
      </c>
      <c r="C616" s="9" t="e">
        <f>IF(D615=VLOOKUP(C615,Lookup!$P$5:$R$6,3,0),VLOOKUP(C615,Lookup!$P$5:$Q$6,2,0),C615)</f>
        <v>#N/A</v>
      </c>
      <c r="D616" s="22" t="e">
        <f>IF(D615=VLOOKUP(C615,Lookup!$P$5:$R$6,3,0),1,D615+1)</f>
        <v>#N/A</v>
      </c>
      <c r="E616" s="9" t="e">
        <f>IF(C616=Lookup!$P$5,INDEX('view-code'!$P$3:$P$502,'group-code'!D616),"")</f>
        <v>#N/A</v>
      </c>
      <c r="F616" s="9" t="e">
        <f>IF(C616=Lookup!$P$6,INDEX('card-code'!$P$3:$P$502,'group-code'!D616),"")</f>
        <v>#N/A</v>
      </c>
      <c r="G616" s="9" t="str">
        <f t="shared" si="18"/>
        <v/>
      </c>
      <c r="H616" s="9" t="str">
        <f>_xlfn.IFNA(IF(C616=Lookup!$Q$6,"END",""),"")</f>
        <v/>
      </c>
    </row>
    <row r="617" spans="2:8" x14ac:dyDescent="0.45">
      <c r="B617" s="9">
        <f t="shared" si="19"/>
        <v>612</v>
      </c>
      <c r="C617" s="9" t="e">
        <f>IF(D616=VLOOKUP(C616,Lookup!$P$5:$R$6,3,0),VLOOKUP(C616,Lookup!$P$5:$Q$6,2,0),C616)</f>
        <v>#N/A</v>
      </c>
      <c r="D617" s="22" t="e">
        <f>IF(D616=VLOOKUP(C616,Lookup!$P$5:$R$6,3,0),1,D616+1)</f>
        <v>#N/A</v>
      </c>
      <c r="E617" s="9" t="e">
        <f>IF(C617=Lookup!$P$5,INDEX('view-code'!$P$3:$P$502,'group-code'!D617),"")</f>
        <v>#N/A</v>
      </c>
      <c r="F617" s="9" t="e">
        <f>IF(C617=Lookup!$P$6,INDEX('card-code'!$P$3:$P$502,'group-code'!D617),"")</f>
        <v>#N/A</v>
      </c>
      <c r="G617" s="9" t="str">
        <f t="shared" si="18"/>
        <v/>
      </c>
      <c r="H617" s="9" t="str">
        <f>_xlfn.IFNA(IF(C617=Lookup!$Q$6,"END",""),"")</f>
        <v/>
      </c>
    </row>
    <row r="618" spans="2:8" x14ac:dyDescent="0.45">
      <c r="B618" s="9">
        <f t="shared" si="19"/>
        <v>613</v>
      </c>
      <c r="C618" s="9" t="e">
        <f>IF(D617=VLOOKUP(C617,Lookup!$P$5:$R$6,3,0),VLOOKUP(C617,Lookup!$P$5:$Q$6,2,0),C617)</f>
        <v>#N/A</v>
      </c>
      <c r="D618" s="22" t="e">
        <f>IF(D617=VLOOKUP(C617,Lookup!$P$5:$R$6,3,0),1,D617+1)</f>
        <v>#N/A</v>
      </c>
      <c r="E618" s="9" t="e">
        <f>IF(C618=Lookup!$P$5,INDEX('view-code'!$P$3:$P$502,'group-code'!D618),"")</f>
        <v>#N/A</v>
      </c>
      <c r="F618" s="9" t="e">
        <f>IF(C618=Lookup!$P$6,INDEX('card-code'!$P$3:$P$502,'group-code'!D618),"")</f>
        <v>#N/A</v>
      </c>
      <c r="G618" s="9" t="str">
        <f t="shared" si="18"/>
        <v/>
      </c>
      <c r="H618" s="9" t="str">
        <f>_xlfn.IFNA(IF(C618=Lookup!$Q$6,"END",""),"")</f>
        <v/>
      </c>
    </row>
    <row r="619" spans="2:8" x14ac:dyDescent="0.45">
      <c r="B619" s="9">
        <f t="shared" si="19"/>
        <v>614</v>
      </c>
      <c r="C619" s="9" t="e">
        <f>IF(D618=VLOOKUP(C618,Lookup!$P$5:$R$6,3,0),VLOOKUP(C618,Lookup!$P$5:$Q$6,2,0),C618)</f>
        <v>#N/A</v>
      </c>
      <c r="D619" s="22" t="e">
        <f>IF(D618=VLOOKUP(C618,Lookup!$P$5:$R$6,3,0),1,D618+1)</f>
        <v>#N/A</v>
      </c>
      <c r="E619" s="9" t="e">
        <f>IF(C619=Lookup!$P$5,INDEX('view-code'!$P$3:$P$502,'group-code'!D619),"")</f>
        <v>#N/A</v>
      </c>
      <c r="F619" s="9" t="e">
        <f>IF(C619=Lookup!$P$6,INDEX('card-code'!$P$3:$P$502,'group-code'!D619),"")</f>
        <v>#N/A</v>
      </c>
      <c r="G619" s="9" t="str">
        <f t="shared" si="18"/>
        <v/>
      </c>
      <c r="H619" s="9" t="str">
        <f>_xlfn.IFNA(IF(C619=Lookup!$Q$6,"END",""),"")</f>
        <v/>
      </c>
    </row>
    <row r="620" spans="2:8" x14ac:dyDescent="0.45">
      <c r="B620" s="9">
        <f t="shared" si="19"/>
        <v>615</v>
      </c>
      <c r="C620" s="9" t="e">
        <f>IF(D619=VLOOKUP(C619,Lookup!$P$5:$R$6,3,0),VLOOKUP(C619,Lookup!$P$5:$Q$6,2,0),C619)</f>
        <v>#N/A</v>
      </c>
      <c r="D620" s="22" t="e">
        <f>IF(D619=VLOOKUP(C619,Lookup!$P$5:$R$6,3,0),1,D619+1)</f>
        <v>#N/A</v>
      </c>
      <c r="E620" s="9" t="e">
        <f>IF(C620=Lookup!$P$5,INDEX('view-code'!$P$3:$P$502,'group-code'!D620),"")</f>
        <v>#N/A</v>
      </c>
      <c r="F620" s="9" t="e">
        <f>IF(C620=Lookup!$P$6,INDEX('card-code'!$P$3:$P$502,'group-code'!D620),"")</f>
        <v>#N/A</v>
      </c>
      <c r="G620" s="9" t="str">
        <f t="shared" si="18"/>
        <v/>
      </c>
      <c r="H620" s="9" t="str">
        <f>_xlfn.IFNA(IF(C620=Lookup!$Q$6,"END",""),"")</f>
        <v/>
      </c>
    </row>
    <row r="621" spans="2:8" x14ac:dyDescent="0.45">
      <c r="B621" s="9">
        <f t="shared" si="19"/>
        <v>616</v>
      </c>
      <c r="C621" s="9" t="e">
        <f>IF(D620=VLOOKUP(C620,Lookup!$P$5:$R$6,3,0),VLOOKUP(C620,Lookup!$P$5:$Q$6,2,0),C620)</f>
        <v>#N/A</v>
      </c>
      <c r="D621" s="22" t="e">
        <f>IF(D620=VLOOKUP(C620,Lookup!$P$5:$R$6,3,0),1,D620+1)</f>
        <v>#N/A</v>
      </c>
      <c r="E621" s="9" t="e">
        <f>IF(C621=Lookup!$P$5,INDEX('view-code'!$P$3:$P$502,'group-code'!D621),"")</f>
        <v>#N/A</v>
      </c>
      <c r="F621" s="9" t="e">
        <f>IF(C621=Lookup!$P$6,INDEX('card-code'!$P$3:$P$502,'group-code'!D621),"")</f>
        <v>#N/A</v>
      </c>
      <c r="G621" s="9" t="str">
        <f t="shared" si="18"/>
        <v/>
      </c>
      <c r="H621" s="9" t="str">
        <f>_xlfn.IFNA(IF(C621=Lookup!$Q$6,"END",""),"")</f>
        <v/>
      </c>
    </row>
    <row r="622" spans="2:8" x14ac:dyDescent="0.45">
      <c r="B622" s="9">
        <f t="shared" si="19"/>
        <v>617</v>
      </c>
      <c r="C622" s="9" t="e">
        <f>IF(D621=VLOOKUP(C621,Lookup!$P$5:$R$6,3,0),VLOOKUP(C621,Lookup!$P$5:$Q$6,2,0),C621)</f>
        <v>#N/A</v>
      </c>
      <c r="D622" s="22" t="e">
        <f>IF(D621=VLOOKUP(C621,Lookup!$P$5:$R$6,3,0),1,D621+1)</f>
        <v>#N/A</v>
      </c>
      <c r="E622" s="9" t="e">
        <f>IF(C622=Lookup!$P$5,INDEX('view-code'!$P$3:$P$502,'group-code'!D622),"")</f>
        <v>#N/A</v>
      </c>
      <c r="F622" s="9" t="e">
        <f>IF(C622=Lookup!$P$6,INDEX('card-code'!$P$3:$P$502,'group-code'!D622),"")</f>
        <v>#N/A</v>
      </c>
      <c r="G622" s="9" t="str">
        <f t="shared" si="18"/>
        <v/>
      </c>
      <c r="H622" s="9" t="str">
        <f>_xlfn.IFNA(IF(C622=Lookup!$Q$6,"END",""),"")</f>
        <v/>
      </c>
    </row>
    <row r="623" spans="2:8" x14ac:dyDescent="0.45">
      <c r="B623" s="9">
        <f t="shared" si="19"/>
        <v>618</v>
      </c>
      <c r="C623" s="9" t="e">
        <f>IF(D622=VLOOKUP(C622,Lookup!$P$5:$R$6,3,0),VLOOKUP(C622,Lookup!$P$5:$Q$6,2,0),C622)</f>
        <v>#N/A</v>
      </c>
      <c r="D623" s="22" t="e">
        <f>IF(D622=VLOOKUP(C622,Lookup!$P$5:$R$6,3,0),1,D622+1)</f>
        <v>#N/A</v>
      </c>
      <c r="E623" s="9" t="e">
        <f>IF(C623=Lookup!$P$5,INDEX('view-code'!$P$3:$P$502,'group-code'!D623),"")</f>
        <v>#N/A</v>
      </c>
      <c r="F623" s="9" t="e">
        <f>IF(C623=Lookup!$P$6,INDEX('card-code'!$P$3:$P$502,'group-code'!D623),"")</f>
        <v>#N/A</v>
      </c>
      <c r="G623" s="9" t="str">
        <f t="shared" si="18"/>
        <v/>
      </c>
      <c r="H623" s="9" t="str">
        <f>_xlfn.IFNA(IF(C623=Lookup!$Q$6,"END",""),"")</f>
        <v/>
      </c>
    </row>
    <row r="624" spans="2:8" x14ac:dyDescent="0.45">
      <c r="B624" s="9">
        <f t="shared" si="19"/>
        <v>619</v>
      </c>
      <c r="C624" s="9" t="e">
        <f>IF(D623=VLOOKUP(C623,Lookup!$P$5:$R$6,3,0),VLOOKUP(C623,Lookup!$P$5:$Q$6,2,0),C623)</f>
        <v>#N/A</v>
      </c>
      <c r="D624" s="22" t="e">
        <f>IF(D623=VLOOKUP(C623,Lookup!$P$5:$R$6,3,0),1,D623+1)</f>
        <v>#N/A</v>
      </c>
      <c r="E624" s="9" t="e">
        <f>IF(C624=Lookup!$P$5,INDEX('view-code'!$P$3:$P$502,'group-code'!D624),"")</f>
        <v>#N/A</v>
      </c>
      <c r="F624" s="9" t="e">
        <f>IF(C624=Lookup!$P$6,INDEX('card-code'!$P$3:$P$502,'group-code'!D624),"")</f>
        <v>#N/A</v>
      </c>
      <c r="G624" s="9" t="str">
        <f t="shared" si="18"/>
        <v/>
      </c>
      <c r="H624" s="9" t="str">
        <f>_xlfn.IFNA(IF(C624=Lookup!$Q$6,"END",""),"")</f>
        <v/>
      </c>
    </row>
    <row r="625" spans="2:8" x14ac:dyDescent="0.45">
      <c r="B625" s="9">
        <f t="shared" si="19"/>
        <v>620</v>
      </c>
      <c r="C625" s="9" t="e">
        <f>IF(D624=VLOOKUP(C624,Lookup!$P$5:$R$6,3,0),VLOOKUP(C624,Lookup!$P$5:$Q$6,2,0),C624)</f>
        <v>#N/A</v>
      </c>
      <c r="D625" s="22" t="e">
        <f>IF(D624=VLOOKUP(C624,Lookup!$P$5:$R$6,3,0),1,D624+1)</f>
        <v>#N/A</v>
      </c>
      <c r="E625" s="9" t="e">
        <f>IF(C625=Lookup!$P$5,INDEX('view-code'!$P$3:$P$502,'group-code'!D625),"")</f>
        <v>#N/A</v>
      </c>
      <c r="F625" s="9" t="e">
        <f>IF(C625=Lookup!$P$6,INDEX('card-code'!$P$3:$P$502,'group-code'!D625),"")</f>
        <v>#N/A</v>
      </c>
      <c r="G625" s="9" t="str">
        <f t="shared" si="18"/>
        <v/>
      </c>
      <c r="H625" s="9" t="str">
        <f>_xlfn.IFNA(IF(C625=Lookup!$Q$6,"END",""),"")</f>
        <v/>
      </c>
    </row>
    <row r="626" spans="2:8" x14ac:dyDescent="0.45">
      <c r="B626" s="9">
        <f t="shared" si="19"/>
        <v>621</v>
      </c>
      <c r="C626" s="9" t="e">
        <f>IF(D625=VLOOKUP(C625,Lookup!$P$5:$R$6,3,0),VLOOKUP(C625,Lookup!$P$5:$Q$6,2,0),C625)</f>
        <v>#N/A</v>
      </c>
      <c r="D626" s="22" t="e">
        <f>IF(D625=VLOOKUP(C625,Lookup!$P$5:$R$6,3,0),1,D625+1)</f>
        <v>#N/A</v>
      </c>
      <c r="E626" s="9" t="e">
        <f>IF(C626=Lookup!$P$5,INDEX('view-code'!$P$3:$P$502,'group-code'!D626),"")</f>
        <v>#N/A</v>
      </c>
      <c r="F626" s="9" t="e">
        <f>IF(C626=Lookup!$P$6,INDEX('card-code'!$P$3:$P$502,'group-code'!D626),"")</f>
        <v>#N/A</v>
      </c>
      <c r="G626" s="9" t="str">
        <f t="shared" si="18"/>
        <v/>
      </c>
      <c r="H626" s="9" t="str">
        <f>_xlfn.IFNA(IF(C626=Lookup!$Q$6,"END",""),"")</f>
        <v/>
      </c>
    </row>
    <row r="627" spans="2:8" x14ac:dyDescent="0.45">
      <c r="B627" s="9">
        <f t="shared" si="19"/>
        <v>622</v>
      </c>
      <c r="C627" s="9" t="e">
        <f>IF(D626=VLOOKUP(C626,Lookup!$P$5:$R$6,3,0),VLOOKUP(C626,Lookup!$P$5:$Q$6,2,0),C626)</f>
        <v>#N/A</v>
      </c>
      <c r="D627" s="22" t="e">
        <f>IF(D626=VLOOKUP(C626,Lookup!$P$5:$R$6,3,0),1,D626+1)</f>
        <v>#N/A</v>
      </c>
      <c r="E627" s="9" t="e">
        <f>IF(C627=Lookup!$P$5,INDEX('view-code'!$P$3:$P$502,'group-code'!D627),"")</f>
        <v>#N/A</v>
      </c>
      <c r="F627" s="9" t="e">
        <f>IF(C627=Lookup!$P$6,INDEX('card-code'!$P$3:$P$502,'group-code'!D627),"")</f>
        <v>#N/A</v>
      </c>
      <c r="G627" s="9" t="str">
        <f t="shared" si="18"/>
        <v/>
      </c>
      <c r="H627" s="9" t="str">
        <f>_xlfn.IFNA(IF(C627=Lookup!$Q$6,"END",""),"")</f>
        <v/>
      </c>
    </row>
    <row r="628" spans="2:8" x14ac:dyDescent="0.45">
      <c r="B628" s="9">
        <f t="shared" si="19"/>
        <v>623</v>
      </c>
      <c r="C628" s="9" t="e">
        <f>IF(D627=VLOOKUP(C627,Lookup!$P$5:$R$6,3,0),VLOOKUP(C627,Lookup!$P$5:$Q$6,2,0),C627)</f>
        <v>#N/A</v>
      </c>
      <c r="D628" s="22" t="e">
        <f>IF(D627=VLOOKUP(C627,Lookup!$P$5:$R$6,3,0),1,D627+1)</f>
        <v>#N/A</v>
      </c>
      <c r="E628" s="9" t="e">
        <f>IF(C628=Lookup!$P$5,INDEX('view-code'!$P$3:$P$502,'group-code'!D628),"")</f>
        <v>#N/A</v>
      </c>
      <c r="F628" s="9" t="e">
        <f>IF(C628=Lookup!$P$6,INDEX('card-code'!$P$3:$P$502,'group-code'!D628),"")</f>
        <v>#N/A</v>
      </c>
      <c r="G628" s="9" t="str">
        <f t="shared" si="18"/>
        <v/>
      </c>
      <c r="H628" s="9" t="str">
        <f>_xlfn.IFNA(IF(C628=Lookup!$Q$6,"END",""),"")</f>
        <v/>
      </c>
    </row>
    <row r="629" spans="2:8" x14ac:dyDescent="0.45">
      <c r="B629" s="9">
        <f t="shared" si="19"/>
        <v>624</v>
      </c>
      <c r="C629" s="9" t="e">
        <f>IF(D628=VLOOKUP(C628,Lookup!$P$5:$R$6,3,0),VLOOKUP(C628,Lookup!$P$5:$Q$6,2,0),C628)</f>
        <v>#N/A</v>
      </c>
      <c r="D629" s="22" t="e">
        <f>IF(D628=VLOOKUP(C628,Lookup!$P$5:$R$6,3,0),1,D628+1)</f>
        <v>#N/A</v>
      </c>
      <c r="E629" s="9" t="e">
        <f>IF(C629=Lookup!$P$5,INDEX('view-code'!$P$3:$P$502,'group-code'!D629),"")</f>
        <v>#N/A</v>
      </c>
      <c r="F629" s="9" t="e">
        <f>IF(C629=Lookup!$P$6,INDEX('card-code'!$P$3:$P$502,'group-code'!D629),"")</f>
        <v>#N/A</v>
      </c>
      <c r="G629" s="9" t="str">
        <f t="shared" si="18"/>
        <v/>
      </c>
      <c r="H629" s="9" t="str">
        <f>_xlfn.IFNA(IF(C629=Lookup!$Q$6,"END",""),"")</f>
        <v/>
      </c>
    </row>
    <row r="630" spans="2:8" x14ac:dyDescent="0.45">
      <c r="B630" s="9">
        <f t="shared" si="19"/>
        <v>625</v>
      </c>
      <c r="C630" s="9" t="e">
        <f>IF(D629=VLOOKUP(C629,Lookup!$P$5:$R$6,3,0),VLOOKUP(C629,Lookup!$P$5:$Q$6,2,0),C629)</f>
        <v>#N/A</v>
      </c>
      <c r="D630" s="22" t="e">
        <f>IF(D629=VLOOKUP(C629,Lookup!$P$5:$R$6,3,0),1,D629+1)</f>
        <v>#N/A</v>
      </c>
      <c r="E630" s="9" t="e">
        <f>IF(C630=Lookup!$P$5,INDEX('view-code'!$P$3:$P$502,'group-code'!D630),"")</f>
        <v>#N/A</v>
      </c>
      <c r="F630" s="9" t="e">
        <f>IF(C630=Lookup!$P$6,INDEX('card-code'!$P$3:$P$502,'group-code'!D630),"")</f>
        <v>#N/A</v>
      </c>
      <c r="G630" s="9" t="str">
        <f t="shared" si="18"/>
        <v/>
      </c>
      <c r="H630" s="9" t="str">
        <f>_xlfn.IFNA(IF(C630=Lookup!$Q$6,"END",""),"")</f>
        <v/>
      </c>
    </row>
    <row r="631" spans="2:8" x14ac:dyDescent="0.45">
      <c r="B631" s="9">
        <f t="shared" si="19"/>
        <v>626</v>
      </c>
      <c r="C631" s="9" t="e">
        <f>IF(D630=VLOOKUP(C630,Lookup!$P$5:$R$6,3,0),VLOOKUP(C630,Lookup!$P$5:$Q$6,2,0),C630)</f>
        <v>#N/A</v>
      </c>
      <c r="D631" s="22" t="e">
        <f>IF(D630=VLOOKUP(C630,Lookup!$P$5:$R$6,3,0),1,D630+1)</f>
        <v>#N/A</v>
      </c>
      <c r="E631" s="9" t="e">
        <f>IF(C631=Lookup!$P$5,INDEX('view-code'!$P$3:$P$502,'group-code'!D631),"")</f>
        <v>#N/A</v>
      </c>
      <c r="F631" s="9" t="e">
        <f>IF(C631=Lookup!$P$6,INDEX('card-code'!$P$3:$P$502,'group-code'!D631),"")</f>
        <v>#N/A</v>
      </c>
      <c r="G631" s="9" t="str">
        <f t="shared" si="18"/>
        <v/>
      </c>
      <c r="H631" s="9" t="str">
        <f>_xlfn.IFNA(IF(C631=Lookup!$Q$6,"END",""),"")</f>
        <v/>
      </c>
    </row>
    <row r="632" spans="2:8" x14ac:dyDescent="0.45">
      <c r="B632" s="9">
        <f t="shared" si="19"/>
        <v>627</v>
      </c>
      <c r="C632" s="9" t="e">
        <f>IF(D631=VLOOKUP(C631,Lookup!$P$5:$R$6,3,0),VLOOKUP(C631,Lookup!$P$5:$Q$6,2,0),C631)</f>
        <v>#N/A</v>
      </c>
      <c r="D632" s="22" t="e">
        <f>IF(D631=VLOOKUP(C631,Lookup!$P$5:$R$6,3,0),1,D631+1)</f>
        <v>#N/A</v>
      </c>
      <c r="E632" s="9" t="e">
        <f>IF(C632=Lookup!$P$5,INDEX('view-code'!$P$3:$P$502,'group-code'!D632),"")</f>
        <v>#N/A</v>
      </c>
      <c r="F632" s="9" t="e">
        <f>IF(C632=Lookup!$P$6,INDEX('card-code'!$P$3:$P$502,'group-code'!D632),"")</f>
        <v>#N/A</v>
      </c>
      <c r="G632" s="9" t="str">
        <f t="shared" si="18"/>
        <v/>
      </c>
      <c r="H632" s="9" t="str">
        <f>_xlfn.IFNA(IF(C632=Lookup!$Q$6,"END",""),"")</f>
        <v/>
      </c>
    </row>
    <row r="633" spans="2:8" x14ac:dyDescent="0.45">
      <c r="B633" s="9">
        <f t="shared" si="19"/>
        <v>628</v>
      </c>
      <c r="C633" s="9" t="e">
        <f>IF(D632=VLOOKUP(C632,Lookup!$P$5:$R$6,3,0),VLOOKUP(C632,Lookup!$P$5:$Q$6,2,0),C632)</f>
        <v>#N/A</v>
      </c>
      <c r="D633" s="22" t="e">
        <f>IF(D632=VLOOKUP(C632,Lookup!$P$5:$R$6,3,0),1,D632+1)</f>
        <v>#N/A</v>
      </c>
      <c r="E633" s="9" t="e">
        <f>IF(C633=Lookup!$P$5,INDEX('view-code'!$P$3:$P$502,'group-code'!D633),"")</f>
        <v>#N/A</v>
      </c>
      <c r="F633" s="9" t="e">
        <f>IF(C633=Lookup!$P$6,INDEX('card-code'!$P$3:$P$502,'group-code'!D633),"")</f>
        <v>#N/A</v>
      </c>
      <c r="G633" s="9" t="str">
        <f t="shared" si="18"/>
        <v/>
      </c>
      <c r="H633" s="9" t="str">
        <f>_xlfn.IFNA(IF(C633=Lookup!$Q$6,"END",""),"")</f>
        <v/>
      </c>
    </row>
    <row r="634" spans="2:8" x14ac:dyDescent="0.45">
      <c r="B634" s="9">
        <f t="shared" si="19"/>
        <v>629</v>
      </c>
      <c r="C634" s="9" t="e">
        <f>IF(D633=VLOOKUP(C633,Lookup!$P$5:$R$6,3,0),VLOOKUP(C633,Lookup!$P$5:$Q$6,2,0),C633)</f>
        <v>#N/A</v>
      </c>
      <c r="D634" s="22" t="e">
        <f>IF(D633=VLOOKUP(C633,Lookup!$P$5:$R$6,3,0),1,D633+1)</f>
        <v>#N/A</v>
      </c>
      <c r="E634" s="9" t="e">
        <f>IF(C634=Lookup!$P$5,INDEX('view-code'!$P$3:$P$502,'group-code'!D634),"")</f>
        <v>#N/A</v>
      </c>
      <c r="F634" s="9" t="e">
        <f>IF(C634=Lookup!$P$6,INDEX('card-code'!$P$3:$P$502,'group-code'!D634),"")</f>
        <v>#N/A</v>
      </c>
      <c r="G634" s="9" t="str">
        <f t="shared" ref="G634:G697" si="20">_xlfn.IFNA(  E634&amp;F634,  "")</f>
        <v/>
      </c>
      <c r="H634" s="9" t="str">
        <f>_xlfn.IFNA(IF(C634=Lookup!$Q$6,"END",""),"")</f>
        <v/>
      </c>
    </row>
    <row r="635" spans="2:8" x14ac:dyDescent="0.45">
      <c r="B635" s="9">
        <f t="shared" si="19"/>
        <v>630</v>
      </c>
      <c r="C635" s="9" t="e">
        <f>IF(D634=VLOOKUP(C634,Lookup!$P$5:$R$6,3,0),VLOOKUP(C634,Lookup!$P$5:$Q$6,2,0),C634)</f>
        <v>#N/A</v>
      </c>
      <c r="D635" s="22" t="e">
        <f>IF(D634=VLOOKUP(C634,Lookup!$P$5:$R$6,3,0),1,D634+1)</f>
        <v>#N/A</v>
      </c>
      <c r="E635" s="9" t="e">
        <f>IF(C635=Lookup!$P$5,INDEX('view-code'!$P$3:$P$502,'group-code'!D635),"")</f>
        <v>#N/A</v>
      </c>
      <c r="F635" s="9" t="e">
        <f>IF(C635=Lookup!$P$6,INDEX('card-code'!$P$3:$P$502,'group-code'!D635),"")</f>
        <v>#N/A</v>
      </c>
      <c r="G635" s="9" t="str">
        <f t="shared" si="20"/>
        <v/>
      </c>
      <c r="H635" s="9" t="str">
        <f>_xlfn.IFNA(IF(C635=Lookup!$Q$6,"END",""),"")</f>
        <v/>
      </c>
    </row>
    <row r="636" spans="2:8" x14ac:dyDescent="0.45">
      <c r="B636" s="9">
        <f t="shared" si="19"/>
        <v>631</v>
      </c>
      <c r="C636" s="9" t="e">
        <f>IF(D635=VLOOKUP(C635,Lookup!$P$5:$R$6,3,0),VLOOKUP(C635,Lookup!$P$5:$Q$6,2,0),C635)</f>
        <v>#N/A</v>
      </c>
      <c r="D636" s="22" t="e">
        <f>IF(D635=VLOOKUP(C635,Lookup!$P$5:$R$6,3,0),1,D635+1)</f>
        <v>#N/A</v>
      </c>
      <c r="E636" s="9" t="e">
        <f>IF(C636=Lookup!$P$5,INDEX('view-code'!$P$3:$P$502,'group-code'!D636),"")</f>
        <v>#N/A</v>
      </c>
      <c r="F636" s="9" t="e">
        <f>IF(C636=Lookup!$P$6,INDEX('card-code'!$P$3:$P$502,'group-code'!D636),"")</f>
        <v>#N/A</v>
      </c>
      <c r="G636" s="9" t="str">
        <f t="shared" si="20"/>
        <v/>
      </c>
      <c r="H636" s="9" t="str">
        <f>_xlfn.IFNA(IF(C636=Lookup!$Q$6,"END",""),"")</f>
        <v/>
      </c>
    </row>
    <row r="637" spans="2:8" x14ac:dyDescent="0.45">
      <c r="B637" s="9">
        <f t="shared" si="19"/>
        <v>632</v>
      </c>
      <c r="C637" s="9" t="e">
        <f>IF(D636=VLOOKUP(C636,Lookup!$P$5:$R$6,3,0),VLOOKUP(C636,Lookup!$P$5:$Q$6,2,0),C636)</f>
        <v>#N/A</v>
      </c>
      <c r="D637" s="22" t="e">
        <f>IF(D636=VLOOKUP(C636,Lookup!$P$5:$R$6,3,0),1,D636+1)</f>
        <v>#N/A</v>
      </c>
      <c r="E637" s="9" t="e">
        <f>IF(C637=Lookup!$P$5,INDEX('view-code'!$P$3:$P$502,'group-code'!D637),"")</f>
        <v>#N/A</v>
      </c>
      <c r="F637" s="9" t="e">
        <f>IF(C637=Lookup!$P$6,INDEX('card-code'!$P$3:$P$502,'group-code'!D637),"")</f>
        <v>#N/A</v>
      </c>
      <c r="G637" s="9" t="str">
        <f t="shared" si="20"/>
        <v/>
      </c>
      <c r="H637" s="9" t="str">
        <f>_xlfn.IFNA(IF(C637=Lookup!$Q$6,"END",""),"")</f>
        <v/>
      </c>
    </row>
    <row r="638" spans="2:8" x14ac:dyDescent="0.45">
      <c r="B638" s="9">
        <f t="shared" si="19"/>
        <v>633</v>
      </c>
      <c r="C638" s="9" t="e">
        <f>IF(D637=VLOOKUP(C637,Lookup!$P$5:$R$6,3,0),VLOOKUP(C637,Lookup!$P$5:$Q$6,2,0),C637)</f>
        <v>#N/A</v>
      </c>
      <c r="D638" s="22" t="e">
        <f>IF(D637=VLOOKUP(C637,Lookup!$P$5:$R$6,3,0),1,D637+1)</f>
        <v>#N/A</v>
      </c>
      <c r="E638" s="9" t="e">
        <f>IF(C638=Lookup!$P$5,INDEX('view-code'!$P$3:$P$502,'group-code'!D638),"")</f>
        <v>#N/A</v>
      </c>
      <c r="F638" s="9" t="e">
        <f>IF(C638=Lookup!$P$6,INDEX('card-code'!$P$3:$P$502,'group-code'!D638),"")</f>
        <v>#N/A</v>
      </c>
      <c r="G638" s="9" t="str">
        <f t="shared" si="20"/>
        <v/>
      </c>
      <c r="H638" s="9" t="str">
        <f>_xlfn.IFNA(IF(C638=Lookup!$Q$6,"END",""),"")</f>
        <v/>
      </c>
    </row>
    <row r="639" spans="2:8" x14ac:dyDescent="0.45">
      <c r="B639" s="9">
        <f t="shared" si="19"/>
        <v>634</v>
      </c>
      <c r="C639" s="9" t="e">
        <f>IF(D638=VLOOKUP(C638,Lookup!$P$5:$R$6,3,0),VLOOKUP(C638,Lookup!$P$5:$Q$6,2,0),C638)</f>
        <v>#N/A</v>
      </c>
      <c r="D639" s="22" t="e">
        <f>IF(D638=VLOOKUP(C638,Lookup!$P$5:$R$6,3,0),1,D638+1)</f>
        <v>#N/A</v>
      </c>
      <c r="E639" s="9" t="e">
        <f>IF(C639=Lookup!$P$5,INDEX('view-code'!$P$3:$P$502,'group-code'!D639),"")</f>
        <v>#N/A</v>
      </c>
      <c r="F639" s="9" t="e">
        <f>IF(C639=Lookup!$P$6,INDEX('card-code'!$P$3:$P$502,'group-code'!D639),"")</f>
        <v>#N/A</v>
      </c>
      <c r="G639" s="9" t="str">
        <f t="shared" si="20"/>
        <v/>
      </c>
      <c r="H639" s="9" t="str">
        <f>_xlfn.IFNA(IF(C639=Lookup!$Q$6,"END",""),"")</f>
        <v/>
      </c>
    </row>
    <row r="640" spans="2:8" x14ac:dyDescent="0.45">
      <c r="B640" s="9">
        <f t="shared" si="19"/>
        <v>635</v>
      </c>
      <c r="C640" s="9" t="e">
        <f>IF(D639=VLOOKUP(C639,Lookup!$P$5:$R$6,3,0),VLOOKUP(C639,Lookup!$P$5:$Q$6,2,0),C639)</f>
        <v>#N/A</v>
      </c>
      <c r="D640" s="22" t="e">
        <f>IF(D639=VLOOKUP(C639,Lookup!$P$5:$R$6,3,0),1,D639+1)</f>
        <v>#N/A</v>
      </c>
      <c r="E640" s="9" t="e">
        <f>IF(C640=Lookup!$P$5,INDEX('view-code'!$P$3:$P$502,'group-code'!D640),"")</f>
        <v>#N/A</v>
      </c>
      <c r="F640" s="9" t="e">
        <f>IF(C640=Lookup!$P$6,INDEX('card-code'!$P$3:$P$502,'group-code'!D640),"")</f>
        <v>#N/A</v>
      </c>
      <c r="G640" s="9" t="str">
        <f t="shared" si="20"/>
        <v/>
      </c>
      <c r="H640" s="9" t="str">
        <f>_xlfn.IFNA(IF(C640=Lookup!$Q$6,"END",""),"")</f>
        <v/>
      </c>
    </row>
    <row r="641" spans="2:8" x14ac:dyDescent="0.45">
      <c r="B641" s="9">
        <f t="shared" si="19"/>
        <v>636</v>
      </c>
      <c r="C641" s="9" t="e">
        <f>IF(D640=VLOOKUP(C640,Lookup!$P$5:$R$6,3,0),VLOOKUP(C640,Lookup!$P$5:$Q$6,2,0),C640)</f>
        <v>#N/A</v>
      </c>
      <c r="D641" s="22" t="e">
        <f>IF(D640=VLOOKUP(C640,Lookup!$P$5:$R$6,3,0),1,D640+1)</f>
        <v>#N/A</v>
      </c>
      <c r="E641" s="9" t="e">
        <f>IF(C641=Lookup!$P$5,INDEX('view-code'!$P$3:$P$502,'group-code'!D641),"")</f>
        <v>#N/A</v>
      </c>
      <c r="F641" s="9" t="e">
        <f>IF(C641=Lookup!$P$6,INDEX('card-code'!$P$3:$P$502,'group-code'!D641),"")</f>
        <v>#N/A</v>
      </c>
      <c r="G641" s="9" t="str">
        <f t="shared" si="20"/>
        <v/>
      </c>
      <c r="H641" s="9" t="str">
        <f>_xlfn.IFNA(IF(C641=Lookup!$Q$6,"END",""),"")</f>
        <v/>
      </c>
    </row>
    <row r="642" spans="2:8" x14ac:dyDescent="0.45">
      <c r="B642" s="9">
        <f t="shared" si="19"/>
        <v>637</v>
      </c>
      <c r="C642" s="9" t="e">
        <f>IF(D641=VLOOKUP(C641,Lookup!$P$5:$R$6,3,0),VLOOKUP(C641,Lookup!$P$5:$Q$6,2,0),C641)</f>
        <v>#N/A</v>
      </c>
      <c r="D642" s="22" t="e">
        <f>IF(D641=VLOOKUP(C641,Lookup!$P$5:$R$6,3,0),1,D641+1)</f>
        <v>#N/A</v>
      </c>
      <c r="E642" s="9" t="e">
        <f>IF(C642=Lookup!$P$5,INDEX('view-code'!$P$3:$P$502,'group-code'!D642),"")</f>
        <v>#N/A</v>
      </c>
      <c r="F642" s="9" t="e">
        <f>IF(C642=Lookup!$P$6,INDEX('card-code'!$P$3:$P$502,'group-code'!D642),"")</f>
        <v>#N/A</v>
      </c>
      <c r="G642" s="9" t="str">
        <f t="shared" si="20"/>
        <v/>
      </c>
      <c r="H642" s="9" t="str">
        <f>_xlfn.IFNA(IF(C642=Lookup!$Q$6,"END",""),"")</f>
        <v/>
      </c>
    </row>
    <row r="643" spans="2:8" x14ac:dyDescent="0.45">
      <c r="B643" s="9">
        <f t="shared" si="19"/>
        <v>638</v>
      </c>
      <c r="C643" s="9" t="e">
        <f>IF(D642=VLOOKUP(C642,Lookup!$P$5:$R$6,3,0),VLOOKUP(C642,Lookup!$P$5:$Q$6,2,0),C642)</f>
        <v>#N/A</v>
      </c>
      <c r="D643" s="22" t="e">
        <f>IF(D642=VLOOKUP(C642,Lookup!$P$5:$R$6,3,0),1,D642+1)</f>
        <v>#N/A</v>
      </c>
      <c r="E643" s="9" t="e">
        <f>IF(C643=Lookup!$P$5,INDEX('view-code'!$P$3:$P$502,'group-code'!D643),"")</f>
        <v>#N/A</v>
      </c>
      <c r="F643" s="9" t="e">
        <f>IF(C643=Lookup!$P$6,INDEX('card-code'!$P$3:$P$502,'group-code'!D643),"")</f>
        <v>#N/A</v>
      </c>
      <c r="G643" s="9" t="str">
        <f t="shared" si="20"/>
        <v/>
      </c>
      <c r="H643" s="9" t="str">
        <f>_xlfn.IFNA(IF(C643=Lookup!$Q$6,"END",""),"")</f>
        <v/>
      </c>
    </row>
    <row r="644" spans="2:8" x14ac:dyDescent="0.45">
      <c r="B644" s="9">
        <f t="shared" si="19"/>
        <v>639</v>
      </c>
      <c r="C644" s="9" t="e">
        <f>IF(D643=VLOOKUP(C643,Lookup!$P$5:$R$6,3,0),VLOOKUP(C643,Lookup!$P$5:$Q$6,2,0),C643)</f>
        <v>#N/A</v>
      </c>
      <c r="D644" s="22" t="e">
        <f>IF(D643=VLOOKUP(C643,Lookup!$P$5:$R$6,3,0),1,D643+1)</f>
        <v>#N/A</v>
      </c>
      <c r="E644" s="9" t="e">
        <f>IF(C644=Lookup!$P$5,INDEX('view-code'!$P$3:$P$502,'group-code'!D644),"")</f>
        <v>#N/A</v>
      </c>
      <c r="F644" s="9" t="e">
        <f>IF(C644=Lookup!$P$6,INDEX('card-code'!$P$3:$P$502,'group-code'!D644),"")</f>
        <v>#N/A</v>
      </c>
      <c r="G644" s="9" t="str">
        <f t="shared" si="20"/>
        <v/>
      </c>
      <c r="H644" s="9" t="str">
        <f>_xlfn.IFNA(IF(C644=Lookup!$Q$6,"END",""),"")</f>
        <v/>
      </c>
    </row>
    <row r="645" spans="2:8" x14ac:dyDescent="0.45">
      <c r="B645" s="9">
        <f t="shared" si="19"/>
        <v>640</v>
      </c>
      <c r="C645" s="9" t="e">
        <f>IF(D644=VLOOKUP(C644,Lookup!$P$5:$R$6,3,0),VLOOKUP(C644,Lookup!$P$5:$Q$6,2,0),C644)</f>
        <v>#N/A</v>
      </c>
      <c r="D645" s="22" t="e">
        <f>IF(D644=VLOOKUP(C644,Lookup!$P$5:$R$6,3,0),1,D644+1)</f>
        <v>#N/A</v>
      </c>
      <c r="E645" s="9" t="e">
        <f>IF(C645=Lookup!$P$5,INDEX('view-code'!$P$3:$P$502,'group-code'!D645),"")</f>
        <v>#N/A</v>
      </c>
      <c r="F645" s="9" t="e">
        <f>IF(C645=Lookup!$P$6,INDEX('card-code'!$P$3:$P$502,'group-code'!D645),"")</f>
        <v>#N/A</v>
      </c>
      <c r="G645" s="9" t="str">
        <f t="shared" si="20"/>
        <v/>
      </c>
      <c r="H645" s="9" t="str">
        <f>_xlfn.IFNA(IF(C645=Lookup!$Q$6,"END",""),"")</f>
        <v/>
      </c>
    </row>
    <row r="646" spans="2:8" x14ac:dyDescent="0.45">
      <c r="B646" s="9">
        <f t="shared" si="19"/>
        <v>641</v>
      </c>
      <c r="C646" s="9" t="e">
        <f>IF(D645=VLOOKUP(C645,Lookup!$P$5:$R$6,3,0),VLOOKUP(C645,Lookup!$P$5:$Q$6,2,0),C645)</f>
        <v>#N/A</v>
      </c>
      <c r="D646" s="22" t="e">
        <f>IF(D645=VLOOKUP(C645,Lookup!$P$5:$R$6,3,0),1,D645+1)</f>
        <v>#N/A</v>
      </c>
      <c r="E646" s="9" t="e">
        <f>IF(C646=Lookup!$P$5,INDEX('view-code'!$P$3:$P$502,'group-code'!D646),"")</f>
        <v>#N/A</v>
      </c>
      <c r="F646" s="9" t="e">
        <f>IF(C646=Lookup!$P$6,INDEX('card-code'!$P$3:$P$502,'group-code'!D646),"")</f>
        <v>#N/A</v>
      </c>
      <c r="G646" s="9" t="str">
        <f t="shared" si="20"/>
        <v/>
      </c>
      <c r="H646" s="9" t="str">
        <f>_xlfn.IFNA(IF(C646=Lookup!$Q$6,"END",""),"")</f>
        <v/>
      </c>
    </row>
    <row r="647" spans="2:8" x14ac:dyDescent="0.45">
      <c r="B647" s="9">
        <f t="shared" si="19"/>
        <v>642</v>
      </c>
      <c r="C647" s="9" t="e">
        <f>IF(D646=VLOOKUP(C646,Lookup!$P$5:$R$6,3,0),VLOOKUP(C646,Lookup!$P$5:$Q$6,2,0),C646)</f>
        <v>#N/A</v>
      </c>
      <c r="D647" s="22" t="e">
        <f>IF(D646=VLOOKUP(C646,Lookup!$P$5:$R$6,3,0),1,D646+1)</f>
        <v>#N/A</v>
      </c>
      <c r="E647" s="9" t="e">
        <f>IF(C647=Lookup!$P$5,INDEX('view-code'!$P$3:$P$502,'group-code'!D647),"")</f>
        <v>#N/A</v>
      </c>
      <c r="F647" s="9" t="e">
        <f>IF(C647=Lookup!$P$6,INDEX('card-code'!$P$3:$P$502,'group-code'!D647),"")</f>
        <v>#N/A</v>
      </c>
      <c r="G647" s="9" t="str">
        <f t="shared" si="20"/>
        <v/>
      </c>
      <c r="H647" s="9" t="str">
        <f>_xlfn.IFNA(IF(C647=Lookup!$Q$6,"END",""),"")</f>
        <v/>
      </c>
    </row>
    <row r="648" spans="2:8" x14ac:dyDescent="0.45">
      <c r="B648" s="9">
        <f t="shared" ref="B648:B711" si="21">B647+1</f>
        <v>643</v>
      </c>
      <c r="C648" s="9" t="e">
        <f>IF(D647=VLOOKUP(C647,Lookup!$P$5:$R$6,3,0),VLOOKUP(C647,Lookup!$P$5:$Q$6,2,0),C647)</f>
        <v>#N/A</v>
      </c>
      <c r="D648" s="22" t="e">
        <f>IF(D647=VLOOKUP(C647,Lookup!$P$5:$R$6,3,0),1,D647+1)</f>
        <v>#N/A</v>
      </c>
      <c r="E648" s="9" t="e">
        <f>IF(C648=Lookup!$P$5,INDEX('view-code'!$P$3:$P$502,'group-code'!D648),"")</f>
        <v>#N/A</v>
      </c>
      <c r="F648" s="9" t="e">
        <f>IF(C648=Lookup!$P$6,INDEX('card-code'!$P$3:$P$502,'group-code'!D648),"")</f>
        <v>#N/A</v>
      </c>
      <c r="G648" s="9" t="str">
        <f t="shared" si="20"/>
        <v/>
      </c>
      <c r="H648" s="9" t="str">
        <f>_xlfn.IFNA(IF(C648=Lookup!$Q$6,"END",""),"")</f>
        <v/>
      </c>
    </row>
    <row r="649" spans="2:8" x14ac:dyDescent="0.45">
      <c r="B649" s="9">
        <f t="shared" si="21"/>
        <v>644</v>
      </c>
      <c r="C649" s="9" t="e">
        <f>IF(D648=VLOOKUP(C648,Lookup!$P$5:$R$6,3,0),VLOOKUP(C648,Lookup!$P$5:$Q$6,2,0),C648)</f>
        <v>#N/A</v>
      </c>
      <c r="D649" s="22" t="e">
        <f>IF(D648=VLOOKUP(C648,Lookup!$P$5:$R$6,3,0),1,D648+1)</f>
        <v>#N/A</v>
      </c>
      <c r="E649" s="9" t="e">
        <f>IF(C649=Lookup!$P$5,INDEX('view-code'!$P$3:$P$502,'group-code'!D649),"")</f>
        <v>#N/A</v>
      </c>
      <c r="F649" s="9" t="e">
        <f>IF(C649=Lookup!$P$6,INDEX('card-code'!$P$3:$P$502,'group-code'!D649),"")</f>
        <v>#N/A</v>
      </c>
      <c r="G649" s="9" t="str">
        <f t="shared" si="20"/>
        <v/>
      </c>
      <c r="H649" s="9" t="str">
        <f>_xlfn.IFNA(IF(C649=Lookup!$Q$6,"END",""),"")</f>
        <v/>
      </c>
    </row>
    <row r="650" spans="2:8" x14ac:dyDescent="0.45">
      <c r="B650" s="9">
        <f t="shared" si="21"/>
        <v>645</v>
      </c>
      <c r="C650" s="9" t="e">
        <f>IF(D649=VLOOKUP(C649,Lookup!$P$5:$R$6,3,0),VLOOKUP(C649,Lookup!$P$5:$Q$6,2,0),C649)</f>
        <v>#N/A</v>
      </c>
      <c r="D650" s="22" t="e">
        <f>IF(D649=VLOOKUP(C649,Lookup!$P$5:$R$6,3,0),1,D649+1)</f>
        <v>#N/A</v>
      </c>
      <c r="E650" s="9" t="e">
        <f>IF(C650=Lookup!$P$5,INDEX('view-code'!$P$3:$P$502,'group-code'!D650),"")</f>
        <v>#N/A</v>
      </c>
      <c r="F650" s="9" t="e">
        <f>IF(C650=Lookup!$P$6,INDEX('card-code'!$P$3:$P$502,'group-code'!D650),"")</f>
        <v>#N/A</v>
      </c>
      <c r="G650" s="9" t="str">
        <f t="shared" si="20"/>
        <v/>
      </c>
      <c r="H650" s="9" t="str">
        <f>_xlfn.IFNA(IF(C650=Lookup!$Q$6,"END",""),"")</f>
        <v/>
      </c>
    </row>
    <row r="651" spans="2:8" x14ac:dyDescent="0.45">
      <c r="B651" s="9">
        <f t="shared" si="21"/>
        <v>646</v>
      </c>
      <c r="C651" s="9" t="e">
        <f>IF(D650=VLOOKUP(C650,Lookup!$P$5:$R$6,3,0),VLOOKUP(C650,Lookup!$P$5:$Q$6,2,0),C650)</f>
        <v>#N/A</v>
      </c>
      <c r="D651" s="22" t="e">
        <f>IF(D650=VLOOKUP(C650,Lookup!$P$5:$R$6,3,0),1,D650+1)</f>
        <v>#N/A</v>
      </c>
      <c r="E651" s="9" t="e">
        <f>IF(C651=Lookup!$P$5,INDEX('view-code'!$P$3:$P$502,'group-code'!D651),"")</f>
        <v>#N/A</v>
      </c>
      <c r="F651" s="9" t="e">
        <f>IF(C651=Lookup!$P$6,INDEX('card-code'!$P$3:$P$502,'group-code'!D651),"")</f>
        <v>#N/A</v>
      </c>
      <c r="G651" s="9" t="str">
        <f t="shared" si="20"/>
        <v/>
      </c>
      <c r="H651" s="9" t="str">
        <f>_xlfn.IFNA(IF(C651=Lookup!$Q$6,"END",""),"")</f>
        <v/>
      </c>
    </row>
    <row r="652" spans="2:8" x14ac:dyDescent="0.45">
      <c r="B652" s="9">
        <f t="shared" si="21"/>
        <v>647</v>
      </c>
      <c r="C652" s="9" t="e">
        <f>IF(D651=VLOOKUP(C651,Lookup!$P$5:$R$6,3,0),VLOOKUP(C651,Lookup!$P$5:$Q$6,2,0),C651)</f>
        <v>#N/A</v>
      </c>
      <c r="D652" s="22" t="e">
        <f>IF(D651=VLOOKUP(C651,Lookup!$P$5:$R$6,3,0),1,D651+1)</f>
        <v>#N/A</v>
      </c>
      <c r="E652" s="9" t="e">
        <f>IF(C652=Lookup!$P$5,INDEX('view-code'!$P$3:$P$502,'group-code'!D652),"")</f>
        <v>#N/A</v>
      </c>
      <c r="F652" s="9" t="e">
        <f>IF(C652=Lookup!$P$6,INDEX('card-code'!$P$3:$P$502,'group-code'!D652),"")</f>
        <v>#N/A</v>
      </c>
      <c r="G652" s="9" t="str">
        <f t="shared" si="20"/>
        <v/>
      </c>
      <c r="H652" s="9" t="str">
        <f>_xlfn.IFNA(IF(C652=Lookup!$Q$6,"END",""),"")</f>
        <v/>
      </c>
    </row>
    <row r="653" spans="2:8" x14ac:dyDescent="0.45">
      <c r="B653" s="9">
        <f t="shared" si="21"/>
        <v>648</v>
      </c>
      <c r="C653" s="9" t="e">
        <f>IF(D652=VLOOKUP(C652,Lookup!$P$5:$R$6,3,0),VLOOKUP(C652,Lookup!$P$5:$Q$6,2,0),C652)</f>
        <v>#N/A</v>
      </c>
      <c r="D653" s="22" t="e">
        <f>IF(D652=VLOOKUP(C652,Lookup!$P$5:$R$6,3,0),1,D652+1)</f>
        <v>#N/A</v>
      </c>
      <c r="E653" s="9" t="e">
        <f>IF(C653=Lookup!$P$5,INDEX('view-code'!$P$3:$P$502,'group-code'!D653),"")</f>
        <v>#N/A</v>
      </c>
      <c r="F653" s="9" t="e">
        <f>IF(C653=Lookup!$P$6,INDEX('card-code'!$P$3:$P$502,'group-code'!D653),"")</f>
        <v>#N/A</v>
      </c>
      <c r="G653" s="9" t="str">
        <f t="shared" si="20"/>
        <v/>
      </c>
      <c r="H653" s="9" t="str">
        <f>_xlfn.IFNA(IF(C653=Lookup!$Q$6,"END",""),"")</f>
        <v/>
      </c>
    </row>
    <row r="654" spans="2:8" x14ac:dyDescent="0.45">
      <c r="B654" s="9">
        <f t="shared" si="21"/>
        <v>649</v>
      </c>
      <c r="C654" s="9" t="e">
        <f>IF(D653=VLOOKUP(C653,Lookup!$P$5:$R$6,3,0),VLOOKUP(C653,Lookup!$P$5:$Q$6,2,0),C653)</f>
        <v>#N/A</v>
      </c>
      <c r="D654" s="22" t="e">
        <f>IF(D653=VLOOKUP(C653,Lookup!$P$5:$R$6,3,0),1,D653+1)</f>
        <v>#N/A</v>
      </c>
      <c r="E654" s="9" t="e">
        <f>IF(C654=Lookup!$P$5,INDEX('view-code'!$P$3:$P$502,'group-code'!D654),"")</f>
        <v>#N/A</v>
      </c>
      <c r="F654" s="9" t="e">
        <f>IF(C654=Lookup!$P$6,INDEX('card-code'!$P$3:$P$502,'group-code'!D654),"")</f>
        <v>#N/A</v>
      </c>
      <c r="G654" s="9" t="str">
        <f t="shared" si="20"/>
        <v/>
      </c>
      <c r="H654" s="9" t="str">
        <f>_xlfn.IFNA(IF(C654=Lookup!$Q$6,"END",""),"")</f>
        <v/>
      </c>
    </row>
    <row r="655" spans="2:8" x14ac:dyDescent="0.45">
      <c r="B655" s="9">
        <f t="shared" si="21"/>
        <v>650</v>
      </c>
      <c r="C655" s="9" t="e">
        <f>IF(D654=VLOOKUP(C654,Lookup!$P$5:$R$6,3,0),VLOOKUP(C654,Lookup!$P$5:$Q$6,2,0),C654)</f>
        <v>#N/A</v>
      </c>
      <c r="D655" s="22" t="e">
        <f>IF(D654=VLOOKUP(C654,Lookup!$P$5:$R$6,3,0),1,D654+1)</f>
        <v>#N/A</v>
      </c>
      <c r="E655" s="9" t="e">
        <f>IF(C655=Lookup!$P$5,INDEX('view-code'!$P$3:$P$502,'group-code'!D655),"")</f>
        <v>#N/A</v>
      </c>
      <c r="F655" s="9" t="e">
        <f>IF(C655=Lookup!$P$6,INDEX('card-code'!$P$3:$P$502,'group-code'!D655),"")</f>
        <v>#N/A</v>
      </c>
      <c r="G655" s="9" t="str">
        <f t="shared" si="20"/>
        <v/>
      </c>
      <c r="H655" s="9" t="str">
        <f>_xlfn.IFNA(IF(C655=Lookup!$Q$6,"END",""),"")</f>
        <v/>
      </c>
    </row>
    <row r="656" spans="2:8" x14ac:dyDescent="0.45">
      <c r="B656" s="9">
        <f t="shared" si="21"/>
        <v>651</v>
      </c>
      <c r="C656" s="9" t="e">
        <f>IF(D655=VLOOKUP(C655,Lookup!$P$5:$R$6,3,0),VLOOKUP(C655,Lookup!$P$5:$Q$6,2,0),C655)</f>
        <v>#N/A</v>
      </c>
      <c r="D656" s="22" t="e">
        <f>IF(D655=VLOOKUP(C655,Lookup!$P$5:$R$6,3,0),1,D655+1)</f>
        <v>#N/A</v>
      </c>
      <c r="E656" s="9" t="e">
        <f>IF(C656=Lookup!$P$5,INDEX('view-code'!$P$3:$P$502,'group-code'!D656),"")</f>
        <v>#N/A</v>
      </c>
      <c r="F656" s="9" t="e">
        <f>IF(C656=Lookup!$P$6,INDEX('card-code'!$P$3:$P$502,'group-code'!D656),"")</f>
        <v>#N/A</v>
      </c>
      <c r="G656" s="9" t="str">
        <f t="shared" si="20"/>
        <v/>
      </c>
      <c r="H656" s="9" t="str">
        <f>_xlfn.IFNA(IF(C656=Lookup!$Q$6,"END",""),"")</f>
        <v/>
      </c>
    </row>
    <row r="657" spans="2:8" x14ac:dyDescent="0.45">
      <c r="B657" s="9">
        <f t="shared" si="21"/>
        <v>652</v>
      </c>
      <c r="C657" s="9" t="e">
        <f>IF(D656=VLOOKUP(C656,Lookup!$P$5:$R$6,3,0),VLOOKUP(C656,Lookup!$P$5:$Q$6,2,0),C656)</f>
        <v>#N/A</v>
      </c>
      <c r="D657" s="22" t="e">
        <f>IF(D656=VLOOKUP(C656,Lookup!$P$5:$R$6,3,0),1,D656+1)</f>
        <v>#N/A</v>
      </c>
      <c r="E657" s="9" t="e">
        <f>IF(C657=Lookup!$P$5,INDEX('view-code'!$P$3:$P$502,'group-code'!D657),"")</f>
        <v>#N/A</v>
      </c>
      <c r="F657" s="9" t="e">
        <f>IF(C657=Lookup!$P$6,INDEX('card-code'!$P$3:$P$502,'group-code'!D657),"")</f>
        <v>#N/A</v>
      </c>
      <c r="G657" s="9" t="str">
        <f t="shared" si="20"/>
        <v/>
      </c>
      <c r="H657" s="9" t="str">
        <f>_xlfn.IFNA(IF(C657=Lookup!$Q$6,"END",""),"")</f>
        <v/>
      </c>
    </row>
    <row r="658" spans="2:8" x14ac:dyDescent="0.45">
      <c r="B658" s="9">
        <f t="shared" si="21"/>
        <v>653</v>
      </c>
      <c r="C658" s="9" t="e">
        <f>IF(D657=VLOOKUP(C657,Lookup!$P$5:$R$6,3,0),VLOOKUP(C657,Lookup!$P$5:$Q$6,2,0),C657)</f>
        <v>#N/A</v>
      </c>
      <c r="D658" s="22" t="e">
        <f>IF(D657=VLOOKUP(C657,Lookup!$P$5:$R$6,3,0),1,D657+1)</f>
        <v>#N/A</v>
      </c>
      <c r="E658" s="9" t="e">
        <f>IF(C658=Lookup!$P$5,INDEX('view-code'!$P$3:$P$502,'group-code'!D658),"")</f>
        <v>#N/A</v>
      </c>
      <c r="F658" s="9" t="e">
        <f>IF(C658=Lookup!$P$6,INDEX('card-code'!$P$3:$P$502,'group-code'!D658),"")</f>
        <v>#N/A</v>
      </c>
      <c r="G658" s="9" t="str">
        <f t="shared" si="20"/>
        <v/>
      </c>
      <c r="H658" s="9" t="str">
        <f>_xlfn.IFNA(IF(C658=Lookup!$Q$6,"END",""),"")</f>
        <v/>
      </c>
    </row>
    <row r="659" spans="2:8" x14ac:dyDescent="0.45">
      <c r="B659" s="9">
        <f t="shared" si="21"/>
        <v>654</v>
      </c>
      <c r="C659" s="9" t="e">
        <f>IF(D658=VLOOKUP(C658,Lookup!$P$5:$R$6,3,0),VLOOKUP(C658,Lookup!$P$5:$Q$6,2,0),C658)</f>
        <v>#N/A</v>
      </c>
      <c r="D659" s="22" t="e">
        <f>IF(D658=VLOOKUP(C658,Lookup!$P$5:$R$6,3,0),1,D658+1)</f>
        <v>#N/A</v>
      </c>
      <c r="E659" s="9" t="e">
        <f>IF(C659=Lookup!$P$5,INDEX('view-code'!$P$3:$P$502,'group-code'!D659),"")</f>
        <v>#N/A</v>
      </c>
      <c r="F659" s="9" t="e">
        <f>IF(C659=Lookup!$P$6,INDEX('card-code'!$P$3:$P$502,'group-code'!D659),"")</f>
        <v>#N/A</v>
      </c>
      <c r="G659" s="9" t="str">
        <f t="shared" si="20"/>
        <v/>
      </c>
      <c r="H659" s="9" t="str">
        <f>_xlfn.IFNA(IF(C659=Lookup!$Q$6,"END",""),"")</f>
        <v/>
      </c>
    </row>
    <row r="660" spans="2:8" x14ac:dyDescent="0.45">
      <c r="B660" s="9">
        <f t="shared" si="21"/>
        <v>655</v>
      </c>
      <c r="C660" s="9" t="e">
        <f>IF(D659=VLOOKUP(C659,Lookup!$P$5:$R$6,3,0),VLOOKUP(C659,Lookup!$P$5:$Q$6,2,0),C659)</f>
        <v>#N/A</v>
      </c>
      <c r="D660" s="22" t="e">
        <f>IF(D659=VLOOKUP(C659,Lookup!$P$5:$R$6,3,0),1,D659+1)</f>
        <v>#N/A</v>
      </c>
      <c r="E660" s="9" t="e">
        <f>IF(C660=Lookup!$P$5,INDEX('view-code'!$P$3:$P$502,'group-code'!D660),"")</f>
        <v>#N/A</v>
      </c>
      <c r="F660" s="9" t="e">
        <f>IF(C660=Lookup!$P$6,INDEX('card-code'!$P$3:$P$502,'group-code'!D660),"")</f>
        <v>#N/A</v>
      </c>
      <c r="G660" s="9" t="str">
        <f t="shared" si="20"/>
        <v/>
      </c>
      <c r="H660" s="9" t="str">
        <f>_xlfn.IFNA(IF(C660=Lookup!$Q$6,"END",""),"")</f>
        <v/>
      </c>
    </row>
    <row r="661" spans="2:8" x14ac:dyDescent="0.45">
      <c r="B661" s="9">
        <f t="shared" si="21"/>
        <v>656</v>
      </c>
      <c r="C661" s="9" t="e">
        <f>IF(D660=VLOOKUP(C660,Lookup!$P$5:$R$6,3,0),VLOOKUP(C660,Lookup!$P$5:$Q$6,2,0),C660)</f>
        <v>#N/A</v>
      </c>
      <c r="D661" s="22" t="e">
        <f>IF(D660=VLOOKUP(C660,Lookup!$P$5:$R$6,3,0),1,D660+1)</f>
        <v>#N/A</v>
      </c>
      <c r="E661" s="9" t="e">
        <f>IF(C661=Lookup!$P$5,INDEX('view-code'!$P$3:$P$502,'group-code'!D661),"")</f>
        <v>#N/A</v>
      </c>
      <c r="F661" s="9" t="e">
        <f>IF(C661=Lookup!$P$6,INDEX('card-code'!$P$3:$P$502,'group-code'!D661),"")</f>
        <v>#N/A</v>
      </c>
      <c r="G661" s="9" t="str">
        <f t="shared" si="20"/>
        <v/>
      </c>
      <c r="H661" s="9" t="str">
        <f>_xlfn.IFNA(IF(C661=Lookup!$Q$6,"END",""),"")</f>
        <v/>
      </c>
    </row>
    <row r="662" spans="2:8" x14ac:dyDescent="0.45">
      <c r="B662" s="9">
        <f t="shared" si="21"/>
        <v>657</v>
      </c>
      <c r="C662" s="9" t="e">
        <f>IF(D661=VLOOKUP(C661,Lookup!$P$5:$R$6,3,0),VLOOKUP(C661,Lookup!$P$5:$Q$6,2,0),C661)</f>
        <v>#N/A</v>
      </c>
      <c r="D662" s="22" t="e">
        <f>IF(D661=VLOOKUP(C661,Lookup!$P$5:$R$6,3,0),1,D661+1)</f>
        <v>#N/A</v>
      </c>
      <c r="E662" s="9" t="e">
        <f>IF(C662=Lookup!$P$5,INDEX('view-code'!$P$3:$P$502,'group-code'!D662),"")</f>
        <v>#N/A</v>
      </c>
      <c r="F662" s="9" t="e">
        <f>IF(C662=Lookup!$P$6,INDEX('card-code'!$P$3:$P$502,'group-code'!D662),"")</f>
        <v>#N/A</v>
      </c>
      <c r="G662" s="9" t="str">
        <f t="shared" si="20"/>
        <v/>
      </c>
      <c r="H662" s="9" t="str">
        <f>_xlfn.IFNA(IF(C662=Lookup!$Q$6,"END",""),"")</f>
        <v/>
      </c>
    </row>
    <row r="663" spans="2:8" x14ac:dyDescent="0.45">
      <c r="B663" s="9">
        <f t="shared" si="21"/>
        <v>658</v>
      </c>
      <c r="C663" s="9" t="e">
        <f>IF(D662=VLOOKUP(C662,Lookup!$P$5:$R$6,3,0),VLOOKUP(C662,Lookup!$P$5:$Q$6,2,0),C662)</f>
        <v>#N/A</v>
      </c>
      <c r="D663" s="22" t="e">
        <f>IF(D662=VLOOKUP(C662,Lookup!$P$5:$R$6,3,0),1,D662+1)</f>
        <v>#N/A</v>
      </c>
      <c r="E663" s="9" t="e">
        <f>IF(C663=Lookup!$P$5,INDEX('view-code'!$P$3:$P$502,'group-code'!D663),"")</f>
        <v>#N/A</v>
      </c>
      <c r="F663" s="9" t="e">
        <f>IF(C663=Lookup!$P$6,INDEX('card-code'!$P$3:$P$502,'group-code'!D663),"")</f>
        <v>#N/A</v>
      </c>
      <c r="G663" s="9" t="str">
        <f t="shared" si="20"/>
        <v/>
      </c>
      <c r="H663" s="9" t="str">
        <f>_xlfn.IFNA(IF(C663=Lookup!$Q$6,"END",""),"")</f>
        <v/>
      </c>
    </row>
    <row r="664" spans="2:8" x14ac:dyDescent="0.45">
      <c r="B664" s="9">
        <f t="shared" si="21"/>
        <v>659</v>
      </c>
      <c r="C664" s="9" t="e">
        <f>IF(D663=VLOOKUP(C663,Lookup!$P$5:$R$6,3,0),VLOOKUP(C663,Lookup!$P$5:$Q$6,2,0),C663)</f>
        <v>#N/A</v>
      </c>
      <c r="D664" s="22" t="e">
        <f>IF(D663=VLOOKUP(C663,Lookup!$P$5:$R$6,3,0),1,D663+1)</f>
        <v>#N/A</v>
      </c>
      <c r="E664" s="9" t="e">
        <f>IF(C664=Lookup!$P$5,INDEX('view-code'!$P$3:$P$502,'group-code'!D664),"")</f>
        <v>#N/A</v>
      </c>
      <c r="F664" s="9" t="e">
        <f>IF(C664=Lookup!$P$6,INDEX('card-code'!$P$3:$P$502,'group-code'!D664),"")</f>
        <v>#N/A</v>
      </c>
      <c r="G664" s="9" t="str">
        <f t="shared" si="20"/>
        <v/>
      </c>
      <c r="H664" s="9" t="str">
        <f>_xlfn.IFNA(IF(C664=Lookup!$Q$6,"END",""),"")</f>
        <v/>
      </c>
    </row>
    <row r="665" spans="2:8" x14ac:dyDescent="0.45">
      <c r="B665" s="9">
        <f t="shared" si="21"/>
        <v>660</v>
      </c>
      <c r="C665" s="9" t="e">
        <f>IF(D664=VLOOKUP(C664,Lookup!$P$5:$R$6,3,0),VLOOKUP(C664,Lookup!$P$5:$Q$6,2,0),C664)</f>
        <v>#N/A</v>
      </c>
      <c r="D665" s="22" t="e">
        <f>IF(D664=VLOOKUP(C664,Lookup!$P$5:$R$6,3,0),1,D664+1)</f>
        <v>#N/A</v>
      </c>
      <c r="E665" s="9" t="e">
        <f>IF(C665=Lookup!$P$5,INDEX('view-code'!$P$3:$P$502,'group-code'!D665),"")</f>
        <v>#N/A</v>
      </c>
      <c r="F665" s="9" t="e">
        <f>IF(C665=Lookup!$P$6,INDEX('card-code'!$P$3:$P$502,'group-code'!D665),"")</f>
        <v>#N/A</v>
      </c>
      <c r="G665" s="9" t="str">
        <f t="shared" si="20"/>
        <v/>
      </c>
      <c r="H665" s="9" t="str">
        <f>_xlfn.IFNA(IF(C665=Lookup!$Q$6,"END",""),"")</f>
        <v/>
      </c>
    </row>
    <row r="666" spans="2:8" x14ac:dyDescent="0.45">
      <c r="B666" s="9">
        <f t="shared" si="21"/>
        <v>661</v>
      </c>
      <c r="C666" s="9" t="e">
        <f>IF(D665=VLOOKUP(C665,Lookup!$P$5:$R$6,3,0),VLOOKUP(C665,Lookup!$P$5:$Q$6,2,0),C665)</f>
        <v>#N/A</v>
      </c>
      <c r="D666" s="22" t="e">
        <f>IF(D665=VLOOKUP(C665,Lookup!$P$5:$R$6,3,0),1,D665+1)</f>
        <v>#N/A</v>
      </c>
      <c r="E666" s="9" t="e">
        <f>IF(C666=Lookup!$P$5,INDEX('view-code'!$P$3:$P$502,'group-code'!D666),"")</f>
        <v>#N/A</v>
      </c>
      <c r="F666" s="9" t="e">
        <f>IF(C666=Lookup!$P$6,INDEX('card-code'!$P$3:$P$502,'group-code'!D666),"")</f>
        <v>#N/A</v>
      </c>
      <c r="G666" s="9" t="str">
        <f t="shared" si="20"/>
        <v/>
      </c>
      <c r="H666" s="9" t="str">
        <f>_xlfn.IFNA(IF(C666=Lookup!$Q$6,"END",""),"")</f>
        <v/>
      </c>
    </row>
    <row r="667" spans="2:8" x14ac:dyDescent="0.45">
      <c r="B667" s="9">
        <f t="shared" si="21"/>
        <v>662</v>
      </c>
      <c r="C667" s="9" t="e">
        <f>IF(D666=VLOOKUP(C666,Lookup!$P$5:$R$6,3,0),VLOOKUP(C666,Lookup!$P$5:$Q$6,2,0),C666)</f>
        <v>#N/A</v>
      </c>
      <c r="D667" s="22" t="e">
        <f>IF(D666=VLOOKUP(C666,Lookup!$P$5:$R$6,3,0),1,D666+1)</f>
        <v>#N/A</v>
      </c>
      <c r="E667" s="9" t="e">
        <f>IF(C667=Lookup!$P$5,INDEX('view-code'!$P$3:$P$502,'group-code'!D667),"")</f>
        <v>#N/A</v>
      </c>
      <c r="F667" s="9" t="e">
        <f>IF(C667=Lookup!$P$6,INDEX('card-code'!$P$3:$P$502,'group-code'!D667),"")</f>
        <v>#N/A</v>
      </c>
      <c r="G667" s="9" t="str">
        <f t="shared" si="20"/>
        <v/>
      </c>
      <c r="H667" s="9" t="str">
        <f>_xlfn.IFNA(IF(C667=Lookup!$Q$6,"END",""),"")</f>
        <v/>
      </c>
    </row>
    <row r="668" spans="2:8" x14ac:dyDescent="0.45">
      <c r="B668" s="9">
        <f t="shared" si="21"/>
        <v>663</v>
      </c>
      <c r="C668" s="9" t="e">
        <f>IF(D667=VLOOKUP(C667,Lookup!$P$5:$R$6,3,0),VLOOKUP(C667,Lookup!$P$5:$Q$6,2,0),C667)</f>
        <v>#N/A</v>
      </c>
      <c r="D668" s="22" t="e">
        <f>IF(D667=VLOOKUP(C667,Lookup!$P$5:$R$6,3,0),1,D667+1)</f>
        <v>#N/A</v>
      </c>
      <c r="E668" s="9" t="e">
        <f>IF(C668=Lookup!$P$5,INDEX('view-code'!$P$3:$P$502,'group-code'!D668),"")</f>
        <v>#N/A</v>
      </c>
      <c r="F668" s="9" t="e">
        <f>IF(C668=Lookup!$P$6,INDEX('card-code'!$P$3:$P$502,'group-code'!D668),"")</f>
        <v>#N/A</v>
      </c>
      <c r="G668" s="9" t="str">
        <f t="shared" si="20"/>
        <v/>
      </c>
      <c r="H668" s="9" t="str">
        <f>_xlfn.IFNA(IF(C668=Lookup!$Q$6,"END",""),"")</f>
        <v/>
      </c>
    </row>
    <row r="669" spans="2:8" x14ac:dyDescent="0.45">
      <c r="B669" s="9">
        <f t="shared" si="21"/>
        <v>664</v>
      </c>
      <c r="C669" s="9" t="e">
        <f>IF(D668=VLOOKUP(C668,Lookup!$P$5:$R$6,3,0),VLOOKUP(C668,Lookup!$P$5:$Q$6,2,0),C668)</f>
        <v>#N/A</v>
      </c>
      <c r="D669" s="22" t="e">
        <f>IF(D668=VLOOKUP(C668,Lookup!$P$5:$R$6,3,0),1,D668+1)</f>
        <v>#N/A</v>
      </c>
      <c r="E669" s="9" t="e">
        <f>IF(C669=Lookup!$P$5,INDEX('view-code'!$P$3:$P$502,'group-code'!D669),"")</f>
        <v>#N/A</v>
      </c>
      <c r="F669" s="9" t="e">
        <f>IF(C669=Lookup!$P$6,INDEX('card-code'!$P$3:$P$502,'group-code'!D669),"")</f>
        <v>#N/A</v>
      </c>
      <c r="G669" s="9" t="str">
        <f t="shared" si="20"/>
        <v/>
      </c>
      <c r="H669" s="9" t="str">
        <f>_xlfn.IFNA(IF(C669=Lookup!$Q$6,"END",""),"")</f>
        <v/>
      </c>
    </row>
    <row r="670" spans="2:8" x14ac:dyDescent="0.45">
      <c r="B670" s="9">
        <f t="shared" si="21"/>
        <v>665</v>
      </c>
      <c r="C670" s="9" t="e">
        <f>IF(D669=VLOOKUP(C669,Lookup!$P$5:$R$6,3,0),VLOOKUP(C669,Lookup!$P$5:$Q$6,2,0),C669)</f>
        <v>#N/A</v>
      </c>
      <c r="D670" s="22" t="e">
        <f>IF(D669=VLOOKUP(C669,Lookup!$P$5:$R$6,3,0),1,D669+1)</f>
        <v>#N/A</v>
      </c>
      <c r="E670" s="9" t="e">
        <f>IF(C670=Lookup!$P$5,INDEX('view-code'!$P$3:$P$502,'group-code'!D670),"")</f>
        <v>#N/A</v>
      </c>
      <c r="F670" s="9" t="e">
        <f>IF(C670=Lookup!$P$6,INDEX('card-code'!$P$3:$P$502,'group-code'!D670),"")</f>
        <v>#N/A</v>
      </c>
      <c r="G670" s="9" t="str">
        <f t="shared" si="20"/>
        <v/>
      </c>
      <c r="H670" s="9" t="str">
        <f>_xlfn.IFNA(IF(C670=Lookup!$Q$6,"END",""),"")</f>
        <v/>
      </c>
    </row>
    <row r="671" spans="2:8" x14ac:dyDescent="0.45">
      <c r="B671" s="9">
        <f t="shared" si="21"/>
        <v>666</v>
      </c>
      <c r="C671" s="9" t="e">
        <f>IF(D670=VLOOKUP(C670,Lookup!$P$5:$R$6,3,0),VLOOKUP(C670,Lookup!$P$5:$Q$6,2,0),C670)</f>
        <v>#N/A</v>
      </c>
      <c r="D671" s="22" t="e">
        <f>IF(D670=VLOOKUP(C670,Lookup!$P$5:$R$6,3,0),1,D670+1)</f>
        <v>#N/A</v>
      </c>
      <c r="E671" s="9" t="e">
        <f>IF(C671=Lookup!$P$5,INDEX('view-code'!$P$3:$P$502,'group-code'!D671),"")</f>
        <v>#N/A</v>
      </c>
      <c r="F671" s="9" t="e">
        <f>IF(C671=Lookup!$P$6,INDEX('card-code'!$P$3:$P$502,'group-code'!D671),"")</f>
        <v>#N/A</v>
      </c>
      <c r="G671" s="9" t="str">
        <f t="shared" si="20"/>
        <v/>
      </c>
      <c r="H671" s="9" t="str">
        <f>_xlfn.IFNA(IF(C671=Lookup!$Q$6,"END",""),"")</f>
        <v/>
      </c>
    </row>
    <row r="672" spans="2:8" x14ac:dyDescent="0.45">
      <c r="B672" s="9">
        <f t="shared" si="21"/>
        <v>667</v>
      </c>
      <c r="C672" s="9" t="e">
        <f>IF(D671=VLOOKUP(C671,Lookup!$P$5:$R$6,3,0),VLOOKUP(C671,Lookup!$P$5:$Q$6,2,0),C671)</f>
        <v>#N/A</v>
      </c>
      <c r="D672" s="22" t="e">
        <f>IF(D671=VLOOKUP(C671,Lookup!$P$5:$R$6,3,0),1,D671+1)</f>
        <v>#N/A</v>
      </c>
      <c r="E672" s="9" t="e">
        <f>IF(C672=Lookup!$P$5,INDEX('view-code'!$P$3:$P$502,'group-code'!D672),"")</f>
        <v>#N/A</v>
      </c>
      <c r="F672" s="9" t="e">
        <f>IF(C672=Lookup!$P$6,INDEX('card-code'!$P$3:$P$502,'group-code'!D672),"")</f>
        <v>#N/A</v>
      </c>
      <c r="G672" s="9" t="str">
        <f t="shared" si="20"/>
        <v/>
      </c>
      <c r="H672" s="9" t="str">
        <f>_xlfn.IFNA(IF(C672=Lookup!$Q$6,"END",""),"")</f>
        <v/>
      </c>
    </row>
    <row r="673" spans="2:8" x14ac:dyDescent="0.45">
      <c r="B673" s="9">
        <f t="shared" si="21"/>
        <v>668</v>
      </c>
      <c r="C673" s="9" t="e">
        <f>IF(D672=VLOOKUP(C672,Lookup!$P$5:$R$6,3,0),VLOOKUP(C672,Lookup!$P$5:$Q$6,2,0),C672)</f>
        <v>#N/A</v>
      </c>
      <c r="D673" s="22" t="e">
        <f>IF(D672=VLOOKUP(C672,Lookup!$P$5:$R$6,3,0),1,D672+1)</f>
        <v>#N/A</v>
      </c>
      <c r="E673" s="9" t="e">
        <f>IF(C673=Lookup!$P$5,INDEX('view-code'!$P$3:$P$502,'group-code'!D673),"")</f>
        <v>#N/A</v>
      </c>
      <c r="F673" s="9" t="e">
        <f>IF(C673=Lookup!$P$6,INDEX('card-code'!$P$3:$P$502,'group-code'!D673),"")</f>
        <v>#N/A</v>
      </c>
      <c r="G673" s="9" t="str">
        <f t="shared" si="20"/>
        <v/>
      </c>
      <c r="H673" s="9" t="str">
        <f>_xlfn.IFNA(IF(C673=Lookup!$Q$6,"END",""),"")</f>
        <v/>
      </c>
    </row>
    <row r="674" spans="2:8" x14ac:dyDescent="0.45">
      <c r="B674" s="9">
        <f t="shared" si="21"/>
        <v>669</v>
      </c>
      <c r="C674" s="9" t="e">
        <f>IF(D673=VLOOKUP(C673,Lookup!$P$5:$R$6,3,0),VLOOKUP(C673,Lookup!$P$5:$Q$6,2,0),C673)</f>
        <v>#N/A</v>
      </c>
      <c r="D674" s="22" t="e">
        <f>IF(D673=VLOOKUP(C673,Lookup!$P$5:$R$6,3,0),1,D673+1)</f>
        <v>#N/A</v>
      </c>
      <c r="E674" s="9" t="e">
        <f>IF(C674=Lookup!$P$5,INDEX('view-code'!$P$3:$P$502,'group-code'!D674),"")</f>
        <v>#N/A</v>
      </c>
      <c r="F674" s="9" t="e">
        <f>IF(C674=Lookup!$P$6,INDEX('card-code'!$P$3:$P$502,'group-code'!D674),"")</f>
        <v>#N/A</v>
      </c>
      <c r="G674" s="9" t="str">
        <f t="shared" si="20"/>
        <v/>
      </c>
      <c r="H674" s="9" t="str">
        <f>_xlfn.IFNA(IF(C674=Lookup!$Q$6,"END",""),"")</f>
        <v/>
      </c>
    </row>
    <row r="675" spans="2:8" x14ac:dyDescent="0.45">
      <c r="B675" s="9">
        <f t="shared" si="21"/>
        <v>670</v>
      </c>
      <c r="C675" s="9" t="e">
        <f>IF(D674=VLOOKUP(C674,Lookup!$P$5:$R$6,3,0),VLOOKUP(C674,Lookup!$P$5:$Q$6,2,0),C674)</f>
        <v>#N/A</v>
      </c>
      <c r="D675" s="22" t="e">
        <f>IF(D674=VLOOKUP(C674,Lookup!$P$5:$R$6,3,0),1,D674+1)</f>
        <v>#N/A</v>
      </c>
      <c r="E675" s="9" t="e">
        <f>IF(C675=Lookup!$P$5,INDEX('view-code'!$P$3:$P$502,'group-code'!D675),"")</f>
        <v>#N/A</v>
      </c>
      <c r="F675" s="9" t="e">
        <f>IF(C675=Lookup!$P$6,INDEX('card-code'!$P$3:$P$502,'group-code'!D675),"")</f>
        <v>#N/A</v>
      </c>
      <c r="G675" s="9" t="str">
        <f t="shared" si="20"/>
        <v/>
      </c>
      <c r="H675" s="9" t="str">
        <f>_xlfn.IFNA(IF(C675=Lookup!$Q$6,"END",""),"")</f>
        <v/>
      </c>
    </row>
    <row r="676" spans="2:8" x14ac:dyDescent="0.45">
      <c r="B676" s="9">
        <f t="shared" si="21"/>
        <v>671</v>
      </c>
      <c r="C676" s="9" t="e">
        <f>IF(D675=VLOOKUP(C675,Lookup!$P$5:$R$6,3,0),VLOOKUP(C675,Lookup!$P$5:$Q$6,2,0),C675)</f>
        <v>#N/A</v>
      </c>
      <c r="D676" s="22" t="e">
        <f>IF(D675=VLOOKUP(C675,Lookup!$P$5:$R$6,3,0),1,D675+1)</f>
        <v>#N/A</v>
      </c>
      <c r="E676" s="9" t="e">
        <f>IF(C676=Lookup!$P$5,INDEX('view-code'!$P$3:$P$502,'group-code'!D676),"")</f>
        <v>#N/A</v>
      </c>
      <c r="F676" s="9" t="e">
        <f>IF(C676=Lookup!$P$6,INDEX('card-code'!$P$3:$P$502,'group-code'!D676),"")</f>
        <v>#N/A</v>
      </c>
      <c r="G676" s="9" t="str">
        <f t="shared" si="20"/>
        <v/>
      </c>
      <c r="H676" s="9" t="str">
        <f>_xlfn.IFNA(IF(C676=Lookup!$Q$6,"END",""),"")</f>
        <v/>
      </c>
    </row>
    <row r="677" spans="2:8" x14ac:dyDescent="0.45">
      <c r="B677" s="9">
        <f t="shared" si="21"/>
        <v>672</v>
      </c>
      <c r="C677" s="9" t="e">
        <f>IF(D676=VLOOKUP(C676,Lookup!$P$5:$R$6,3,0),VLOOKUP(C676,Lookup!$P$5:$Q$6,2,0),C676)</f>
        <v>#N/A</v>
      </c>
      <c r="D677" s="22" t="e">
        <f>IF(D676=VLOOKUP(C676,Lookup!$P$5:$R$6,3,0),1,D676+1)</f>
        <v>#N/A</v>
      </c>
      <c r="E677" s="9" t="e">
        <f>IF(C677=Lookup!$P$5,INDEX('view-code'!$P$3:$P$502,'group-code'!D677),"")</f>
        <v>#N/A</v>
      </c>
      <c r="F677" s="9" t="e">
        <f>IF(C677=Lookup!$P$6,INDEX('card-code'!$P$3:$P$502,'group-code'!D677),"")</f>
        <v>#N/A</v>
      </c>
      <c r="G677" s="9" t="str">
        <f t="shared" si="20"/>
        <v/>
      </c>
      <c r="H677" s="9" t="str">
        <f>_xlfn.IFNA(IF(C677=Lookup!$Q$6,"END",""),"")</f>
        <v/>
      </c>
    </row>
    <row r="678" spans="2:8" x14ac:dyDescent="0.45">
      <c r="B678" s="9">
        <f t="shared" si="21"/>
        <v>673</v>
      </c>
      <c r="C678" s="9" t="e">
        <f>IF(D677=VLOOKUP(C677,Lookup!$P$5:$R$6,3,0),VLOOKUP(C677,Lookup!$P$5:$Q$6,2,0),C677)</f>
        <v>#N/A</v>
      </c>
      <c r="D678" s="22" t="e">
        <f>IF(D677=VLOOKUP(C677,Lookup!$P$5:$R$6,3,0),1,D677+1)</f>
        <v>#N/A</v>
      </c>
      <c r="E678" s="9" t="e">
        <f>IF(C678=Lookup!$P$5,INDEX('view-code'!$P$3:$P$502,'group-code'!D678),"")</f>
        <v>#N/A</v>
      </c>
      <c r="F678" s="9" t="e">
        <f>IF(C678=Lookup!$P$6,INDEX('card-code'!$P$3:$P$502,'group-code'!D678),"")</f>
        <v>#N/A</v>
      </c>
      <c r="G678" s="9" t="str">
        <f t="shared" si="20"/>
        <v/>
      </c>
      <c r="H678" s="9" t="str">
        <f>_xlfn.IFNA(IF(C678=Lookup!$Q$6,"END",""),"")</f>
        <v/>
      </c>
    </row>
    <row r="679" spans="2:8" x14ac:dyDescent="0.45">
      <c r="B679" s="9">
        <f t="shared" si="21"/>
        <v>674</v>
      </c>
      <c r="C679" s="9" t="e">
        <f>IF(D678=VLOOKUP(C678,Lookup!$P$5:$R$6,3,0),VLOOKUP(C678,Lookup!$P$5:$Q$6,2,0),C678)</f>
        <v>#N/A</v>
      </c>
      <c r="D679" s="22" t="e">
        <f>IF(D678=VLOOKUP(C678,Lookup!$P$5:$R$6,3,0),1,D678+1)</f>
        <v>#N/A</v>
      </c>
      <c r="E679" s="9" t="e">
        <f>IF(C679=Lookup!$P$5,INDEX('view-code'!$P$3:$P$502,'group-code'!D679),"")</f>
        <v>#N/A</v>
      </c>
      <c r="F679" s="9" t="e">
        <f>IF(C679=Lookup!$P$6,INDEX('card-code'!$P$3:$P$502,'group-code'!D679),"")</f>
        <v>#N/A</v>
      </c>
      <c r="G679" s="9" t="str">
        <f t="shared" si="20"/>
        <v/>
      </c>
      <c r="H679" s="9" t="str">
        <f>_xlfn.IFNA(IF(C679=Lookup!$Q$6,"END",""),"")</f>
        <v/>
      </c>
    </row>
    <row r="680" spans="2:8" x14ac:dyDescent="0.45">
      <c r="B680" s="9">
        <f t="shared" si="21"/>
        <v>675</v>
      </c>
      <c r="C680" s="9" t="e">
        <f>IF(D679=VLOOKUP(C679,Lookup!$P$5:$R$6,3,0),VLOOKUP(C679,Lookup!$P$5:$Q$6,2,0),C679)</f>
        <v>#N/A</v>
      </c>
      <c r="D680" s="22" t="e">
        <f>IF(D679=VLOOKUP(C679,Lookup!$P$5:$R$6,3,0),1,D679+1)</f>
        <v>#N/A</v>
      </c>
      <c r="E680" s="9" t="e">
        <f>IF(C680=Lookup!$P$5,INDEX('view-code'!$P$3:$P$502,'group-code'!D680),"")</f>
        <v>#N/A</v>
      </c>
      <c r="F680" s="9" t="e">
        <f>IF(C680=Lookup!$P$6,INDEX('card-code'!$P$3:$P$502,'group-code'!D680),"")</f>
        <v>#N/A</v>
      </c>
      <c r="G680" s="9" t="str">
        <f t="shared" si="20"/>
        <v/>
      </c>
      <c r="H680" s="9" t="str">
        <f>_xlfn.IFNA(IF(C680=Lookup!$Q$6,"END",""),"")</f>
        <v/>
      </c>
    </row>
    <row r="681" spans="2:8" x14ac:dyDescent="0.45">
      <c r="B681" s="9">
        <f t="shared" si="21"/>
        <v>676</v>
      </c>
      <c r="C681" s="9" t="e">
        <f>IF(D680=VLOOKUP(C680,Lookup!$P$5:$R$6,3,0),VLOOKUP(C680,Lookup!$P$5:$Q$6,2,0),C680)</f>
        <v>#N/A</v>
      </c>
      <c r="D681" s="22" t="e">
        <f>IF(D680=VLOOKUP(C680,Lookup!$P$5:$R$6,3,0),1,D680+1)</f>
        <v>#N/A</v>
      </c>
      <c r="E681" s="9" t="e">
        <f>IF(C681=Lookup!$P$5,INDEX('view-code'!$P$3:$P$502,'group-code'!D681),"")</f>
        <v>#N/A</v>
      </c>
      <c r="F681" s="9" t="e">
        <f>IF(C681=Lookup!$P$6,INDEX('card-code'!$P$3:$P$502,'group-code'!D681),"")</f>
        <v>#N/A</v>
      </c>
      <c r="G681" s="9" t="str">
        <f t="shared" si="20"/>
        <v/>
      </c>
      <c r="H681" s="9" t="str">
        <f>_xlfn.IFNA(IF(C681=Lookup!$Q$6,"END",""),"")</f>
        <v/>
      </c>
    </row>
    <row r="682" spans="2:8" x14ac:dyDescent="0.45">
      <c r="B682" s="9">
        <f t="shared" si="21"/>
        <v>677</v>
      </c>
      <c r="C682" s="9" t="e">
        <f>IF(D681=VLOOKUP(C681,Lookup!$P$5:$R$6,3,0),VLOOKUP(C681,Lookup!$P$5:$Q$6,2,0),C681)</f>
        <v>#N/A</v>
      </c>
      <c r="D682" s="22" t="e">
        <f>IF(D681=VLOOKUP(C681,Lookup!$P$5:$R$6,3,0),1,D681+1)</f>
        <v>#N/A</v>
      </c>
      <c r="E682" s="9" t="e">
        <f>IF(C682=Lookup!$P$5,INDEX('view-code'!$P$3:$P$502,'group-code'!D682),"")</f>
        <v>#N/A</v>
      </c>
      <c r="F682" s="9" t="e">
        <f>IF(C682=Lookup!$P$6,INDEX('card-code'!$P$3:$P$502,'group-code'!D682),"")</f>
        <v>#N/A</v>
      </c>
      <c r="G682" s="9" t="str">
        <f t="shared" si="20"/>
        <v/>
      </c>
      <c r="H682" s="9" t="str">
        <f>_xlfn.IFNA(IF(C682=Lookup!$Q$6,"END",""),"")</f>
        <v/>
      </c>
    </row>
    <row r="683" spans="2:8" x14ac:dyDescent="0.45">
      <c r="B683" s="9">
        <f t="shared" si="21"/>
        <v>678</v>
      </c>
      <c r="C683" s="9" t="e">
        <f>IF(D682=VLOOKUP(C682,Lookup!$P$5:$R$6,3,0),VLOOKUP(C682,Lookup!$P$5:$Q$6,2,0),C682)</f>
        <v>#N/A</v>
      </c>
      <c r="D683" s="22" t="e">
        <f>IF(D682=VLOOKUP(C682,Lookup!$P$5:$R$6,3,0),1,D682+1)</f>
        <v>#N/A</v>
      </c>
      <c r="E683" s="9" t="e">
        <f>IF(C683=Lookup!$P$5,INDEX('view-code'!$P$3:$P$502,'group-code'!D683),"")</f>
        <v>#N/A</v>
      </c>
      <c r="F683" s="9" t="e">
        <f>IF(C683=Lookup!$P$6,INDEX('card-code'!$P$3:$P$502,'group-code'!D683),"")</f>
        <v>#N/A</v>
      </c>
      <c r="G683" s="9" t="str">
        <f t="shared" si="20"/>
        <v/>
      </c>
      <c r="H683" s="9" t="str">
        <f>_xlfn.IFNA(IF(C683=Lookup!$Q$6,"END",""),"")</f>
        <v/>
      </c>
    </row>
    <row r="684" spans="2:8" x14ac:dyDescent="0.45">
      <c r="B684" s="9">
        <f t="shared" si="21"/>
        <v>679</v>
      </c>
      <c r="C684" s="9" t="e">
        <f>IF(D683=VLOOKUP(C683,Lookup!$P$5:$R$6,3,0),VLOOKUP(C683,Lookup!$P$5:$Q$6,2,0),C683)</f>
        <v>#N/A</v>
      </c>
      <c r="D684" s="22" t="e">
        <f>IF(D683=VLOOKUP(C683,Lookup!$P$5:$R$6,3,0),1,D683+1)</f>
        <v>#N/A</v>
      </c>
      <c r="E684" s="9" t="e">
        <f>IF(C684=Lookup!$P$5,INDEX('view-code'!$P$3:$P$502,'group-code'!D684),"")</f>
        <v>#N/A</v>
      </c>
      <c r="F684" s="9" t="e">
        <f>IF(C684=Lookup!$P$6,INDEX('card-code'!$P$3:$P$502,'group-code'!D684),"")</f>
        <v>#N/A</v>
      </c>
      <c r="G684" s="9" t="str">
        <f t="shared" si="20"/>
        <v/>
      </c>
      <c r="H684" s="9" t="str">
        <f>_xlfn.IFNA(IF(C684=Lookup!$Q$6,"END",""),"")</f>
        <v/>
      </c>
    </row>
    <row r="685" spans="2:8" x14ac:dyDescent="0.45">
      <c r="B685" s="9">
        <f t="shared" si="21"/>
        <v>680</v>
      </c>
      <c r="C685" s="9" t="e">
        <f>IF(D684=VLOOKUP(C684,Lookup!$P$5:$R$6,3,0),VLOOKUP(C684,Lookup!$P$5:$Q$6,2,0),C684)</f>
        <v>#N/A</v>
      </c>
      <c r="D685" s="22" t="e">
        <f>IF(D684=VLOOKUP(C684,Lookup!$P$5:$R$6,3,0),1,D684+1)</f>
        <v>#N/A</v>
      </c>
      <c r="E685" s="9" t="e">
        <f>IF(C685=Lookup!$P$5,INDEX('view-code'!$P$3:$P$502,'group-code'!D685),"")</f>
        <v>#N/A</v>
      </c>
      <c r="F685" s="9" t="e">
        <f>IF(C685=Lookup!$P$6,INDEX('card-code'!$P$3:$P$502,'group-code'!D685),"")</f>
        <v>#N/A</v>
      </c>
      <c r="G685" s="9" t="str">
        <f t="shared" si="20"/>
        <v/>
      </c>
      <c r="H685" s="9" t="str">
        <f>_xlfn.IFNA(IF(C685=Lookup!$Q$6,"END",""),"")</f>
        <v/>
      </c>
    </row>
    <row r="686" spans="2:8" x14ac:dyDescent="0.45">
      <c r="B686" s="9">
        <f t="shared" si="21"/>
        <v>681</v>
      </c>
      <c r="C686" s="9" t="e">
        <f>IF(D685=VLOOKUP(C685,Lookup!$P$5:$R$6,3,0),VLOOKUP(C685,Lookup!$P$5:$Q$6,2,0),C685)</f>
        <v>#N/A</v>
      </c>
      <c r="D686" s="22" t="e">
        <f>IF(D685=VLOOKUP(C685,Lookup!$P$5:$R$6,3,0),1,D685+1)</f>
        <v>#N/A</v>
      </c>
      <c r="E686" s="9" t="e">
        <f>IF(C686=Lookup!$P$5,INDEX('view-code'!$P$3:$P$502,'group-code'!D686),"")</f>
        <v>#N/A</v>
      </c>
      <c r="F686" s="9" t="e">
        <f>IF(C686=Lookup!$P$6,INDEX('card-code'!$P$3:$P$502,'group-code'!D686),"")</f>
        <v>#N/A</v>
      </c>
      <c r="G686" s="9" t="str">
        <f t="shared" si="20"/>
        <v/>
      </c>
      <c r="H686" s="9" t="str">
        <f>_xlfn.IFNA(IF(C686=Lookup!$Q$6,"END",""),"")</f>
        <v/>
      </c>
    </row>
    <row r="687" spans="2:8" x14ac:dyDescent="0.45">
      <c r="B687" s="9">
        <f t="shared" si="21"/>
        <v>682</v>
      </c>
      <c r="C687" s="9" t="e">
        <f>IF(D686=VLOOKUP(C686,Lookup!$P$5:$R$6,3,0),VLOOKUP(C686,Lookup!$P$5:$Q$6,2,0),C686)</f>
        <v>#N/A</v>
      </c>
      <c r="D687" s="22" t="e">
        <f>IF(D686=VLOOKUP(C686,Lookup!$P$5:$R$6,3,0),1,D686+1)</f>
        <v>#N/A</v>
      </c>
      <c r="E687" s="9" t="e">
        <f>IF(C687=Lookup!$P$5,INDEX('view-code'!$P$3:$P$502,'group-code'!D687),"")</f>
        <v>#N/A</v>
      </c>
      <c r="F687" s="9" t="e">
        <f>IF(C687=Lookup!$P$6,INDEX('card-code'!$P$3:$P$502,'group-code'!D687),"")</f>
        <v>#N/A</v>
      </c>
      <c r="G687" s="9" t="str">
        <f t="shared" si="20"/>
        <v/>
      </c>
      <c r="H687" s="9" t="str">
        <f>_xlfn.IFNA(IF(C687=Lookup!$Q$6,"END",""),"")</f>
        <v/>
      </c>
    </row>
    <row r="688" spans="2:8" x14ac:dyDescent="0.45">
      <c r="B688" s="9">
        <f t="shared" si="21"/>
        <v>683</v>
      </c>
      <c r="C688" s="9" t="e">
        <f>IF(D687=VLOOKUP(C687,Lookup!$P$5:$R$6,3,0),VLOOKUP(C687,Lookup!$P$5:$Q$6,2,0),C687)</f>
        <v>#N/A</v>
      </c>
      <c r="D688" s="22" t="e">
        <f>IF(D687=VLOOKUP(C687,Lookup!$P$5:$R$6,3,0),1,D687+1)</f>
        <v>#N/A</v>
      </c>
      <c r="E688" s="9" t="e">
        <f>IF(C688=Lookup!$P$5,INDEX('view-code'!$P$3:$P$502,'group-code'!D688),"")</f>
        <v>#N/A</v>
      </c>
      <c r="F688" s="9" t="e">
        <f>IF(C688=Lookup!$P$6,INDEX('card-code'!$P$3:$P$502,'group-code'!D688),"")</f>
        <v>#N/A</v>
      </c>
      <c r="G688" s="9" t="str">
        <f t="shared" si="20"/>
        <v/>
      </c>
      <c r="H688" s="9" t="str">
        <f>_xlfn.IFNA(IF(C688=Lookup!$Q$6,"END",""),"")</f>
        <v/>
      </c>
    </row>
    <row r="689" spans="2:8" x14ac:dyDescent="0.45">
      <c r="B689" s="9">
        <f t="shared" si="21"/>
        <v>684</v>
      </c>
      <c r="C689" s="9" t="e">
        <f>IF(D688=VLOOKUP(C688,Lookup!$P$5:$R$6,3,0),VLOOKUP(C688,Lookup!$P$5:$Q$6,2,0),C688)</f>
        <v>#N/A</v>
      </c>
      <c r="D689" s="22" t="e">
        <f>IF(D688=VLOOKUP(C688,Lookup!$P$5:$R$6,3,0),1,D688+1)</f>
        <v>#N/A</v>
      </c>
      <c r="E689" s="9" t="e">
        <f>IF(C689=Lookup!$P$5,INDEX('view-code'!$P$3:$P$502,'group-code'!D689),"")</f>
        <v>#N/A</v>
      </c>
      <c r="F689" s="9" t="e">
        <f>IF(C689=Lookup!$P$6,INDEX('card-code'!$P$3:$P$502,'group-code'!D689),"")</f>
        <v>#N/A</v>
      </c>
      <c r="G689" s="9" t="str">
        <f t="shared" si="20"/>
        <v/>
      </c>
      <c r="H689" s="9" t="str">
        <f>_xlfn.IFNA(IF(C689=Lookup!$Q$6,"END",""),"")</f>
        <v/>
      </c>
    </row>
    <row r="690" spans="2:8" x14ac:dyDescent="0.45">
      <c r="B690" s="9">
        <f t="shared" si="21"/>
        <v>685</v>
      </c>
      <c r="C690" s="9" t="e">
        <f>IF(D689=VLOOKUP(C689,Lookup!$P$5:$R$6,3,0),VLOOKUP(C689,Lookup!$P$5:$Q$6,2,0),C689)</f>
        <v>#N/A</v>
      </c>
      <c r="D690" s="22" t="e">
        <f>IF(D689=VLOOKUP(C689,Lookup!$P$5:$R$6,3,0),1,D689+1)</f>
        <v>#N/A</v>
      </c>
      <c r="E690" s="9" t="e">
        <f>IF(C690=Lookup!$P$5,INDEX('view-code'!$P$3:$P$502,'group-code'!D690),"")</f>
        <v>#N/A</v>
      </c>
      <c r="F690" s="9" t="e">
        <f>IF(C690=Lookup!$P$6,INDEX('card-code'!$P$3:$P$502,'group-code'!D690),"")</f>
        <v>#N/A</v>
      </c>
      <c r="G690" s="9" t="str">
        <f t="shared" si="20"/>
        <v/>
      </c>
      <c r="H690" s="9" t="str">
        <f>_xlfn.IFNA(IF(C690=Lookup!$Q$6,"END",""),"")</f>
        <v/>
      </c>
    </row>
    <row r="691" spans="2:8" x14ac:dyDescent="0.45">
      <c r="B691" s="9">
        <f t="shared" si="21"/>
        <v>686</v>
      </c>
      <c r="C691" s="9" t="e">
        <f>IF(D690=VLOOKUP(C690,Lookup!$P$5:$R$6,3,0),VLOOKUP(C690,Lookup!$P$5:$Q$6,2,0),C690)</f>
        <v>#N/A</v>
      </c>
      <c r="D691" s="22" t="e">
        <f>IF(D690=VLOOKUP(C690,Lookup!$P$5:$R$6,3,0),1,D690+1)</f>
        <v>#N/A</v>
      </c>
      <c r="E691" s="9" t="e">
        <f>IF(C691=Lookup!$P$5,INDEX('view-code'!$P$3:$P$502,'group-code'!D691),"")</f>
        <v>#N/A</v>
      </c>
      <c r="F691" s="9" t="e">
        <f>IF(C691=Lookup!$P$6,INDEX('card-code'!$P$3:$P$502,'group-code'!D691),"")</f>
        <v>#N/A</v>
      </c>
      <c r="G691" s="9" t="str">
        <f t="shared" si="20"/>
        <v/>
      </c>
      <c r="H691" s="9" t="str">
        <f>_xlfn.IFNA(IF(C691=Lookup!$Q$6,"END",""),"")</f>
        <v/>
      </c>
    </row>
    <row r="692" spans="2:8" x14ac:dyDescent="0.45">
      <c r="B692" s="9">
        <f t="shared" si="21"/>
        <v>687</v>
      </c>
      <c r="C692" s="9" t="e">
        <f>IF(D691=VLOOKUP(C691,Lookup!$P$5:$R$6,3,0),VLOOKUP(C691,Lookup!$P$5:$Q$6,2,0),C691)</f>
        <v>#N/A</v>
      </c>
      <c r="D692" s="22" t="e">
        <f>IF(D691=VLOOKUP(C691,Lookup!$P$5:$R$6,3,0),1,D691+1)</f>
        <v>#N/A</v>
      </c>
      <c r="E692" s="9" t="e">
        <f>IF(C692=Lookup!$P$5,INDEX('view-code'!$P$3:$P$502,'group-code'!D692),"")</f>
        <v>#N/A</v>
      </c>
      <c r="F692" s="9" t="e">
        <f>IF(C692=Lookup!$P$6,INDEX('card-code'!$P$3:$P$502,'group-code'!D692),"")</f>
        <v>#N/A</v>
      </c>
      <c r="G692" s="9" t="str">
        <f t="shared" si="20"/>
        <v/>
      </c>
      <c r="H692" s="9" t="str">
        <f>_xlfn.IFNA(IF(C692=Lookup!$Q$6,"END",""),"")</f>
        <v/>
      </c>
    </row>
    <row r="693" spans="2:8" x14ac:dyDescent="0.45">
      <c r="B693" s="9">
        <f t="shared" si="21"/>
        <v>688</v>
      </c>
      <c r="C693" s="9" t="e">
        <f>IF(D692=VLOOKUP(C692,Lookup!$P$5:$R$6,3,0),VLOOKUP(C692,Lookup!$P$5:$Q$6,2,0),C692)</f>
        <v>#N/A</v>
      </c>
      <c r="D693" s="22" t="e">
        <f>IF(D692=VLOOKUP(C692,Lookup!$P$5:$R$6,3,0),1,D692+1)</f>
        <v>#N/A</v>
      </c>
      <c r="E693" s="9" t="e">
        <f>IF(C693=Lookup!$P$5,INDEX('view-code'!$P$3:$P$502,'group-code'!D693),"")</f>
        <v>#N/A</v>
      </c>
      <c r="F693" s="9" t="e">
        <f>IF(C693=Lookup!$P$6,INDEX('card-code'!$P$3:$P$502,'group-code'!D693),"")</f>
        <v>#N/A</v>
      </c>
      <c r="G693" s="9" t="str">
        <f t="shared" si="20"/>
        <v/>
      </c>
      <c r="H693" s="9" t="str">
        <f>_xlfn.IFNA(IF(C693=Lookup!$Q$6,"END",""),"")</f>
        <v/>
      </c>
    </row>
    <row r="694" spans="2:8" x14ac:dyDescent="0.45">
      <c r="B694" s="9">
        <f t="shared" si="21"/>
        <v>689</v>
      </c>
      <c r="C694" s="9" t="e">
        <f>IF(D693=VLOOKUP(C693,Lookup!$P$5:$R$6,3,0),VLOOKUP(C693,Lookup!$P$5:$Q$6,2,0),C693)</f>
        <v>#N/A</v>
      </c>
      <c r="D694" s="22" t="e">
        <f>IF(D693=VLOOKUP(C693,Lookup!$P$5:$R$6,3,0),1,D693+1)</f>
        <v>#N/A</v>
      </c>
      <c r="E694" s="9" t="e">
        <f>IF(C694=Lookup!$P$5,INDEX('view-code'!$P$3:$P$502,'group-code'!D694),"")</f>
        <v>#N/A</v>
      </c>
      <c r="F694" s="9" t="e">
        <f>IF(C694=Lookup!$P$6,INDEX('card-code'!$P$3:$P$502,'group-code'!D694),"")</f>
        <v>#N/A</v>
      </c>
      <c r="G694" s="9" t="str">
        <f t="shared" si="20"/>
        <v/>
      </c>
      <c r="H694" s="9" t="str">
        <f>_xlfn.IFNA(IF(C694=Lookup!$Q$6,"END",""),"")</f>
        <v/>
      </c>
    </row>
    <row r="695" spans="2:8" x14ac:dyDescent="0.45">
      <c r="B695" s="9">
        <f t="shared" si="21"/>
        <v>690</v>
      </c>
      <c r="C695" s="9" t="e">
        <f>IF(D694=VLOOKUP(C694,Lookup!$P$5:$R$6,3,0),VLOOKUP(C694,Lookup!$P$5:$Q$6,2,0),C694)</f>
        <v>#N/A</v>
      </c>
      <c r="D695" s="22" t="e">
        <f>IF(D694=VLOOKUP(C694,Lookup!$P$5:$R$6,3,0),1,D694+1)</f>
        <v>#N/A</v>
      </c>
      <c r="E695" s="9" t="e">
        <f>IF(C695=Lookup!$P$5,INDEX('view-code'!$P$3:$P$502,'group-code'!D695),"")</f>
        <v>#N/A</v>
      </c>
      <c r="F695" s="9" t="e">
        <f>IF(C695=Lookup!$P$6,INDEX('card-code'!$P$3:$P$502,'group-code'!D695),"")</f>
        <v>#N/A</v>
      </c>
      <c r="G695" s="9" t="str">
        <f t="shared" si="20"/>
        <v/>
      </c>
      <c r="H695" s="9" t="str">
        <f>_xlfn.IFNA(IF(C695=Lookup!$Q$6,"END",""),"")</f>
        <v/>
      </c>
    </row>
    <row r="696" spans="2:8" x14ac:dyDescent="0.45">
      <c r="B696" s="9">
        <f t="shared" si="21"/>
        <v>691</v>
      </c>
      <c r="C696" s="9" t="e">
        <f>IF(D695=VLOOKUP(C695,Lookup!$P$5:$R$6,3,0),VLOOKUP(C695,Lookup!$P$5:$Q$6,2,0),C695)</f>
        <v>#N/A</v>
      </c>
      <c r="D696" s="22" t="e">
        <f>IF(D695=VLOOKUP(C695,Lookup!$P$5:$R$6,3,0),1,D695+1)</f>
        <v>#N/A</v>
      </c>
      <c r="E696" s="9" t="e">
        <f>IF(C696=Lookup!$P$5,INDEX('view-code'!$P$3:$P$502,'group-code'!D696),"")</f>
        <v>#N/A</v>
      </c>
      <c r="F696" s="9" t="e">
        <f>IF(C696=Lookup!$P$6,INDEX('card-code'!$P$3:$P$502,'group-code'!D696),"")</f>
        <v>#N/A</v>
      </c>
      <c r="G696" s="9" t="str">
        <f t="shared" si="20"/>
        <v/>
      </c>
      <c r="H696" s="9" t="str">
        <f>_xlfn.IFNA(IF(C696=Lookup!$Q$6,"END",""),"")</f>
        <v/>
      </c>
    </row>
    <row r="697" spans="2:8" x14ac:dyDescent="0.45">
      <c r="B697" s="9">
        <f t="shared" si="21"/>
        <v>692</v>
      </c>
      <c r="C697" s="9" t="e">
        <f>IF(D696=VLOOKUP(C696,Lookup!$P$5:$R$6,3,0),VLOOKUP(C696,Lookup!$P$5:$Q$6,2,0),C696)</f>
        <v>#N/A</v>
      </c>
      <c r="D697" s="22" t="e">
        <f>IF(D696=VLOOKUP(C696,Lookup!$P$5:$R$6,3,0),1,D696+1)</f>
        <v>#N/A</v>
      </c>
      <c r="E697" s="9" t="e">
        <f>IF(C697=Lookup!$P$5,INDEX('view-code'!$P$3:$P$502,'group-code'!D697),"")</f>
        <v>#N/A</v>
      </c>
      <c r="F697" s="9" t="e">
        <f>IF(C697=Lookup!$P$6,INDEX('card-code'!$P$3:$P$502,'group-code'!D697),"")</f>
        <v>#N/A</v>
      </c>
      <c r="G697" s="9" t="str">
        <f t="shared" si="20"/>
        <v/>
      </c>
      <c r="H697" s="9" t="str">
        <f>_xlfn.IFNA(IF(C697=Lookup!$Q$6,"END",""),"")</f>
        <v/>
      </c>
    </row>
    <row r="698" spans="2:8" x14ac:dyDescent="0.45">
      <c r="B698" s="9">
        <f t="shared" si="21"/>
        <v>693</v>
      </c>
      <c r="C698" s="9" t="e">
        <f>IF(D697=VLOOKUP(C697,Lookup!$P$5:$R$6,3,0),VLOOKUP(C697,Lookup!$P$5:$Q$6,2,0),C697)</f>
        <v>#N/A</v>
      </c>
      <c r="D698" s="22" t="e">
        <f>IF(D697=VLOOKUP(C697,Lookup!$P$5:$R$6,3,0),1,D697+1)</f>
        <v>#N/A</v>
      </c>
      <c r="E698" s="9" t="e">
        <f>IF(C698=Lookup!$P$5,INDEX('view-code'!$P$3:$P$502,'group-code'!D698),"")</f>
        <v>#N/A</v>
      </c>
      <c r="F698" s="9" t="e">
        <f>IF(C698=Lookup!$P$6,INDEX('card-code'!$P$3:$P$502,'group-code'!D698),"")</f>
        <v>#N/A</v>
      </c>
      <c r="G698" s="9" t="str">
        <f t="shared" ref="G698:G761" si="22">_xlfn.IFNA(  E698&amp;F698,  "")</f>
        <v/>
      </c>
      <c r="H698" s="9" t="str">
        <f>_xlfn.IFNA(IF(C698=Lookup!$Q$6,"END",""),"")</f>
        <v/>
      </c>
    </row>
    <row r="699" spans="2:8" x14ac:dyDescent="0.45">
      <c r="B699" s="9">
        <f t="shared" si="21"/>
        <v>694</v>
      </c>
      <c r="C699" s="9" t="e">
        <f>IF(D698=VLOOKUP(C698,Lookup!$P$5:$R$6,3,0),VLOOKUP(C698,Lookup!$P$5:$Q$6,2,0),C698)</f>
        <v>#N/A</v>
      </c>
      <c r="D699" s="22" t="e">
        <f>IF(D698=VLOOKUP(C698,Lookup!$P$5:$R$6,3,0),1,D698+1)</f>
        <v>#N/A</v>
      </c>
      <c r="E699" s="9" t="e">
        <f>IF(C699=Lookup!$P$5,INDEX('view-code'!$P$3:$P$502,'group-code'!D699),"")</f>
        <v>#N/A</v>
      </c>
      <c r="F699" s="9" t="e">
        <f>IF(C699=Lookup!$P$6,INDEX('card-code'!$P$3:$P$502,'group-code'!D699),"")</f>
        <v>#N/A</v>
      </c>
      <c r="G699" s="9" t="str">
        <f t="shared" si="22"/>
        <v/>
      </c>
      <c r="H699" s="9" t="str">
        <f>_xlfn.IFNA(IF(C699=Lookup!$Q$6,"END",""),"")</f>
        <v/>
      </c>
    </row>
    <row r="700" spans="2:8" x14ac:dyDescent="0.45">
      <c r="B700" s="9">
        <f t="shared" si="21"/>
        <v>695</v>
      </c>
      <c r="C700" s="9" t="e">
        <f>IF(D699=VLOOKUP(C699,Lookup!$P$5:$R$6,3,0),VLOOKUP(C699,Lookup!$P$5:$Q$6,2,0),C699)</f>
        <v>#N/A</v>
      </c>
      <c r="D700" s="22" t="e">
        <f>IF(D699=VLOOKUP(C699,Lookup!$P$5:$R$6,3,0),1,D699+1)</f>
        <v>#N/A</v>
      </c>
      <c r="E700" s="9" t="e">
        <f>IF(C700=Lookup!$P$5,INDEX('view-code'!$P$3:$P$502,'group-code'!D700),"")</f>
        <v>#N/A</v>
      </c>
      <c r="F700" s="9" t="e">
        <f>IF(C700=Lookup!$P$6,INDEX('card-code'!$P$3:$P$502,'group-code'!D700),"")</f>
        <v>#N/A</v>
      </c>
      <c r="G700" s="9" t="str">
        <f t="shared" si="22"/>
        <v/>
      </c>
      <c r="H700" s="9" t="str">
        <f>_xlfn.IFNA(IF(C700=Lookup!$Q$6,"END",""),"")</f>
        <v/>
      </c>
    </row>
    <row r="701" spans="2:8" x14ac:dyDescent="0.45">
      <c r="B701" s="9">
        <f t="shared" si="21"/>
        <v>696</v>
      </c>
      <c r="C701" s="9" t="e">
        <f>IF(D700=VLOOKUP(C700,Lookup!$P$5:$R$6,3,0),VLOOKUP(C700,Lookup!$P$5:$Q$6,2,0),C700)</f>
        <v>#N/A</v>
      </c>
      <c r="D701" s="22" t="e">
        <f>IF(D700=VLOOKUP(C700,Lookup!$P$5:$R$6,3,0),1,D700+1)</f>
        <v>#N/A</v>
      </c>
      <c r="E701" s="9" t="e">
        <f>IF(C701=Lookup!$P$5,INDEX('view-code'!$P$3:$P$502,'group-code'!D701),"")</f>
        <v>#N/A</v>
      </c>
      <c r="F701" s="9" t="e">
        <f>IF(C701=Lookup!$P$6,INDEX('card-code'!$P$3:$P$502,'group-code'!D701),"")</f>
        <v>#N/A</v>
      </c>
      <c r="G701" s="9" t="str">
        <f t="shared" si="22"/>
        <v/>
      </c>
      <c r="H701" s="9" t="str">
        <f>_xlfn.IFNA(IF(C701=Lookup!$Q$6,"END",""),"")</f>
        <v/>
      </c>
    </row>
    <row r="702" spans="2:8" x14ac:dyDescent="0.45">
      <c r="B702" s="9">
        <f t="shared" si="21"/>
        <v>697</v>
      </c>
      <c r="C702" s="9" t="e">
        <f>IF(D701=VLOOKUP(C701,Lookup!$P$5:$R$6,3,0),VLOOKUP(C701,Lookup!$P$5:$Q$6,2,0),C701)</f>
        <v>#N/A</v>
      </c>
      <c r="D702" s="22" t="e">
        <f>IF(D701=VLOOKUP(C701,Lookup!$P$5:$R$6,3,0),1,D701+1)</f>
        <v>#N/A</v>
      </c>
      <c r="E702" s="9" t="e">
        <f>IF(C702=Lookup!$P$5,INDEX('view-code'!$P$3:$P$502,'group-code'!D702),"")</f>
        <v>#N/A</v>
      </c>
      <c r="F702" s="9" t="e">
        <f>IF(C702=Lookup!$P$6,INDEX('card-code'!$P$3:$P$502,'group-code'!D702),"")</f>
        <v>#N/A</v>
      </c>
      <c r="G702" s="9" t="str">
        <f t="shared" si="22"/>
        <v/>
      </c>
      <c r="H702" s="9" t="str">
        <f>_xlfn.IFNA(IF(C702=Lookup!$Q$6,"END",""),"")</f>
        <v/>
      </c>
    </row>
    <row r="703" spans="2:8" x14ac:dyDescent="0.45">
      <c r="B703" s="9">
        <f t="shared" si="21"/>
        <v>698</v>
      </c>
      <c r="C703" s="9" t="e">
        <f>IF(D702=VLOOKUP(C702,Lookup!$P$5:$R$6,3,0),VLOOKUP(C702,Lookup!$P$5:$Q$6,2,0),C702)</f>
        <v>#N/A</v>
      </c>
      <c r="D703" s="22" t="e">
        <f>IF(D702=VLOOKUP(C702,Lookup!$P$5:$R$6,3,0),1,D702+1)</f>
        <v>#N/A</v>
      </c>
      <c r="E703" s="9" t="e">
        <f>IF(C703=Lookup!$P$5,INDEX('view-code'!$P$3:$P$502,'group-code'!D703),"")</f>
        <v>#N/A</v>
      </c>
      <c r="F703" s="9" t="e">
        <f>IF(C703=Lookup!$P$6,INDEX('card-code'!$P$3:$P$502,'group-code'!D703),"")</f>
        <v>#N/A</v>
      </c>
      <c r="G703" s="9" t="str">
        <f t="shared" si="22"/>
        <v/>
      </c>
      <c r="H703" s="9" t="str">
        <f>_xlfn.IFNA(IF(C703=Lookup!$Q$6,"END",""),"")</f>
        <v/>
      </c>
    </row>
    <row r="704" spans="2:8" x14ac:dyDescent="0.45">
      <c r="B704" s="9">
        <f t="shared" si="21"/>
        <v>699</v>
      </c>
      <c r="C704" s="9" t="e">
        <f>IF(D703=VLOOKUP(C703,Lookup!$P$5:$R$6,3,0),VLOOKUP(C703,Lookup!$P$5:$Q$6,2,0),C703)</f>
        <v>#N/A</v>
      </c>
      <c r="D704" s="22" t="e">
        <f>IF(D703=VLOOKUP(C703,Lookup!$P$5:$R$6,3,0),1,D703+1)</f>
        <v>#N/A</v>
      </c>
      <c r="E704" s="9" t="e">
        <f>IF(C704=Lookup!$P$5,INDEX('view-code'!$P$3:$P$502,'group-code'!D704),"")</f>
        <v>#N/A</v>
      </c>
      <c r="F704" s="9" t="e">
        <f>IF(C704=Lookup!$P$6,INDEX('card-code'!$P$3:$P$502,'group-code'!D704),"")</f>
        <v>#N/A</v>
      </c>
      <c r="G704" s="9" t="str">
        <f t="shared" si="22"/>
        <v/>
      </c>
      <c r="H704" s="9" t="str">
        <f>_xlfn.IFNA(IF(C704=Lookup!$Q$6,"END",""),"")</f>
        <v/>
      </c>
    </row>
    <row r="705" spans="2:8" x14ac:dyDescent="0.45">
      <c r="B705" s="9">
        <f t="shared" si="21"/>
        <v>700</v>
      </c>
      <c r="C705" s="9" t="e">
        <f>IF(D704=VLOOKUP(C704,Lookup!$P$5:$R$6,3,0),VLOOKUP(C704,Lookup!$P$5:$Q$6,2,0),C704)</f>
        <v>#N/A</v>
      </c>
      <c r="D705" s="22" t="e">
        <f>IF(D704=VLOOKUP(C704,Lookup!$P$5:$R$6,3,0),1,D704+1)</f>
        <v>#N/A</v>
      </c>
      <c r="E705" s="9" t="e">
        <f>IF(C705=Lookup!$P$5,INDEX('view-code'!$P$3:$P$502,'group-code'!D705),"")</f>
        <v>#N/A</v>
      </c>
      <c r="F705" s="9" t="e">
        <f>IF(C705=Lookup!$P$6,INDEX('card-code'!$P$3:$P$502,'group-code'!D705),"")</f>
        <v>#N/A</v>
      </c>
      <c r="G705" s="9" t="str">
        <f t="shared" si="22"/>
        <v/>
      </c>
      <c r="H705" s="9" t="str">
        <f>_xlfn.IFNA(IF(C705=Lookup!$Q$6,"END",""),"")</f>
        <v/>
      </c>
    </row>
    <row r="706" spans="2:8" x14ac:dyDescent="0.45">
      <c r="B706" s="9">
        <f t="shared" si="21"/>
        <v>701</v>
      </c>
      <c r="C706" s="9" t="e">
        <f>IF(D705=VLOOKUP(C705,Lookup!$P$5:$R$6,3,0),VLOOKUP(C705,Lookup!$P$5:$Q$6,2,0),C705)</f>
        <v>#N/A</v>
      </c>
      <c r="D706" s="22" t="e">
        <f>IF(D705=VLOOKUP(C705,Lookup!$P$5:$R$6,3,0),1,D705+1)</f>
        <v>#N/A</v>
      </c>
      <c r="E706" s="9" t="e">
        <f>IF(C706=Lookup!$P$5,INDEX('view-code'!$P$3:$P$502,'group-code'!D706),"")</f>
        <v>#N/A</v>
      </c>
      <c r="F706" s="9" t="e">
        <f>IF(C706=Lookup!$P$6,INDEX('card-code'!$P$3:$P$502,'group-code'!D706),"")</f>
        <v>#N/A</v>
      </c>
      <c r="G706" s="9" t="str">
        <f t="shared" si="22"/>
        <v/>
      </c>
      <c r="H706" s="9" t="str">
        <f>_xlfn.IFNA(IF(C706=Lookup!$Q$6,"END",""),"")</f>
        <v/>
      </c>
    </row>
    <row r="707" spans="2:8" x14ac:dyDescent="0.45">
      <c r="B707" s="9">
        <f t="shared" si="21"/>
        <v>702</v>
      </c>
      <c r="C707" s="9" t="e">
        <f>IF(D706=VLOOKUP(C706,Lookup!$P$5:$R$6,3,0),VLOOKUP(C706,Lookup!$P$5:$Q$6,2,0),C706)</f>
        <v>#N/A</v>
      </c>
      <c r="D707" s="22" t="e">
        <f>IF(D706=VLOOKUP(C706,Lookup!$P$5:$R$6,3,0),1,D706+1)</f>
        <v>#N/A</v>
      </c>
      <c r="E707" s="9" t="e">
        <f>IF(C707=Lookup!$P$5,INDEX('view-code'!$P$3:$P$502,'group-code'!D707),"")</f>
        <v>#N/A</v>
      </c>
      <c r="F707" s="9" t="e">
        <f>IF(C707=Lookup!$P$6,INDEX('card-code'!$P$3:$P$502,'group-code'!D707),"")</f>
        <v>#N/A</v>
      </c>
      <c r="G707" s="9" t="str">
        <f t="shared" si="22"/>
        <v/>
      </c>
      <c r="H707" s="9" t="str">
        <f>_xlfn.IFNA(IF(C707=Lookup!$Q$6,"END",""),"")</f>
        <v/>
      </c>
    </row>
    <row r="708" spans="2:8" x14ac:dyDescent="0.45">
      <c r="B708" s="9">
        <f t="shared" si="21"/>
        <v>703</v>
      </c>
      <c r="C708" s="9" t="e">
        <f>IF(D707=VLOOKUP(C707,Lookup!$P$5:$R$6,3,0),VLOOKUP(C707,Lookup!$P$5:$Q$6,2,0),C707)</f>
        <v>#N/A</v>
      </c>
      <c r="D708" s="22" t="e">
        <f>IF(D707=VLOOKUP(C707,Lookup!$P$5:$R$6,3,0),1,D707+1)</f>
        <v>#N/A</v>
      </c>
      <c r="E708" s="9" t="e">
        <f>IF(C708=Lookup!$P$5,INDEX('view-code'!$P$3:$P$502,'group-code'!D708),"")</f>
        <v>#N/A</v>
      </c>
      <c r="F708" s="9" t="e">
        <f>IF(C708=Lookup!$P$6,INDEX('card-code'!$P$3:$P$502,'group-code'!D708),"")</f>
        <v>#N/A</v>
      </c>
      <c r="G708" s="9" t="str">
        <f t="shared" si="22"/>
        <v/>
      </c>
      <c r="H708" s="9" t="str">
        <f>_xlfn.IFNA(IF(C708=Lookup!$Q$6,"END",""),"")</f>
        <v/>
      </c>
    </row>
    <row r="709" spans="2:8" x14ac:dyDescent="0.45">
      <c r="B709" s="9">
        <f t="shared" si="21"/>
        <v>704</v>
      </c>
      <c r="C709" s="9" t="e">
        <f>IF(D708=VLOOKUP(C708,Lookup!$P$5:$R$6,3,0),VLOOKUP(C708,Lookup!$P$5:$Q$6,2,0),C708)</f>
        <v>#N/A</v>
      </c>
      <c r="D709" s="22" t="e">
        <f>IF(D708=VLOOKUP(C708,Lookup!$P$5:$R$6,3,0),1,D708+1)</f>
        <v>#N/A</v>
      </c>
      <c r="E709" s="9" t="e">
        <f>IF(C709=Lookup!$P$5,INDEX('view-code'!$P$3:$P$502,'group-code'!D709),"")</f>
        <v>#N/A</v>
      </c>
      <c r="F709" s="9" t="e">
        <f>IF(C709=Lookup!$P$6,INDEX('card-code'!$P$3:$P$502,'group-code'!D709),"")</f>
        <v>#N/A</v>
      </c>
      <c r="G709" s="9" t="str">
        <f t="shared" si="22"/>
        <v/>
      </c>
      <c r="H709" s="9" t="str">
        <f>_xlfn.IFNA(IF(C709=Lookup!$Q$6,"END",""),"")</f>
        <v/>
      </c>
    </row>
    <row r="710" spans="2:8" x14ac:dyDescent="0.45">
      <c r="B710" s="9">
        <f t="shared" si="21"/>
        <v>705</v>
      </c>
      <c r="C710" s="9" t="e">
        <f>IF(D709=VLOOKUP(C709,Lookup!$P$5:$R$6,3,0),VLOOKUP(C709,Lookup!$P$5:$Q$6,2,0),C709)</f>
        <v>#N/A</v>
      </c>
      <c r="D710" s="22" t="e">
        <f>IF(D709=VLOOKUP(C709,Lookup!$P$5:$R$6,3,0),1,D709+1)</f>
        <v>#N/A</v>
      </c>
      <c r="E710" s="9" t="e">
        <f>IF(C710=Lookup!$P$5,INDEX('view-code'!$P$3:$P$502,'group-code'!D710),"")</f>
        <v>#N/A</v>
      </c>
      <c r="F710" s="9" t="e">
        <f>IF(C710=Lookup!$P$6,INDEX('card-code'!$P$3:$P$502,'group-code'!D710),"")</f>
        <v>#N/A</v>
      </c>
      <c r="G710" s="9" t="str">
        <f t="shared" si="22"/>
        <v/>
      </c>
      <c r="H710" s="9" t="str">
        <f>_xlfn.IFNA(IF(C710=Lookup!$Q$6,"END",""),"")</f>
        <v/>
      </c>
    </row>
    <row r="711" spans="2:8" x14ac:dyDescent="0.45">
      <c r="B711" s="9">
        <f t="shared" si="21"/>
        <v>706</v>
      </c>
      <c r="C711" s="9" t="e">
        <f>IF(D710=VLOOKUP(C710,Lookup!$P$5:$R$6,3,0),VLOOKUP(C710,Lookup!$P$5:$Q$6,2,0),C710)</f>
        <v>#N/A</v>
      </c>
      <c r="D711" s="22" t="e">
        <f>IF(D710=VLOOKUP(C710,Lookup!$P$5:$R$6,3,0),1,D710+1)</f>
        <v>#N/A</v>
      </c>
      <c r="E711" s="9" t="e">
        <f>IF(C711=Lookup!$P$5,INDEX('view-code'!$P$3:$P$502,'group-code'!D711),"")</f>
        <v>#N/A</v>
      </c>
      <c r="F711" s="9" t="e">
        <f>IF(C711=Lookup!$P$6,INDEX('card-code'!$P$3:$P$502,'group-code'!D711),"")</f>
        <v>#N/A</v>
      </c>
      <c r="G711" s="9" t="str">
        <f t="shared" si="22"/>
        <v/>
      </c>
      <c r="H711" s="9" t="str">
        <f>_xlfn.IFNA(IF(C711=Lookup!$Q$6,"END",""),"")</f>
        <v/>
      </c>
    </row>
    <row r="712" spans="2:8" x14ac:dyDescent="0.45">
      <c r="B712" s="9">
        <f t="shared" ref="B712:B775" si="23">B711+1</f>
        <v>707</v>
      </c>
      <c r="C712" s="9" t="e">
        <f>IF(D711=VLOOKUP(C711,Lookup!$P$5:$R$6,3,0),VLOOKUP(C711,Lookup!$P$5:$Q$6,2,0),C711)</f>
        <v>#N/A</v>
      </c>
      <c r="D712" s="22" t="e">
        <f>IF(D711=VLOOKUP(C711,Lookup!$P$5:$R$6,3,0),1,D711+1)</f>
        <v>#N/A</v>
      </c>
      <c r="E712" s="9" t="e">
        <f>IF(C712=Lookup!$P$5,INDEX('view-code'!$P$3:$P$502,'group-code'!D712),"")</f>
        <v>#N/A</v>
      </c>
      <c r="F712" s="9" t="e">
        <f>IF(C712=Lookup!$P$6,INDEX('card-code'!$P$3:$P$502,'group-code'!D712),"")</f>
        <v>#N/A</v>
      </c>
      <c r="G712" s="9" t="str">
        <f t="shared" si="22"/>
        <v/>
      </c>
      <c r="H712" s="9" t="str">
        <f>_xlfn.IFNA(IF(C712=Lookup!$Q$6,"END",""),"")</f>
        <v/>
      </c>
    </row>
    <row r="713" spans="2:8" x14ac:dyDescent="0.45">
      <c r="B713" s="9">
        <f t="shared" si="23"/>
        <v>708</v>
      </c>
      <c r="C713" s="9" t="e">
        <f>IF(D712=VLOOKUP(C712,Lookup!$P$5:$R$6,3,0),VLOOKUP(C712,Lookup!$P$5:$Q$6,2,0),C712)</f>
        <v>#N/A</v>
      </c>
      <c r="D713" s="22" t="e">
        <f>IF(D712=VLOOKUP(C712,Lookup!$P$5:$R$6,3,0),1,D712+1)</f>
        <v>#N/A</v>
      </c>
      <c r="E713" s="9" t="e">
        <f>IF(C713=Lookup!$P$5,INDEX('view-code'!$P$3:$P$502,'group-code'!D713),"")</f>
        <v>#N/A</v>
      </c>
      <c r="F713" s="9" t="e">
        <f>IF(C713=Lookup!$P$6,INDEX('card-code'!$P$3:$P$502,'group-code'!D713),"")</f>
        <v>#N/A</v>
      </c>
      <c r="G713" s="9" t="str">
        <f t="shared" si="22"/>
        <v/>
      </c>
      <c r="H713" s="9" t="str">
        <f>_xlfn.IFNA(IF(C713=Lookup!$Q$6,"END",""),"")</f>
        <v/>
      </c>
    </row>
    <row r="714" spans="2:8" x14ac:dyDescent="0.45">
      <c r="B714" s="9">
        <f t="shared" si="23"/>
        <v>709</v>
      </c>
      <c r="C714" s="9" t="e">
        <f>IF(D713=VLOOKUP(C713,Lookup!$P$5:$R$6,3,0),VLOOKUP(C713,Lookup!$P$5:$Q$6,2,0),C713)</f>
        <v>#N/A</v>
      </c>
      <c r="D714" s="22" t="e">
        <f>IF(D713=VLOOKUP(C713,Lookup!$P$5:$R$6,3,0),1,D713+1)</f>
        <v>#N/A</v>
      </c>
      <c r="E714" s="9" t="e">
        <f>IF(C714=Lookup!$P$5,INDEX('view-code'!$P$3:$P$502,'group-code'!D714),"")</f>
        <v>#N/A</v>
      </c>
      <c r="F714" s="9" t="e">
        <f>IF(C714=Lookup!$P$6,INDEX('card-code'!$P$3:$P$502,'group-code'!D714),"")</f>
        <v>#N/A</v>
      </c>
      <c r="G714" s="9" t="str">
        <f t="shared" si="22"/>
        <v/>
      </c>
      <c r="H714" s="9" t="str">
        <f>_xlfn.IFNA(IF(C714=Lookup!$Q$6,"END",""),"")</f>
        <v/>
      </c>
    </row>
    <row r="715" spans="2:8" x14ac:dyDescent="0.45">
      <c r="B715" s="9">
        <f t="shared" si="23"/>
        <v>710</v>
      </c>
      <c r="C715" s="9" t="e">
        <f>IF(D714=VLOOKUP(C714,Lookup!$P$5:$R$6,3,0),VLOOKUP(C714,Lookup!$P$5:$Q$6,2,0),C714)</f>
        <v>#N/A</v>
      </c>
      <c r="D715" s="22" t="e">
        <f>IF(D714=VLOOKUP(C714,Lookup!$P$5:$R$6,3,0),1,D714+1)</f>
        <v>#N/A</v>
      </c>
      <c r="E715" s="9" t="e">
        <f>IF(C715=Lookup!$P$5,INDEX('view-code'!$P$3:$P$502,'group-code'!D715),"")</f>
        <v>#N/A</v>
      </c>
      <c r="F715" s="9" t="e">
        <f>IF(C715=Lookup!$P$6,INDEX('card-code'!$P$3:$P$502,'group-code'!D715),"")</f>
        <v>#N/A</v>
      </c>
      <c r="G715" s="9" t="str">
        <f t="shared" si="22"/>
        <v/>
      </c>
      <c r="H715" s="9" t="str">
        <f>_xlfn.IFNA(IF(C715=Lookup!$Q$6,"END",""),"")</f>
        <v/>
      </c>
    </row>
    <row r="716" spans="2:8" x14ac:dyDescent="0.45">
      <c r="B716" s="9">
        <f t="shared" si="23"/>
        <v>711</v>
      </c>
      <c r="C716" s="9" t="e">
        <f>IF(D715=VLOOKUP(C715,Lookup!$P$5:$R$6,3,0),VLOOKUP(C715,Lookup!$P$5:$Q$6,2,0),C715)</f>
        <v>#N/A</v>
      </c>
      <c r="D716" s="22" t="e">
        <f>IF(D715=VLOOKUP(C715,Lookup!$P$5:$R$6,3,0),1,D715+1)</f>
        <v>#N/A</v>
      </c>
      <c r="E716" s="9" t="e">
        <f>IF(C716=Lookup!$P$5,INDEX('view-code'!$P$3:$P$502,'group-code'!D716),"")</f>
        <v>#N/A</v>
      </c>
      <c r="F716" s="9" t="e">
        <f>IF(C716=Lookup!$P$6,INDEX('card-code'!$P$3:$P$502,'group-code'!D716),"")</f>
        <v>#N/A</v>
      </c>
      <c r="G716" s="9" t="str">
        <f t="shared" si="22"/>
        <v/>
      </c>
      <c r="H716" s="9" t="str">
        <f>_xlfn.IFNA(IF(C716=Lookup!$Q$6,"END",""),"")</f>
        <v/>
      </c>
    </row>
    <row r="717" spans="2:8" x14ac:dyDescent="0.45">
      <c r="B717" s="9">
        <f t="shared" si="23"/>
        <v>712</v>
      </c>
      <c r="C717" s="9" t="e">
        <f>IF(D716=VLOOKUP(C716,Lookup!$P$5:$R$6,3,0),VLOOKUP(C716,Lookup!$P$5:$Q$6,2,0),C716)</f>
        <v>#N/A</v>
      </c>
      <c r="D717" s="22" t="e">
        <f>IF(D716=VLOOKUP(C716,Lookup!$P$5:$R$6,3,0),1,D716+1)</f>
        <v>#N/A</v>
      </c>
      <c r="E717" s="9" t="e">
        <f>IF(C717=Lookup!$P$5,INDEX('view-code'!$P$3:$P$502,'group-code'!D717),"")</f>
        <v>#N/A</v>
      </c>
      <c r="F717" s="9" t="e">
        <f>IF(C717=Lookup!$P$6,INDEX('card-code'!$P$3:$P$502,'group-code'!D717),"")</f>
        <v>#N/A</v>
      </c>
      <c r="G717" s="9" t="str">
        <f t="shared" si="22"/>
        <v/>
      </c>
      <c r="H717" s="9" t="str">
        <f>_xlfn.IFNA(IF(C717=Lookup!$Q$6,"END",""),"")</f>
        <v/>
      </c>
    </row>
    <row r="718" spans="2:8" x14ac:dyDescent="0.45">
      <c r="B718" s="9">
        <f t="shared" si="23"/>
        <v>713</v>
      </c>
      <c r="C718" s="9" t="e">
        <f>IF(D717=VLOOKUP(C717,Lookup!$P$5:$R$6,3,0),VLOOKUP(C717,Lookup!$P$5:$Q$6,2,0),C717)</f>
        <v>#N/A</v>
      </c>
      <c r="D718" s="22" t="e">
        <f>IF(D717=VLOOKUP(C717,Lookup!$P$5:$R$6,3,0),1,D717+1)</f>
        <v>#N/A</v>
      </c>
      <c r="E718" s="9" t="e">
        <f>IF(C718=Lookup!$P$5,INDEX('view-code'!$P$3:$P$502,'group-code'!D718),"")</f>
        <v>#N/A</v>
      </c>
      <c r="F718" s="9" t="e">
        <f>IF(C718=Lookup!$P$6,INDEX('card-code'!$P$3:$P$502,'group-code'!D718),"")</f>
        <v>#N/A</v>
      </c>
      <c r="G718" s="9" t="str">
        <f t="shared" si="22"/>
        <v/>
      </c>
      <c r="H718" s="9" t="str">
        <f>_xlfn.IFNA(IF(C718=Lookup!$Q$6,"END",""),"")</f>
        <v/>
      </c>
    </row>
    <row r="719" spans="2:8" x14ac:dyDescent="0.45">
      <c r="B719" s="9">
        <f t="shared" si="23"/>
        <v>714</v>
      </c>
      <c r="C719" s="9" t="e">
        <f>IF(D718=VLOOKUP(C718,Lookup!$P$5:$R$6,3,0),VLOOKUP(C718,Lookup!$P$5:$Q$6,2,0),C718)</f>
        <v>#N/A</v>
      </c>
      <c r="D719" s="22" t="e">
        <f>IF(D718=VLOOKUP(C718,Lookup!$P$5:$R$6,3,0),1,D718+1)</f>
        <v>#N/A</v>
      </c>
      <c r="E719" s="9" t="e">
        <f>IF(C719=Lookup!$P$5,INDEX('view-code'!$P$3:$P$502,'group-code'!D719),"")</f>
        <v>#N/A</v>
      </c>
      <c r="F719" s="9" t="e">
        <f>IF(C719=Lookup!$P$6,INDEX('card-code'!$P$3:$P$502,'group-code'!D719),"")</f>
        <v>#N/A</v>
      </c>
      <c r="G719" s="9" t="str">
        <f t="shared" si="22"/>
        <v/>
      </c>
      <c r="H719" s="9" t="str">
        <f>_xlfn.IFNA(IF(C719=Lookup!$Q$6,"END",""),"")</f>
        <v/>
      </c>
    </row>
    <row r="720" spans="2:8" x14ac:dyDescent="0.45">
      <c r="B720" s="9">
        <f t="shared" si="23"/>
        <v>715</v>
      </c>
      <c r="C720" s="9" t="e">
        <f>IF(D719=VLOOKUP(C719,Lookup!$P$5:$R$6,3,0),VLOOKUP(C719,Lookup!$P$5:$Q$6,2,0),C719)</f>
        <v>#N/A</v>
      </c>
      <c r="D720" s="22" t="e">
        <f>IF(D719=VLOOKUP(C719,Lookup!$P$5:$R$6,3,0),1,D719+1)</f>
        <v>#N/A</v>
      </c>
      <c r="E720" s="9" t="e">
        <f>IF(C720=Lookup!$P$5,INDEX('view-code'!$P$3:$P$502,'group-code'!D720),"")</f>
        <v>#N/A</v>
      </c>
      <c r="F720" s="9" t="e">
        <f>IF(C720=Lookup!$P$6,INDEX('card-code'!$P$3:$P$502,'group-code'!D720),"")</f>
        <v>#N/A</v>
      </c>
      <c r="G720" s="9" t="str">
        <f t="shared" si="22"/>
        <v/>
      </c>
      <c r="H720" s="9" t="str">
        <f>_xlfn.IFNA(IF(C720=Lookup!$Q$6,"END",""),"")</f>
        <v/>
      </c>
    </row>
    <row r="721" spans="2:8" x14ac:dyDescent="0.45">
      <c r="B721" s="9">
        <f t="shared" si="23"/>
        <v>716</v>
      </c>
      <c r="C721" s="9" t="e">
        <f>IF(D720=VLOOKUP(C720,Lookup!$P$5:$R$6,3,0),VLOOKUP(C720,Lookup!$P$5:$Q$6,2,0),C720)</f>
        <v>#N/A</v>
      </c>
      <c r="D721" s="22" t="e">
        <f>IF(D720=VLOOKUP(C720,Lookup!$P$5:$R$6,3,0),1,D720+1)</f>
        <v>#N/A</v>
      </c>
      <c r="E721" s="9" t="e">
        <f>IF(C721=Lookup!$P$5,INDEX('view-code'!$P$3:$P$502,'group-code'!D721),"")</f>
        <v>#N/A</v>
      </c>
      <c r="F721" s="9" t="e">
        <f>IF(C721=Lookup!$P$6,INDEX('card-code'!$P$3:$P$502,'group-code'!D721),"")</f>
        <v>#N/A</v>
      </c>
      <c r="G721" s="9" t="str">
        <f t="shared" si="22"/>
        <v/>
      </c>
      <c r="H721" s="9" t="str">
        <f>_xlfn.IFNA(IF(C721=Lookup!$Q$6,"END",""),"")</f>
        <v/>
      </c>
    </row>
    <row r="722" spans="2:8" x14ac:dyDescent="0.45">
      <c r="B722" s="9">
        <f t="shared" si="23"/>
        <v>717</v>
      </c>
      <c r="C722" s="9" t="e">
        <f>IF(D721=VLOOKUP(C721,Lookup!$P$5:$R$6,3,0),VLOOKUP(C721,Lookup!$P$5:$Q$6,2,0),C721)</f>
        <v>#N/A</v>
      </c>
      <c r="D722" s="22" t="e">
        <f>IF(D721=VLOOKUP(C721,Lookup!$P$5:$R$6,3,0),1,D721+1)</f>
        <v>#N/A</v>
      </c>
      <c r="E722" s="9" t="e">
        <f>IF(C722=Lookup!$P$5,INDEX('view-code'!$P$3:$P$502,'group-code'!D722),"")</f>
        <v>#N/A</v>
      </c>
      <c r="F722" s="9" t="e">
        <f>IF(C722=Lookup!$P$6,INDEX('card-code'!$P$3:$P$502,'group-code'!D722),"")</f>
        <v>#N/A</v>
      </c>
      <c r="G722" s="9" t="str">
        <f t="shared" si="22"/>
        <v/>
      </c>
      <c r="H722" s="9" t="str">
        <f>_xlfn.IFNA(IF(C722=Lookup!$Q$6,"END",""),"")</f>
        <v/>
      </c>
    </row>
    <row r="723" spans="2:8" x14ac:dyDescent="0.45">
      <c r="B723" s="9">
        <f t="shared" si="23"/>
        <v>718</v>
      </c>
      <c r="C723" s="9" t="e">
        <f>IF(D722=VLOOKUP(C722,Lookup!$P$5:$R$6,3,0),VLOOKUP(C722,Lookup!$P$5:$Q$6,2,0),C722)</f>
        <v>#N/A</v>
      </c>
      <c r="D723" s="22" t="e">
        <f>IF(D722=VLOOKUP(C722,Lookup!$P$5:$R$6,3,0),1,D722+1)</f>
        <v>#N/A</v>
      </c>
      <c r="E723" s="9" t="e">
        <f>IF(C723=Lookup!$P$5,INDEX('view-code'!$P$3:$P$502,'group-code'!D723),"")</f>
        <v>#N/A</v>
      </c>
      <c r="F723" s="9" t="e">
        <f>IF(C723=Lookup!$P$6,INDEX('card-code'!$P$3:$P$502,'group-code'!D723),"")</f>
        <v>#N/A</v>
      </c>
      <c r="G723" s="9" t="str">
        <f t="shared" si="22"/>
        <v/>
      </c>
      <c r="H723" s="9" t="str">
        <f>_xlfn.IFNA(IF(C723=Lookup!$Q$6,"END",""),"")</f>
        <v/>
      </c>
    </row>
    <row r="724" spans="2:8" x14ac:dyDescent="0.45">
      <c r="B724" s="9">
        <f t="shared" si="23"/>
        <v>719</v>
      </c>
      <c r="C724" s="9" t="e">
        <f>IF(D723=VLOOKUP(C723,Lookup!$P$5:$R$6,3,0),VLOOKUP(C723,Lookup!$P$5:$Q$6,2,0),C723)</f>
        <v>#N/A</v>
      </c>
      <c r="D724" s="22" t="e">
        <f>IF(D723=VLOOKUP(C723,Lookup!$P$5:$R$6,3,0),1,D723+1)</f>
        <v>#N/A</v>
      </c>
      <c r="E724" s="9" t="e">
        <f>IF(C724=Lookup!$P$5,INDEX('view-code'!$P$3:$P$502,'group-code'!D724),"")</f>
        <v>#N/A</v>
      </c>
      <c r="F724" s="9" t="e">
        <f>IF(C724=Lookup!$P$6,INDEX('card-code'!$P$3:$P$502,'group-code'!D724),"")</f>
        <v>#N/A</v>
      </c>
      <c r="G724" s="9" t="str">
        <f t="shared" si="22"/>
        <v/>
      </c>
      <c r="H724" s="9" t="str">
        <f>_xlfn.IFNA(IF(C724=Lookup!$Q$6,"END",""),"")</f>
        <v/>
      </c>
    </row>
    <row r="725" spans="2:8" x14ac:dyDescent="0.45">
      <c r="B725" s="9">
        <f t="shared" si="23"/>
        <v>720</v>
      </c>
      <c r="C725" s="9" t="e">
        <f>IF(D724=VLOOKUP(C724,Lookup!$P$5:$R$6,3,0),VLOOKUP(C724,Lookup!$P$5:$Q$6,2,0),C724)</f>
        <v>#N/A</v>
      </c>
      <c r="D725" s="22" t="e">
        <f>IF(D724=VLOOKUP(C724,Lookup!$P$5:$R$6,3,0),1,D724+1)</f>
        <v>#N/A</v>
      </c>
      <c r="E725" s="9" t="e">
        <f>IF(C725=Lookup!$P$5,INDEX('view-code'!$P$3:$P$502,'group-code'!D725),"")</f>
        <v>#N/A</v>
      </c>
      <c r="F725" s="9" t="e">
        <f>IF(C725=Lookup!$P$6,INDEX('card-code'!$P$3:$P$502,'group-code'!D725),"")</f>
        <v>#N/A</v>
      </c>
      <c r="G725" s="9" t="str">
        <f t="shared" si="22"/>
        <v/>
      </c>
      <c r="H725" s="9" t="str">
        <f>_xlfn.IFNA(IF(C725=Lookup!$Q$6,"END",""),"")</f>
        <v/>
      </c>
    </row>
    <row r="726" spans="2:8" x14ac:dyDescent="0.45">
      <c r="B726" s="9">
        <f t="shared" si="23"/>
        <v>721</v>
      </c>
      <c r="C726" s="9" t="e">
        <f>IF(D725=VLOOKUP(C725,Lookup!$P$5:$R$6,3,0),VLOOKUP(C725,Lookup!$P$5:$Q$6,2,0),C725)</f>
        <v>#N/A</v>
      </c>
      <c r="D726" s="22" t="e">
        <f>IF(D725=VLOOKUP(C725,Lookup!$P$5:$R$6,3,0),1,D725+1)</f>
        <v>#N/A</v>
      </c>
      <c r="E726" s="9" t="e">
        <f>IF(C726=Lookup!$P$5,INDEX('view-code'!$P$3:$P$502,'group-code'!D726),"")</f>
        <v>#N/A</v>
      </c>
      <c r="F726" s="9" t="e">
        <f>IF(C726=Lookup!$P$6,INDEX('card-code'!$P$3:$P$502,'group-code'!D726),"")</f>
        <v>#N/A</v>
      </c>
      <c r="G726" s="9" t="str">
        <f t="shared" si="22"/>
        <v/>
      </c>
      <c r="H726" s="9" t="str">
        <f>_xlfn.IFNA(IF(C726=Lookup!$Q$6,"END",""),"")</f>
        <v/>
      </c>
    </row>
    <row r="727" spans="2:8" x14ac:dyDescent="0.45">
      <c r="B727" s="9">
        <f t="shared" si="23"/>
        <v>722</v>
      </c>
      <c r="C727" s="9" t="e">
        <f>IF(D726=VLOOKUP(C726,Lookup!$P$5:$R$6,3,0),VLOOKUP(C726,Lookup!$P$5:$Q$6,2,0),C726)</f>
        <v>#N/A</v>
      </c>
      <c r="D727" s="22" t="e">
        <f>IF(D726=VLOOKUP(C726,Lookup!$P$5:$R$6,3,0),1,D726+1)</f>
        <v>#N/A</v>
      </c>
      <c r="E727" s="9" t="e">
        <f>IF(C727=Lookup!$P$5,INDEX('view-code'!$P$3:$P$502,'group-code'!D727),"")</f>
        <v>#N/A</v>
      </c>
      <c r="F727" s="9" t="e">
        <f>IF(C727=Lookup!$P$6,INDEX('card-code'!$P$3:$P$502,'group-code'!D727),"")</f>
        <v>#N/A</v>
      </c>
      <c r="G727" s="9" t="str">
        <f t="shared" si="22"/>
        <v/>
      </c>
      <c r="H727" s="9" t="str">
        <f>_xlfn.IFNA(IF(C727=Lookup!$Q$6,"END",""),"")</f>
        <v/>
      </c>
    </row>
    <row r="728" spans="2:8" x14ac:dyDescent="0.45">
      <c r="B728" s="9">
        <f t="shared" si="23"/>
        <v>723</v>
      </c>
      <c r="C728" s="9" t="e">
        <f>IF(D727=VLOOKUP(C727,Lookup!$P$5:$R$6,3,0),VLOOKUP(C727,Lookup!$P$5:$Q$6,2,0),C727)</f>
        <v>#N/A</v>
      </c>
      <c r="D728" s="22" t="e">
        <f>IF(D727=VLOOKUP(C727,Lookup!$P$5:$R$6,3,0),1,D727+1)</f>
        <v>#N/A</v>
      </c>
      <c r="E728" s="9" t="e">
        <f>IF(C728=Lookup!$P$5,INDEX('view-code'!$P$3:$P$502,'group-code'!D728),"")</f>
        <v>#N/A</v>
      </c>
      <c r="F728" s="9" t="e">
        <f>IF(C728=Lookup!$P$6,INDEX('card-code'!$P$3:$P$502,'group-code'!D728),"")</f>
        <v>#N/A</v>
      </c>
      <c r="G728" s="9" t="str">
        <f t="shared" si="22"/>
        <v/>
      </c>
      <c r="H728" s="9" t="str">
        <f>_xlfn.IFNA(IF(C728=Lookup!$Q$6,"END",""),"")</f>
        <v/>
      </c>
    </row>
    <row r="729" spans="2:8" x14ac:dyDescent="0.45">
      <c r="B729" s="9">
        <f t="shared" si="23"/>
        <v>724</v>
      </c>
      <c r="C729" s="9" t="e">
        <f>IF(D728=VLOOKUP(C728,Lookup!$P$5:$R$6,3,0),VLOOKUP(C728,Lookup!$P$5:$Q$6,2,0),C728)</f>
        <v>#N/A</v>
      </c>
      <c r="D729" s="22" t="e">
        <f>IF(D728=VLOOKUP(C728,Lookup!$P$5:$R$6,3,0),1,D728+1)</f>
        <v>#N/A</v>
      </c>
      <c r="E729" s="9" t="e">
        <f>IF(C729=Lookup!$P$5,INDEX('view-code'!$P$3:$P$502,'group-code'!D729),"")</f>
        <v>#N/A</v>
      </c>
      <c r="F729" s="9" t="e">
        <f>IF(C729=Lookup!$P$6,INDEX('card-code'!$P$3:$P$502,'group-code'!D729),"")</f>
        <v>#N/A</v>
      </c>
      <c r="G729" s="9" t="str">
        <f t="shared" si="22"/>
        <v/>
      </c>
      <c r="H729" s="9" t="str">
        <f>_xlfn.IFNA(IF(C729=Lookup!$Q$6,"END",""),"")</f>
        <v/>
      </c>
    </row>
    <row r="730" spans="2:8" x14ac:dyDescent="0.45">
      <c r="B730" s="9">
        <f t="shared" si="23"/>
        <v>725</v>
      </c>
      <c r="C730" s="9" t="e">
        <f>IF(D729=VLOOKUP(C729,Lookup!$P$5:$R$6,3,0),VLOOKUP(C729,Lookup!$P$5:$Q$6,2,0),C729)</f>
        <v>#N/A</v>
      </c>
      <c r="D730" s="22" t="e">
        <f>IF(D729=VLOOKUP(C729,Lookup!$P$5:$R$6,3,0),1,D729+1)</f>
        <v>#N/A</v>
      </c>
      <c r="E730" s="9" t="e">
        <f>IF(C730=Lookup!$P$5,INDEX('view-code'!$P$3:$P$502,'group-code'!D730),"")</f>
        <v>#N/A</v>
      </c>
      <c r="F730" s="9" t="e">
        <f>IF(C730=Lookup!$P$6,INDEX('card-code'!$P$3:$P$502,'group-code'!D730),"")</f>
        <v>#N/A</v>
      </c>
      <c r="G730" s="9" t="str">
        <f t="shared" si="22"/>
        <v/>
      </c>
      <c r="H730" s="9" t="str">
        <f>_xlfn.IFNA(IF(C730=Lookup!$Q$6,"END",""),"")</f>
        <v/>
      </c>
    </row>
    <row r="731" spans="2:8" x14ac:dyDescent="0.45">
      <c r="B731" s="9">
        <f t="shared" si="23"/>
        <v>726</v>
      </c>
      <c r="C731" s="9" t="e">
        <f>IF(D730=VLOOKUP(C730,Lookup!$P$5:$R$6,3,0),VLOOKUP(C730,Lookup!$P$5:$Q$6,2,0),C730)</f>
        <v>#N/A</v>
      </c>
      <c r="D731" s="22" t="e">
        <f>IF(D730=VLOOKUP(C730,Lookup!$P$5:$R$6,3,0),1,D730+1)</f>
        <v>#N/A</v>
      </c>
      <c r="E731" s="9" t="e">
        <f>IF(C731=Lookup!$P$5,INDEX('view-code'!$P$3:$P$502,'group-code'!D731),"")</f>
        <v>#N/A</v>
      </c>
      <c r="F731" s="9" t="e">
        <f>IF(C731=Lookup!$P$6,INDEX('card-code'!$P$3:$P$502,'group-code'!D731),"")</f>
        <v>#N/A</v>
      </c>
      <c r="G731" s="9" t="str">
        <f t="shared" si="22"/>
        <v/>
      </c>
      <c r="H731" s="9" t="str">
        <f>_xlfn.IFNA(IF(C731=Lookup!$Q$6,"END",""),"")</f>
        <v/>
      </c>
    </row>
    <row r="732" spans="2:8" x14ac:dyDescent="0.45">
      <c r="B732" s="9">
        <f t="shared" si="23"/>
        <v>727</v>
      </c>
      <c r="C732" s="9" t="e">
        <f>IF(D731=VLOOKUP(C731,Lookup!$P$5:$R$6,3,0),VLOOKUP(C731,Lookup!$P$5:$Q$6,2,0),C731)</f>
        <v>#N/A</v>
      </c>
      <c r="D732" s="22" t="e">
        <f>IF(D731=VLOOKUP(C731,Lookup!$P$5:$R$6,3,0),1,D731+1)</f>
        <v>#N/A</v>
      </c>
      <c r="E732" s="9" t="e">
        <f>IF(C732=Lookup!$P$5,INDEX('view-code'!$P$3:$P$502,'group-code'!D732),"")</f>
        <v>#N/A</v>
      </c>
      <c r="F732" s="9" t="e">
        <f>IF(C732=Lookup!$P$6,INDEX('card-code'!$P$3:$P$502,'group-code'!D732),"")</f>
        <v>#N/A</v>
      </c>
      <c r="G732" s="9" t="str">
        <f t="shared" si="22"/>
        <v/>
      </c>
      <c r="H732" s="9" t="str">
        <f>_xlfn.IFNA(IF(C732=Lookup!$Q$6,"END",""),"")</f>
        <v/>
      </c>
    </row>
    <row r="733" spans="2:8" x14ac:dyDescent="0.45">
      <c r="B733" s="9">
        <f t="shared" si="23"/>
        <v>728</v>
      </c>
      <c r="C733" s="9" t="e">
        <f>IF(D732=VLOOKUP(C732,Lookup!$P$5:$R$6,3,0),VLOOKUP(C732,Lookup!$P$5:$Q$6,2,0),C732)</f>
        <v>#N/A</v>
      </c>
      <c r="D733" s="22" t="e">
        <f>IF(D732=VLOOKUP(C732,Lookup!$P$5:$R$6,3,0),1,D732+1)</f>
        <v>#N/A</v>
      </c>
      <c r="E733" s="9" t="e">
        <f>IF(C733=Lookup!$P$5,INDEX('view-code'!$P$3:$P$502,'group-code'!D733),"")</f>
        <v>#N/A</v>
      </c>
      <c r="F733" s="9" t="e">
        <f>IF(C733=Lookup!$P$6,INDEX('card-code'!$P$3:$P$502,'group-code'!D733),"")</f>
        <v>#N/A</v>
      </c>
      <c r="G733" s="9" t="str">
        <f t="shared" si="22"/>
        <v/>
      </c>
      <c r="H733" s="9" t="str">
        <f>_xlfn.IFNA(IF(C733=Lookup!$Q$6,"END",""),"")</f>
        <v/>
      </c>
    </row>
    <row r="734" spans="2:8" x14ac:dyDescent="0.45">
      <c r="B734" s="9">
        <f t="shared" si="23"/>
        <v>729</v>
      </c>
      <c r="C734" s="9" t="e">
        <f>IF(D733=VLOOKUP(C733,Lookup!$P$5:$R$6,3,0),VLOOKUP(C733,Lookup!$P$5:$Q$6,2,0),C733)</f>
        <v>#N/A</v>
      </c>
      <c r="D734" s="22" t="e">
        <f>IF(D733=VLOOKUP(C733,Lookup!$P$5:$R$6,3,0),1,D733+1)</f>
        <v>#N/A</v>
      </c>
      <c r="E734" s="9" t="e">
        <f>IF(C734=Lookup!$P$5,INDEX('view-code'!$P$3:$P$502,'group-code'!D734),"")</f>
        <v>#N/A</v>
      </c>
      <c r="F734" s="9" t="e">
        <f>IF(C734=Lookup!$P$6,INDEX('card-code'!$P$3:$P$502,'group-code'!D734),"")</f>
        <v>#N/A</v>
      </c>
      <c r="G734" s="9" t="str">
        <f t="shared" si="22"/>
        <v/>
      </c>
      <c r="H734" s="9" t="str">
        <f>_xlfn.IFNA(IF(C734=Lookup!$Q$6,"END",""),"")</f>
        <v/>
      </c>
    </row>
    <row r="735" spans="2:8" x14ac:dyDescent="0.45">
      <c r="B735" s="9">
        <f t="shared" si="23"/>
        <v>730</v>
      </c>
      <c r="C735" s="9" t="e">
        <f>IF(D734=VLOOKUP(C734,Lookup!$P$5:$R$6,3,0),VLOOKUP(C734,Lookup!$P$5:$Q$6,2,0),C734)</f>
        <v>#N/A</v>
      </c>
      <c r="D735" s="22" t="e">
        <f>IF(D734=VLOOKUP(C734,Lookup!$P$5:$R$6,3,0),1,D734+1)</f>
        <v>#N/A</v>
      </c>
      <c r="E735" s="9" t="e">
        <f>IF(C735=Lookup!$P$5,INDEX('view-code'!$P$3:$P$502,'group-code'!D735),"")</f>
        <v>#N/A</v>
      </c>
      <c r="F735" s="9" t="e">
        <f>IF(C735=Lookup!$P$6,INDEX('card-code'!$P$3:$P$502,'group-code'!D735),"")</f>
        <v>#N/A</v>
      </c>
      <c r="G735" s="9" t="str">
        <f t="shared" si="22"/>
        <v/>
      </c>
      <c r="H735" s="9" t="str">
        <f>_xlfn.IFNA(IF(C735=Lookup!$Q$6,"END",""),"")</f>
        <v/>
      </c>
    </row>
    <row r="736" spans="2:8" x14ac:dyDescent="0.45">
      <c r="B736" s="9">
        <f t="shared" si="23"/>
        <v>731</v>
      </c>
      <c r="C736" s="9" t="e">
        <f>IF(D735=VLOOKUP(C735,Lookup!$P$5:$R$6,3,0),VLOOKUP(C735,Lookup!$P$5:$Q$6,2,0),C735)</f>
        <v>#N/A</v>
      </c>
      <c r="D736" s="22" t="e">
        <f>IF(D735=VLOOKUP(C735,Lookup!$P$5:$R$6,3,0),1,D735+1)</f>
        <v>#N/A</v>
      </c>
      <c r="E736" s="9" t="e">
        <f>IF(C736=Lookup!$P$5,INDEX('view-code'!$P$3:$P$502,'group-code'!D736),"")</f>
        <v>#N/A</v>
      </c>
      <c r="F736" s="9" t="e">
        <f>IF(C736=Lookup!$P$6,INDEX('card-code'!$P$3:$P$502,'group-code'!D736),"")</f>
        <v>#N/A</v>
      </c>
      <c r="G736" s="9" t="str">
        <f t="shared" si="22"/>
        <v/>
      </c>
      <c r="H736" s="9" t="str">
        <f>_xlfn.IFNA(IF(C736=Lookup!$Q$6,"END",""),"")</f>
        <v/>
      </c>
    </row>
    <row r="737" spans="2:8" x14ac:dyDescent="0.45">
      <c r="B737" s="9">
        <f t="shared" si="23"/>
        <v>732</v>
      </c>
      <c r="C737" s="9" t="e">
        <f>IF(D736=VLOOKUP(C736,Lookup!$P$5:$R$6,3,0),VLOOKUP(C736,Lookup!$P$5:$Q$6,2,0),C736)</f>
        <v>#N/A</v>
      </c>
      <c r="D737" s="22" t="e">
        <f>IF(D736=VLOOKUP(C736,Lookup!$P$5:$R$6,3,0),1,D736+1)</f>
        <v>#N/A</v>
      </c>
      <c r="E737" s="9" t="e">
        <f>IF(C737=Lookup!$P$5,INDEX('view-code'!$P$3:$P$502,'group-code'!D737),"")</f>
        <v>#N/A</v>
      </c>
      <c r="F737" s="9" t="e">
        <f>IF(C737=Lookup!$P$6,INDEX('card-code'!$P$3:$P$502,'group-code'!D737),"")</f>
        <v>#N/A</v>
      </c>
      <c r="G737" s="9" t="str">
        <f t="shared" si="22"/>
        <v/>
      </c>
      <c r="H737" s="9" t="str">
        <f>_xlfn.IFNA(IF(C737=Lookup!$Q$6,"END",""),"")</f>
        <v/>
      </c>
    </row>
    <row r="738" spans="2:8" x14ac:dyDescent="0.45">
      <c r="B738" s="9">
        <f t="shared" si="23"/>
        <v>733</v>
      </c>
      <c r="C738" s="9" t="e">
        <f>IF(D737=VLOOKUP(C737,Lookup!$P$5:$R$6,3,0),VLOOKUP(C737,Lookup!$P$5:$Q$6,2,0),C737)</f>
        <v>#N/A</v>
      </c>
      <c r="D738" s="22" t="e">
        <f>IF(D737=VLOOKUP(C737,Lookup!$P$5:$R$6,3,0),1,D737+1)</f>
        <v>#N/A</v>
      </c>
      <c r="E738" s="9" t="e">
        <f>IF(C738=Lookup!$P$5,INDEX('view-code'!$P$3:$P$502,'group-code'!D738),"")</f>
        <v>#N/A</v>
      </c>
      <c r="F738" s="9" t="e">
        <f>IF(C738=Lookup!$P$6,INDEX('card-code'!$P$3:$P$502,'group-code'!D738),"")</f>
        <v>#N/A</v>
      </c>
      <c r="G738" s="9" t="str">
        <f t="shared" si="22"/>
        <v/>
      </c>
      <c r="H738" s="9" t="str">
        <f>_xlfn.IFNA(IF(C738=Lookup!$Q$6,"END",""),"")</f>
        <v/>
      </c>
    </row>
    <row r="739" spans="2:8" x14ac:dyDescent="0.45">
      <c r="B739" s="9">
        <f t="shared" si="23"/>
        <v>734</v>
      </c>
      <c r="C739" s="9" t="e">
        <f>IF(D738=VLOOKUP(C738,Lookup!$P$5:$R$6,3,0),VLOOKUP(C738,Lookup!$P$5:$Q$6,2,0),C738)</f>
        <v>#N/A</v>
      </c>
      <c r="D739" s="22" t="e">
        <f>IF(D738=VLOOKUP(C738,Lookup!$P$5:$R$6,3,0),1,D738+1)</f>
        <v>#N/A</v>
      </c>
      <c r="E739" s="9" t="e">
        <f>IF(C739=Lookup!$P$5,INDEX('view-code'!$P$3:$P$502,'group-code'!D739),"")</f>
        <v>#N/A</v>
      </c>
      <c r="F739" s="9" t="e">
        <f>IF(C739=Lookup!$P$6,INDEX('card-code'!$P$3:$P$502,'group-code'!D739),"")</f>
        <v>#N/A</v>
      </c>
      <c r="G739" s="9" t="str">
        <f t="shared" si="22"/>
        <v/>
      </c>
      <c r="H739" s="9" t="str">
        <f>_xlfn.IFNA(IF(C739=Lookup!$Q$6,"END",""),"")</f>
        <v/>
      </c>
    </row>
    <row r="740" spans="2:8" x14ac:dyDescent="0.45">
      <c r="B740" s="9">
        <f t="shared" si="23"/>
        <v>735</v>
      </c>
      <c r="C740" s="9" t="e">
        <f>IF(D739=VLOOKUP(C739,Lookup!$P$5:$R$6,3,0),VLOOKUP(C739,Lookup!$P$5:$Q$6,2,0),C739)</f>
        <v>#N/A</v>
      </c>
      <c r="D740" s="22" t="e">
        <f>IF(D739=VLOOKUP(C739,Lookup!$P$5:$R$6,3,0),1,D739+1)</f>
        <v>#N/A</v>
      </c>
      <c r="E740" s="9" t="e">
        <f>IF(C740=Lookup!$P$5,INDEX('view-code'!$P$3:$P$502,'group-code'!D740),"")</f>
        <v>#N/A</v>
      </c>
      <c r="F740" s="9" t="e">
        <f>IF(C740=Lookup!$P$6,INDEX('card-code'!$P$3:$P$502,'group-code'!D740),"")</f>
        <v>#N/A</v>
      </c>
      <c r="G740" s="9" t="str">
        <f t="shared" si="22"/>
        <v/>
      </c>
      <c r="H740" s="9" t="str">
        <f>_xlfn.IFNA(IF(C740=Lookup!$Q$6,"END",""),"")</f>
        <v/>
      </c>
    </row>
    <row r="741" spans="2:8" x14ac:dyDescent="0.45">
      <c r="B741" s="9">
        <f t="shared" si="23"/>
        <v>736</v>
      </c>
      <c r="C741" s="9" t="e">
        <f>IF(D740=VLOOKUP(C740,Lookup!$P$5:$R$6,3,0),VLOOKUP(C740,Lookup!$P$5:$Q$6,2,0),C740)</f>
        <v>#N/A</v>
      </c>
      <c r="D741" s="22" t="e">
        <f>IF(D740=VLOOKUP(C740,Lookup!$P$5:$R$6,3,0),1,D740+1)</f>
        <v>#N/A</v>
      </c>
      <c r="E741" s="9" t="e">
        <f>IF(C741=Lookup!$P$5,INDEX('view-code'!$P$3:$P$502,'group-code'!D741),"")</f>
        <v>#N/A</v>
      </c>
      <c r="F741" s="9" t="e">
        <f>IF(C741=Lookup!$P$6,INDEX('card-code'!$P$3:$P$502,'group-code'!D741),"")</f>
        <v>#N/A</v>
      </c>
      <c r="G741" s="9" t="str">
        <f t="shared" si="22"/>
        <v/>
      </c>
      <c r="H741" s="9" t="str">
        <f>_xlfn.IFNA(IF(C741=Lookup!$Q$6,"END",""),"")</f>
        <v/>
      </c>
    </row>
    <row r="742" spans="2:8" x14ac:dyDescent="0.45">
      <c r="B742" s="9">
        <f t="shared" si="23"/>
        <v>737</v>
      </c>
      <c r="C742" s="9" t="e">
        <f>IF(D741=VLOOKUP(C741,Lookup!$P$5:$R$6,3,0),VLOOKUP(C741,Lookup!$P$5:$Q$6,2,0),C741)</f>
        <v>#N/A</v>
      </c>
      <c r="D742" s="22" t="e">
        <f>IF(D741=VLOOKUP(C741,Lookup!$P$5:$R$6,3,0),1,D741+1)</f>
        <v>#N/A</v>
      </c>
      <c r="E742" s="9" t="e">
        <f>IF(C742=Lookup!$P$5,INDEX('view-code'!$P$3:$P$502,'group-code'!D742),"")</f>
        <v>#N/A</v>
      </c>
      <c r="F742" s="9" t="e">
        <f>IF(C742=Lookup!$P$6,INDEX('card-code'!$P$3:$P$502,'group-code'!D742),"")</f>
        <v>#N/A</v>
      </c>
      <c r="G742" s="9" t="str">
        <f t="shared" si="22"/>
        <v/>
      </c>
      <c r="H742" s="9" t="str">
        <f>_xlfn.IFNA(IF(C742=Lookup!$Q$6,"END",""),"")</f>
        <v/>
      </c>
    </row>
    <row r="743" spans="2:8" x14ac:dyDescent="0.45">
      <c r="B743" s="9">
        <f t="shared" si="23"/>
        <v>738</v>
      </c>
      <c r="C743" s="9" t="e">
        <f>IF(D742=VLOOKUP(C742,Lookup!$P$5:$R$6,3,0),VLOOKUP(C742,Lookup!$P$5:$Q$6,2,0),C742)</f>
        <v>#N/A</v>
      </c>
      <c r="D743" s="22" t="e">
        <f>IF(D742=VLOOKUP(C742,Lookup!$P$5:$R$6,3,0),1,D742+1)</f>
        <v>#N/A</v>
      </c>
      <c r="E743" s="9" t="e">
        <f>IF(C743=Lookup!$P$5,INDEX('view-code'!$P$3:$P$502,'group-code'!D743),"")</f>
        <v>#N/A</v>
      </c>
      <c r="F743" s="9" t="e">
        <f>IF(C743=Lookup!$P$6,INDEX('card-code'!$P$3:$P$502,'group-code'!D743),"")</f>
        <v>#N/A</v>
      </c>
      <c r="G743" s="9" t="str">
        <f t="shared" si="22"/>
        <v/>
      </c>
      <c r="H743" s="9" t="str">
        <f>_xlfn.IFNA(IF(C743=Lookup!$Q$6,"END",""),"")</f>
        <v/>
      </c>
    </row>
    <row r="744" spans="2:8" x14ac:dyDescent="0.45">
      <c r="B744" s="9">
        <f t="shared" si="23"/>
        <v>739</v>
      </c>
      <c r="C744" s="9" t="e">
        <f>IF(D743=VLOOKUP(C743,Lookup!$P$5:$R$6,3,0),VLOOKUP(C743,Lookup!$P$5:$Q$6,2,0),C743)</f>
        <v>#N/A</v>
      </c>
      <c r="D744" s="22" t="e">
        <f>IF(D743=VLOOKUP(C743,Lookup!$P$5:$R$6,3,0),1,D743+1)</f>
        <v>#N/A</v>
      </c>
      <c r="E744" s="9" t="e">
        <f>IF(C744=Lookup!$P$5,INDEX('view-code'!$P$3:$P$502,'group-code'!D744),"")</f>
        <v>#N/A</v>
      </c>
      <c r="F744" s="9" t="e">
        <f>IF(C744=Lookup!$P$6,INDEX('card-code'!$P$3:$P$502,'group-code'!D744),"")</f>
        <v>#N/A</v>
      </c>
      <c r="G744" s="9" t="str">
        <f t="shared" si="22"/>
        <v/>
      </c>
      <c r="H744" s="9" t="str">
        <f>_xlfn.IFNA(IF(C744=Lookup!$Q$6,"END",""),"")</f>
        <v/>
      </c>
    </row>
    <row r="745" spans="2:8" x14ac:dyDescent="0.45">
      <c r="B745" s="9">
        <f t="shared" si="23"/>
        <v>740</v>
      </c>
      <c r="C745" s="9" t="e">
        <f>IF(D744=VLOOKUP(C744,Lookup!$P$5:$R$6,3,0),VLOOKUP(C744,Lookup!$P$5:$Q$6,2,0),C744)</f>
        <v>#N/A</v>
      </c>
      <c r="D745" s="22" t="e">
        <f>IF(D744=VLOOKUP(C744,Lookup!$P$5:$R$6,3,0),1,D744+1)</f>
        <v>#N/A</v>
      </c>
      <c r="E745" s="9" t="e">
        <f>IF(C745=Lookup!$P$5,INDEX('view-code'!$P$3:$P$502,'group-code'!D745),"")</f>
        <v>#N/A</v>
      </c>
      <c r="F745" s="9" t="e">
        <f>IF(C745=Lookup!$P$6,INDEX('card-code'!$P$3:$P$502,'group-code'!D745),"")</f>
        <v>#N/A</v>
      </c>
      <c r="G745" s="9" t="str">
        <f t="shared" si="22"/>
        <v/>
      </c>
      <c r="H745" s="9" t="str">
        <f>_xlfn.IFNA(IF(C745=Lookup!$Q$6,"END",""),"")</f>
        <v/>
      </c>
    </row>
    <row r="746" spans="2:8" x14ac:dyDescent="0.45">
      <c r="B746" s="9">
        <f t="shared" si="23"/>
        <v>741</v>
      </c>
      <c r="C746" s="9" t="e">
        <f>IF(D745=VLOOKUP(C745,Lookup!$P$5:$R$6,3,0),VLOOKUP(C745,Lookup!$P$5:$Q$6,2,0),C745)</f>
        <v>#N/A</v>
      </c>
      <c r="D746" s="22" t="e">
        <f>IF(D745=VLOOKUP(C745,Lookup!$P$5:$R$6,3,0),1,D745+1)</f>
        <v>#N/A</v>
      </c>
      <c r="E746" s="9" t="e">
        <f>IF(C746=Lookup!$P$5,INDEX('view-code'!$P$3:$P$502,'group-code'!D746),"")</f>
        <v>#N/A</v>
      </c>
      <c r="F746" s="9" t="e">
        <f>IF(C746=Lookup!$P$6,INDEX('card-code'!$P$3:$P$502,'group-code'!D746),"")</f>
        <v>#N/A</v>
      </c>
      <c r="G746" s="9" t="str">
        <f t="shared" si="22"/>
        <v/>
      </c>
      <c r="H746" s="9" t="str">
        <f>_xlfn.IFNA(IF(C746=Lookup!$Q$6,"END",""),"")</f>
        <v/>
      </c>
    </row>
    <row r="747" spans="2:8" x14ac:dyDescent="0.45">
      <c r="B747" s="9">
        <f t="shared" si="23"/>
        <v>742</v>
      </c>
      <c r="C747" s="9" t="e">
        <f>IF(D746=VLOOKUP(C746,Lookup!$P$5:$R$6,3,0),VLOOKUP(C746,Lookup!$P$5:$Q$6,2,0),C746)</f>
        <v>#N/A</v>
      </c>
      <c r="D747" s="22" t="e">
        <f>IF(D746=VLOOKUP(C746,Lookup!$P$5:$R$6,3,0),1,D746+1)</f>
        <v>#N/A</v>
      </c>
      <c r="E747" s="9" t="e">
        <f>IF(C747=Lookup!$P$5,INDEX('view-code'!$P$3:$P$502,'group-code'!D747),"")</f>
        <v>#N/A</v>
      </c>
      <c r="F747" s="9" t="e">
        <f>IF(C747=Lookup!$P$6,INDEX('card-code'!$P$3:$P$502,'group-code'!D747),"")</f>
        <v>#N/A</v>
      </c>
      <c r="G747" s="9" t="str">
        <f t="shared" si="22"/>
        <v/>
      </c>
      <c r="H747" s="9" t="str">
        <f>_xlfn.IFNA(IF(C747=Lookup!$Q$6,"END",""),"")</f>
        <v/>
      </c>
    </row>
    <row r="748" spans="2:8" x14ac:dyDescent="0.45">
      <c r="B748" s="9">
        <f t="shared" si="23"/>
        <v>743</v>
      </c>
      <c r="C748" s="9" t="e">
        <f>IF(D747=VLOOKUP(C747,Lookup!$P$5:$R$6,3,0),VLOOKUP(C747,Lookup!$P$5:$Q$6,2,0),C747)</f>
        <v>#N/A</v>
      </c>
      <c r="D748" s="22" t="e">
        <f>IF(D747=VLOOKUP(C747,Lookup!$P$5:$R$6,3,0),1,D747+1)</f>
        <v>#N/A</v>
      </c>
      <c r="E748" s="9" t="e">
        <f>IF(C748=Lookup!$P$5,INDEX('view-code'!$P$3:$P$502,'group-code'!D748),"")</f>
        <v>#N/A</v>
      </c>
      <c r="F748" s="9" t="e">
        <f>IF(C748=Lookup!$P$6,INDEX('card-code'!$P$3:$P$502,'group-code'!D748),"")</f>
        <v>#N/A</v>
      </c>
      <c r="G748" s="9" t="str">
        <f t="shared" si="22"/>
        <v/>
      </c>
      <c r="H748" s="9" t="str">
        <f>_xlfn.IFNA(IF(C748=Lookup!$Q$6,"END",""),"")</f>
        <v/>
      </c>
    </row>
    <row r="749" spans="2:8" x14ac:dyDescent="0.45">
      <c r="B749" s="9">
        <f t="shared" si="23"/>
        <v>744</v>
      </c>
      <c r="C749" s="9" t="e">
        <f>IF(D748=VLOOKUP(C748,Lookup!$P$5:$R$6,3,0),VLOOKUP(C748,Lookup!$P$5:$Q$6,2,0),C748)</f>
        <v>#N/A</v>
      </c>
      <c r="D749" s="22" t="e">
        <f>IF(D748=VLOOKUP(C748,Lookup!$P$5:$R$6,3,0),1,D748+1)</f>
        <v>#N/A</v>
      </c>
      <c r="E749" s="9" t="e">
        <f>IF(C749=Lookup!$P$5,INDEX('view-code'!$P$3:$P$502,'group-code'!D749),"")</f>
        <v>#N/A</v>
      </c>
      <c r="F749" s="9" t="e">
        <f>IF(C749=Lookup!$P$6,INDEX('card-code'!$P$3:$P$502,'group-code'!D749),"")</f>
        <v>#N/A</v>
      </c>
      <c r="G749" s="9" t="str">
        <f t="shared" si="22"/>
        <v/>
      </c>
      <c r="H749" s="9" t="str">
        <f>_xlfn.IFNA(IF(C749=Lookup!$Q$6,"END",""),"")</f>
        <v/>
      </c>
    </row>
    <row r="750" spans="2:8" x14ac:dyDescent="0.45">
      <c r="B750" s="9">
        <f t="shared" si="23"/>
        <v>745</v>
      </c>
      <c r="C750" s="9" t="e">
        <f>IF(D749=VLOOKUP(C749,Lookup!$P$5:$R$6,3,0),VLOOKUP(C749,Lookup!$P$5:$Q$6,2,0),C749)</f>
        <v>#N/A</v>
      </c>
      <c r="D750" s="22" t="e">
        <f>IF(D749=VLOOKUP(C749,Lookup!$P$5:$R$6,3,0),1,D749+1)</f>
        <v>#N/A</v>
      </c>
      <c r="E750" s="9" t="e">
        <f>IF(C750=Lookup!$P$5,INDEX('view-code'!$P$3:$P$502,'group-code'!D750),"")</f>
        <v>#N/A</v>
      </c>
      <c r="F750" s="9" t="e">
        <f>IF(C750=Lookup!$P$6,INDEX('card-code'!$P$3:$P$502,'group-code'!D750),"")</f>
        <v>#N/A</v>
      </c>
      <c r="G750" s="9" t="str">
        <f t="shared" si="22"/>
        <v/>
      </c>
      <c r="H750" s="9" t="str">
        <f>_xlfn.IFNA(IF(C750=Lookup!$Q$6,"END",""),"")</f>
        <v/>
      </c>
    </row>
    <row r="751" spans="2:8" x14ac:dyDescent="0.45">
      <c r="B751" s="9">
        <f t="shared" si="23"/>
        <v>746</v>
      </c>
      <c r="C751" s="9" t="e">
        <f>IF(D750=VLOOKUP(C750,Lookup!$P$5:$R$6,3,0),VLOOKUP(C750,Lookup!$P$5:$Q$6,2,0),C750)</f>
        <v>#N/A</v>
      </c>
      <c r="D751" s="22" t="e">
        <f>IF(D750=VLOOKUP(C750,Lookup!$P$5:$R$6,3,0),1,D750+1)</f>
        <v>#N/A</v>
      </c>
      <c r="E751" s="9" t="e">
        <f>IF(C751=Lookup!$P$5,INDEX('view-code'!$P$3:$P$502,'group-code'!D751),"")</f>
        <v>#N/A</v>
      </c>
      <c r="F751" s="9" t="e">
        <f>IF(C751=Lookup!$P$6,INDEX('card-code'!$P$3:$P$502,'group-code'!D751),"")</f>
        <v>#N/A</v>
      </c>
      <c r="G751" s="9" t="str">
        <f t="shared" si="22"/>
        <v/>
      </c>
      <c r="H751" s="9" t="str">
        <f>_xlfn.IFNA(IF(C751=Lookup!$Q$6,"END",""),"")</f>
        <v/>
      </c>
    </row>
    <row r="752" spans="2:8" x14ac:dyDescent="0.45">
      <c r="B752" s="9">
        <f t="shared" si="23"/>
        <v>747</v>
      </c>
      <c r="C752" s="9" t="e">
        <f>IF(D751=VLOOKUP(C751,Lookup!$P$5:$R$6,3,0),VLOOKUP(C751,Lookup!$P$5:$Q$6,2,0),C751)</f>
        <v>#N/A</v>
      </c>
      <c r="D752" s="22" t="e">
        <f>IF(D751=VLOOKUP(C751,Lookup!$P$5:$R$6,3,0),1,D751+1)</f>
        <v>#N/A</v>
      </c>
      <c r="E752" s="9" t="e">
        <f>IF(C752=Lookup!$P$5,INDEX('view-code'!$P$3:$P$502,'group-code'!D752),"")</f>
        <v>#N/A</v>
      </c>
      <c r="F752" s="9" t="e">
        <f>IF(C752=Lookup!$P$6,INDEX('card-code'!$P$3:$P$502,'group-code'!D752),"")</f>
        <v>#N/A</v>
      </c>
      <c r="G752" s="9" t="str">
        <f t="shared" si="22"/>
        <v/>
      </c>
      <c r="H752" s="9" t="str">
        <f>_xlfn.IFNA(IF(C752=Lookup!$Q$6,"END",""),"")</f>
        <v/>
      </c>
    </row>
    <row r="753" spans="2:8" x14ac:dyDescent="0.45">
      <c r="B753" s="9">
        <f t="shared" si="23"/>
        <v>748</v>
      </c>
      <c r="C753" s="9" t="e">
        <f>IF(D752=VLOOKUP(C752,Lookup!$P$5:$R$6,3,0),VLOOKUP(C752,Lookup!$P$5:$Q$6,2,0),C752)</f>
        <v>#N/A</v>
      </c>
      <c r="D753" s="22" t="e">
        <f>IF(D752=VLOOKUP(C752,Lookup!$P$5:$R$6,3,0),1,D752+1)</f>
        <v>#N/A</v>
      </c>
      <c r="E753" s="9" t="e">
        <f>IF(C753=Lookup!$P$5,INDEX('view-code'!$P$3:$P$502,'group-code'!D753),"")</f>
        <v>#N/A</v>
      </c>
      <c r="F753" s="9" t="e">
        <f>IF(C753=Lookup!$P$6,INDEX('card-code'!$P$3:$P$502,'group-code'!D753),"")</f>
        <v>#N/A</v>
      </c>
      <c r="G753" s="9" t="str">
        <f t="shared" si="22"/>
        <v/>
      </c>
      <c r="H753" s="9" t="str">
        <f>_xlfn.IFNA(IF(C753=Lookup!$Q$6,"END",""),"")</f>
        <v/>
      </c>
    </row>
    <row r="754" spans="2:8" x14ac:dyDescent="0.45">
      <c r="B754" s="9">
        <f t="shared" si="23"/>
        <v>749</v>
      </c>
      <c r="C754" s="9" t="e">
        <f>IF(D753=VLOOKUP(C753,Lookup!$P$5:$R$6,3,0),VLOOKUP(C753,Lookup!$P$5:$Q$6,2,0),C753)</f>
        <v>#N/A</v>
      </c>
      <c r="D754" s="22" t="e">
        <f>IF(D753=VLOOKUP(C753,Lookup!$P$5:$R$6,3,0),1,D753+1)</f>
        <v>#N/A</v>
      </c>
      <c r="E754" s="9" t="e">
        <f>IF(C754=Lookup!$P$5,INDEX('view-code'!$P$3:$P$502,'group-code'!D754),"")</f>
        <v>#N/A</v>
      </c>
      <c r="F754" s="9" t="e">
        <f>IF(C754=Lookup!$P$6,INDEX('card-code'!$P$3:$P$502,'group-code'!D754),"")</f>
        <v>#N/A</v>
      </c>
      <c r="G754" s="9" t="str">
        <f t="shared" si="22"/>
        <v/>
      </c>
      <c r="H754" s="9" t="str">
        <f>_xlfn.IFNA(IF(C754=Lookup!$Q$6,"END",""),"")</f>
        <v/>
      </c>
    </row>
    <row r="755" spans="2:8" x14ac:dyDescent="0.45">
      <c r="B755" s="9">
        <f t="shared" si="23"/>
        <v>750</v>
      </c>
      <c r="C755" s="9" t="e">
        <f>IF(D754=VLOOKUP(C754,Lookup!$P$5:$R$6,3,0),VLOOKUP(C754,Lookup!$P$5:$Q$6,2,0),C754)</f>
        <v>#N/A</v>
      </c>
      <c r="D755" s="22" t="e">
        <f>IF(D754=VLOOKUP(C754,Lookup!$P$5:$R$6,3,0),1,D754+1)</f>
        <v>#N/A</v>
      </c>
      <c r="E755" s="9" t="e">
        <f>IF(C755=Lookup!$P$5,INDEX('view-code'!$P$3:$P$502,'group-code'!D755),"")</f>
        <v>#N/A</v>
      </c>
      <c r="F755" s="9" t="e">
        <f>IF(C755=Lookup!$P$6,INDEX('card-code'!$P$3:$P$502,'group-code'!D755),"")</f>
        <v>#N/A</v>
      </c>
      <c r="G755" s="9" t="str">
        <f t="shared" si="22"/>
        <v/>
      </c>
      <c r="H755" s="9" t="str">
        <f>_xlfn.IFNA(IF(C755=Lookup!$Q$6,"END",""),"")</f>
        <v/>
      </c>
    </row>
    <row r="756" spans="2:8" x14ac:dyDescent="0.45">
      <c r="B756" s="9">
        <f t="shared" si="23"/>
        <v>751</v>
      </c>
      <c r="C756" s="9" t="e">
        <f>IF(D755=VLOOKUP(C755,Lookup!$P$5:$R$6,3,0),VLOOKUP(C755,Lookup!$P$5:$Q$6,2,0),C755)</f>
        <v>#N/A</v>
      </c>
      <c r="D756" s="22" t="e">
        <f>IF(D755=VLOOKUP(C755,Lookup!$P$5:$R$6,3,0),1,D755+1)</f>
        <v>#N/A</v>
      </c>
      <c r="E756" s="9" t="e">
        <f>IF(C756=Lookup!$P$5,INDEX('view-code'!$P$3:$P$502,'group-code'!D756),"")</f>
        <v>#N/A</v>
      </c>
      <c r="F756" s="9" t="e">
        <f>IF(C756=Lookup!$P$6,INDEX('card-code'!$P$3:$P$502,'group-code'!D756),"")</f>
        <v>#N/A</v>
      </c>
      <c r="G756" s="9" t="str">
        <f t="shared" si="22"/>
        <v/>
      </c>
      <c r="H756" s="9" t="str">
        <f>_xlfn.IFNA(IF(C756=Lookup!$Q$6,"END",""),"")</f>
        <v/>
      </c>
    </row>
    <row r="757" spans="2:8" x14ac:dyDescent="0.45">
      <c r="B757" s="9">
        <f t="shared" si="23"/>
        <v>752</v>
      </c>
      <c r="C757" s="9" t="e">
        <f>IF(D756=VLOOKUP(C756,Lookup!$P$5:$R$6,3,0),VLOOKUP(C756,Lookup!$P$5:$Q$6,2,0),C756)</f>
        <v>#N/A</v>
      </c>
      <c r="D757" s="22" t="e">
        <f>IF(D756=VLOOKUP(C756,Lookup!$P$5:$R$6,3,0),1,D756+1)</f>
        <v>#N/A</v>
      </c>
      <c r="E757" s="9" t="e">
        <f>IF(C757=Lookup!$P$5,INDEX('view-code'!$P$3:$P$502,'group-code'!D757),"")</f>
        <v>#N/A</v>
      </c>
      <c r="F757" s="9" t="e">
        <f>IF(C757=Lookup!$P$6,INDEX('card-code'!$P$3:$P$502,'group-code'!D757),"")</f>
        <v>#N/A</v>
      </c>
      <c r="G757" s="9" t="str">
        <f t="shared" si="22"/>
        <v/>
      </c>
      <c r="H757" s="9" t="str">
        <f>_xlfn.IFNA(IF(C757=Lookup!$Q$6,"END",""),"")</f>
        <v/>
      </c>
    </row>
    <row r="758" spans="2:8" x14ac:dyDescent="0.45">
      <c r="B758" s="9">
        <f t="shared" si="23"/>
        <v>753</v>
      </c>
      <c r="C758" s="9" t="e">
        <f>IF(D757=VLOOKUP(C757,Lookup!$P$5:$R$6,3,0),VLOOKUP(C757,Lookup!$P$5:$Q$6,2,0),C757)</f>
        <v>#N/A</v>
      </c>
      <c r="D758" s="22" t="e">
        <f>IF(D757=VLOOKUP(C757,Lookup!$P$5:$R$6,3,0),1,D757+1)</f>
        <v>#N/A</v>
      </c>
      <c r="E758" s="9" t="e">
        <f>IF(C758=Lookup!$P$5,INDEX('view-code'!$P$3:$P$502,'group-code'!D758),"")</f>
        <v>#N/A</v>
      </c>
      <c r="F758" s="9" t="e">
        <f>IF(C758=Lookup!$P$6,INDEX('card-code'!$P$3:$P$502,'group-code'!D758),"")</f>
        <v>#N/A</v>
      </c>
      <c r="G758" s="9" t="str">
        <f t="shared" si="22"/>
        <v/>
      </c>
      <c r="H758" s="9" t="str">
        <f>_xlfn.IFNA(IF(C758=Lookup!$Q$6,"END",""),"")</f>
        <v/>
      </c>
    </row>
    <row r="759" spans="2:8" x14ac:dyDescent="0.45">
      <c r="B759" s="9">
        <f t="shared" si="23"/>
        <v>754</v>
      </c>
      <c r="C759" s="9" t="e">
        <f>IF(D758=VLOOKUP(C758,Lookup!$P$5:$R$6,3,0),VLOOKUP(C758,Lookup!$P$5:$Q$6,2,0),C758)</f>
        <v>#N/A</v>
      </c>
      <c r="D759" s="22" t="e">
        <f>IF(D758=VLOOKUP(C758,Lookup!$P$5:$R$6,3,0),1,D758+1)</f>
        <v>#N/A</v>
      </c>
      <c r="E759" s="9" t="e">
        <f>IF(C759=Lookup!$P$5,INDEX('view-code'!$P$3:$P$502,'group-code'!D759),"")</f>
        <v>#N/A</v>
      </c>
      <c r="F759" s="9" t="e">
        <f>IF(C759=Lookup!$P$6,INDEX('card-code'!$P$3:$P$502,'group-code'!D759),"")</f>
        <v>#N/A</v>
      </c>
      <c r="G759" s="9" t="str">
        <f t="shared" si="22"/>
        <v/>
      </c>
      <c r="H759" s="9" t="str">
        <f>_xlfn.IFNA(IF(C759=Lookup!$Q$6,"END",""),"")</f>
        <v/>
      </c>
    </row>
    <row r="760" spans="2:8" x14ac:dyDescent="0.45">
      <c r="B760" s="9">
        <f t="shared" si="23"/>
        <v>755</v>
      </c>
      <c r="C760" s="9" t="e">
        <f>IF(D759=VLOOKUP(C759,Lookup!$P$5:$R$6,3,0),VLOOKUP(C759,Lookup!$P$5:$Q$6,2,0),C759)</f>
        <v>#N/A</v>
      </c>
      <c r="D760" s="22" t="e">
        <f>IF(D759=VLOOKUP(C759,Lookup!$P$5:$R$6,3,0),1,D759+1)</f>
        <v>#N/A</v>
      </c>
      <c r="E760" s="9" t="e">
        <f>IF(C760=Lookup!$P$5,INDEX('view-code'!$P$3:$P$502,'group-code'!D760),"")</f>
        <v>#N/A</v>
      </c>
      <c r="F760" s="9" t="e">
        <f>IF(C760=Lookup!$P$6,INDEX('card-code'!$P$3:$P$502,'group-code'!D760),"")</f>
        <v>#N/A</v>
      </c>
      <c r="G760" s="9" t="str">
        <f t="shared" si="22"/>
        <v/>
      </c>
      <c r="H760" s="9" t="str">
        <f>_xlfn.IFNA(IF(C760=Lookup!$Q$6,"END",""),"")</f>
        <v/>
      </c>
    </row>
    <row r="761" spans="2:8" x14ac:dyDescent="0.45">
      <c r="B761" s="9">
        <f t="shared" si="23"/>
        <v>756</v>
      </c>
      <c r="C761" s="9" t="e">
        <f>IF(D760=VLOOKUP(C760,Lookup!$P$5:$R$6,3,0),VLOOKUP(C760,Lookup!$P$5:$Q$6,2,0),C760)</f>
        <v>#N/A</v>
      </c>
      <c r="D761" s="22" t="e">
        <f>IF(D760=VLOOKUP(C760,Lookup!$P$5:$R$6,3,0),1,D760+1)</f>
        <v>#N/A</v>
      </c>
      <c r="E761" s="9" t="e">
        <f>IF(C761=Lookup!$P$5,INDEX('view-code'!$P$3:$P$502,'group-code'!D761),"")</f>
        <v>#N/A</v>
      </c>
      <c r="F761" s="9" t="e">
        <f>IF(C761=Lookup!$P$6,INDEX('card-code'!$P$3:$P$502,'group-code'!D761),"")</f>
        <v>#N/A</v>
      </c>
      <c r="G761" s="9" t="str">
        <f t="shared" si="22"/>
        <v/>
      </c>
      <c r="H761" s="9" t="str">
        <f>_xlfn.IFNA(IF(C761=Lookup!$Q$6,"END",""),"")</f>
        <v/>
      </c>
    </row>
    <row r="762" spans="2:8" x14ac:dyDescent="0.45">
      <c r="B762" s="9">
        <f t="shared" si="23"/>
        <v>757</v>
      </c>
      <c r="C762" s="9" t="e">
        <f>IF(D761=VLOOKUP(C761,Lookup!$P$5:$R$6,3,0),VLOOKUP(C761,Lookup!$P$5:$Q$6,2,0),C761)</f>
        <v>#N/A</v>
      </c>
      <c r="D762" s="22" t="e">
        <f>IF(D761=VLOOKUP(C761,Lookup!$P$5:$R$6,3,0),1,D761+1)</f>
        <v>#N/A</v>
      </c>
      <c r="E762" s="9" t="e">
        <f>IF(C762=Lookup!$P$5,INDEX('view-code'!$P$3:$P$502,'group-code'!D762),"")</f>
        <v>#N/A</v>
      </c>
      <c r="F762" s="9" t="e">
        <f>IF(C762=Lookup!$P$6,INDEX('card-code'!$P$3:$P$502,'group-code'!D762),"")</f>
        <v>#N/A</v>
      </c>
      <c r="G762" s="9" t="str">
        <f t="shared" ref="G762:G825" si="24">_xlfn.IFNA(  E762&amp;F762,  "")</f>
        <v/>
      </c>
      <c r="H762" s="9" t="str">
        <f>_xlfn.IFNA(IF(C762=Lookup!$Q$6,"END",""),"")</f>
        <v/>
      </c>
    </row>
    <row r="763" spans="2:8" x14ac:dyDescent="0.45">
      <c r="B763" s="9">
        <f t="shared" si="23"/>
        <v>758</v>
      </c>
      <c r="C763" s="9" t="e">
        <f>IF(D762=VLOOKUP(C762,Lookup!$P$5:$R$6,3,0),VLOOKUP(C762,Lookup!$P$5:$Q$6,2,0),C762)</f>
        <v>#N/A</v>
      </c>
      <c r="D763" s="22" t="e">
        <f>IF(D762=VLOOKUP(C762,Lookup!$P$5:$R$6,3,0),1,D762+1)</f>
        <v>#N/A</v>
      </c>
      <c r="E763" s="9" t="e">
        <f>IF(C763=Lookup!$P$5,INDEX('view-code'!$P$3:$P$502,'group-code'!D763),"")</f>
        <v>#N/A</v>
      </c>
      <c r="F763" s="9" t="e">
        <f>IF(C763=Lookup!$P$6,INDEX('card-code'!$P$3:$P$502,'group-code'!D763),"")</f>
        <v>#N/A</v>
      </c>
      <c r="G763" s="9" t="str">
        <f t="shared" si="24"/>
        <v/>
      </c>
      <c r="H763" s="9" t="str">
        <f>_xlfn.IFNA(IF(C763=Lookup!$Q$6,"END",""),"")</f>
        <v/>
      </c>
    </row>
    <row r="764" spans="2:8" x14ac:dyDescent="0.45">
      <c r="B764" s="9">
        <f t="shared" si="23"/>
        <v>759</v>
      </c>
      <c r="C764" s="9" t="e">
        <f>IF(D763=VLOOKUP(C763,Lookup!$P$5:$R$6,3,0),VLOOKUP(C763,Lookup!$P$5:$Q$6,2,0),C763)</f>
        <v>#N/A</v>
      </c>
      <c r="D764" s="22" t="e">
        <f>IF(D763=VLOOKUP(C763,Lookup!$P$5:$R$6,3,0),1,D763+1)</f>
        <v>#N/A</v>
      </c>
      <c r="E764" s="9" t="e">
        <f>IF(C764=Lookup!$P$5,INDEX('view-code'!$P$3:$P$502,'group-code'!D764),"")</f>
        <v>#N/A</v>
      </c>
      <c r="F764" s="9" t="e">
        <f>IF(C764=Lookup!$P$6,INDEX('card-code'!$P$3:$P$502,'group-code'!D764),"")</f>
        <v>#N/A</v>
      </c>
      <c r="G764" s="9" t="str">
        <f t="shared" si="24"/>
        <v/>
      </c>
      <c r="H764" s="9" t="str">
        <f>_xlfn.IFNA(IF(C764=Lookup!$Q$6,"END",""),"")</f>
        <v/>
      </c>
    </row>
    <row r="765" spans="2:8" x14ac:dyDescent="0.45">
      <c r="B765" s="9">
        <f t="shared" si="23"/>
        <v>760</v>
      </c>
      <c r="C765" s="9" t="e">
        <f>IF(D764=VLOOKUP(C764,Lookup!$P$5:$R$6,3,0),VLOOKUP(C764,Lookup!$P$5:$Q$6,2,0),C764)</f>
        <v>#N/A</v>
      </c>
      <c r="D765" s="22" t="e">
        <f>IF(D764=VLOOKUP(C764,Lookup!$P$5:$R$6,3,0),1,D764+1)</f>
        <v>#N/A</v>
      </c>
      <c r="E765" s="9" t="e">
        <f>IF(C765=Lookup!$P$5,INDEX('view-code'!$P$3:$P$502,'group-code'!D765),"")</f>
        <v>#N/A</v>
      </c>
      <c r="F765" s="9" t="e">
        <f>IF(C765=Lookup!$P$6,INDEX('card-code'!$P$3:$P$502,'group-code'!D765),"")</f>
        <v>#N/A</v>
      </c>
      <c r="G765" s="9" t="str">
        <f t="shared" si="24"/>
        <v/>
      </c>
      <c r="H765" s="9" t="str">
        <f>_xlfn.IFNA(IF(C765=Lookup!$Q$6,"END",""),"")</f>
        <v/>
      </c>
    </row>
    <row r="766" spans="2:8" x14ac:dyDescent="0.45">
      <c r="B766" s="9">
        <f t="shared" si="23"/>
        <v>761</v>
      </c>
      <c r="C766" s="9" t="e">
        <f>IF(D765=VLOOKUP(C765,Lookup!$P$5:$R$6,3,0),VLOOKUP(C765,Lookup!$P$5:$Q$6,2,0),C765)</f>
        <v>#N/A</v>
      </c>
      <c r="D766" s="22" t="e">
        <f>IF(D765=VLOOKUP(C765,Lookup!$P$5:$R$6,3,0),1,D765+1)</f>
        <v>#N/A</v>
      </c>
      <c r="E766" s="9" t="e">
        <f>IF(C766=Lookup!$P$5,INDEX('view-code'!$P$3:$P$502,'group-code'!D766),"")</f>
        <v>#N/A</v>
      </c>
      <c r="F766" s="9" t="e">
        <f>IF(C766=Lookup!$P$6,INDEX('card-code'!$P$3:$P$502,'group-code'!D766),"")</f>
        <v>#N/A</v>
      </c>
      <c r="G766" s="9" t="str">
        <f t="shared" si="24"/>
        <v/>
      </c>
      <c r="H766" s="9" t="str">
        <f>_xlfn.IFNA(IF(C766=Lookup!$Q$6,"END",""),"")</f>
        <v/>
      </c>
    </row>
    <row r="767" spans="2:8" x14ac:dyDescent="0.45">
      <c r="B767" s="9">
        <f t="shared" si="23"/>
        <v>762</v>
      </c>
      <c r="C767" s="9" t="e">
        <f>IF(D766=VLOOKUP(C766,Lookup!$P$5:$R$6,3,0),VLOOKUP(C766,Lookup!$P$5:$Q$6,2,0),C766)</f>
        <v>#N/A</v>
      </c>
      <c r="D767" s="22" t="e">
        <f>IF(D766=VLOOKUP(C766,Lookup!$P$5:$R$6,3,0),1,D766+1)</f>
        <v>#N/A</v>
      </c>
      <c r="E767" s="9" t="e">
        <f>IF(C767=Lookup!$P$5,INDEX('view-code'!$P$3:$P$502,'group-code'!D767),"")</f>
        <v>#N/A</v>
      </c>
      <c r="F767" s="9" t="e">
        <f>IF(C767=Lookup!$P$6,INDEX('card-code'!$P$3:$P$502,'group-code'!D767),"")</f>
        <v>#N/A</v>
      </c>
      <c r="G767" s="9" t="str">
        <f t="shared" si="24"/>
        <v/>
      </c>
      <c r="H767" s="9" t="str">
        <f>_xlfn.IFNA(IF(C767=Lookup!$Q$6,"END",""),"")</f>
        <v/>
      </c>
    </row>
    <row r="768" spans="2:8" x14ac:dyDescent="0.45">
      <c r="B768" s="9">
        <f t="shared" si="23"/>
        <v>763</v>
      </c>
      <c r="C768" s="9" t="e">
        <f>IF(D767=VLOOKUP(C767,Lookup!$P$5:$R$6,3,0),VLOOKUP(C767,Lookup!$P$5:$Q$6,2,0),C767)</f>
        <v>#N/A</v>
      </c>
      <c r="D768" s="22" t="e">
        <f>IF(D767=VLOOKUP(C767,Lookup!$P$5:$R$6,3,0),1,D767+1)</f>
        <v>#N/A</v>
      </c>
      <c r="E768" s="9" t="e">
        <f>IF(C768=Lookup!$P$5,INDEX('view-code'!$P$3:$P$502,'group-code'!D768),"")</f>
        <v>#N/A</v>
      </c>
      <c r="F768" s="9" t="e">
        <f>IF(C768=Lookup!$P$6,INDEX('card-code'!$P$3:$P$502,'group-code'!D768),"")</f>
        <v>#N/A</v>
      </c>
      <c r="G768" s="9" t="str">
        <f t="shared" si="24"/>
        <v/>
      </c>
      <c r="H768" s="9" t="str">
        <f>_xlfn.IFNA(IF(C768=Lookup!$Q$6,"END",""),"")</f>
        <v/>
      </c>
    </row>
    <row r="769" spans="2:8" x14ac:dyDescent="0.45">
      <c r="B769" s="9">
        <f t="shared" si="23"/>
        <v>764</v>
      </c>
      <c r="C769" s="9" t="e">
        <f>IF(D768=VLOOKUP(C768,Lookup!$P$5:$R$6,3,0),VLOOKUP(C768,Lookup!$P$5:$Q$6,2,0),C768)</f>
        <v>#N/A</v>
      </c>
      <c r="D769" s="22" t="e">
        <f>IF(D768=VLOOKUP(C768,Lookup!$P$5:$R$6,3,0),1,D768+1)</f>
        <v>#N/A</v>
      </c>
      <c r="E769" s="9" t="e">
        <f>IF(C769=Lookup!$P$5,INDEX('view-code'!$P$3:$P$502,'group-code'!D769),"")</f>
        <v>#N/A</v>
      </c>
      <c r="F769" s="9" t="e">
        <f>IF(C769=Lookup!$P$6,INDEX('card-code'!$P$3:$P$502,'group-code'!D769),"")</f>
        <v>#N/A</v>
      </c>
      <c r="G769" s="9" t="str">
        <f t="shared" si="24"/>
        <v/>
      </c>
      <c r="H769" s="9" t="str">
        <f>_xlfn.IFNA(IF(C769=Lookup!$Q$6,"END",""),"")</f>
        <v/>
      </c>
    </row>
    <row r="770" spans="2:8" x14ac:dyDescent="0.45">
      <c r="B770" s="9">
        <f t="shared" si="23"/>
        <v>765</v>
      </c>
      <c r="C770" s="9" t="e">
        <f>IF(D769=VLOOKUP(C769,Lookup!$P$5:$R$6,3,0),VLOOKUP(C769,Lookup!$P$5:$Q$6,2,0),C769)</f>
        <v>#N/A</v>
      </c>
      <c r="D770" s="22" t="e">
        <f>IF(D769=VLOOKUP(C769,Lookup!$P$5:$R$6,3,0),1,D769+1)</f>
        <v>#N/A</v>
      </c>
      <c r="E770" s="9" t="e">
        <f>IF(C770=Lookup!$P$5,INDEX('view-code'!$P$3:$P$502,'group-code'!D770),"")</f>
        <v>#N/A</v>
      </c>
      <c r="F770" s="9" t="e">
        <f>IF(C770=Lookup!$P$6,INDEX('card-code'!$P$3:$P$502,'group-code'!D770),"")</f>
        <v>#N/A</v>
      </c>
      <c r="G770" s="9" t="str">
        <f t="shared" si="24"/>
        <v/>
      </c>
      <c r="H770" s="9" t="str">
        <f>_xlfn.IFNA(IF(C770=Lookup!$Q$6,"END",""),"")</f>
        <v/>
      </c>
    </row>
    <row r="771" spans="2:8" x14ac:dyDescent="0.45">
      <c r="B771" s="9">
        <f t="shared" si="23"/>
        <v>766</v>
      </c>
      <c r="C771" s="9" t="e">
        <f>IF(D770=VLOOKUP(C770,Lookup!$P$5:$R$6,3,0),VLOOKUP(C770,Lookup!$P$5:$Q$6,2,0),C770)</f>
        <v>#N/A</v>
      </c>
      <c r="D771" s="22" t="e">
        <f>IF(D770=VLOOKUP(C770,Lookup!$P$5:$R$6,3,0),1,D770+1)</f>
        <v>#N/A</v>
      </c>
      <c r="E771" s="9" t="e">
        <f>IF(C771=Lookup!$P$5,INDEX('view-code'!$P$3:$P$502,'group-code'!D771),"")</f>
        <v>#N/A</v>
      </c>
      <c r="F771" s="9" t="e">
        <f>IF(C771=Lookup!$P$6,INDEX('card-code'!$P$3:$P$502,'group-code'!D771),"")</f>
        <v>#N/A</v>
      </c>
      <c r="G771" s="9" t="str">
        <f t="shared" si="24"/>
        <v/>
      </c>
      <c r="H771" s="9" t="str">
        <f>_xlfn.IFNA(IF(C771=Lookup!$Q$6,"END",""),"")</f>
        <v/>
      </c>
    </row>
    <row r="772" spans="2:8" x14ac:dyDescent="0.45">
      <c r="B772" s="9">
        <f t="shared" si="23"/>
        <v>767</v>
      </c>
      <c r="C772" s="9" t="e">
        <f>IF(D771=VLOOKUP(C771,Lookup!$P$5:$R$6,3,0),VLOOKUP(C771,Lookup!$P$5:$Q$6,2,0),C771)</f>
        <v>#N/A</v>
      </c>
      <c r="D772" s="22" t="e">
        <f>IF(D771=VLOOKUP(C771,Lookup!$P$5:$R$6,3,0),1,D771+1)</f>
        <v>#N/A</v>
      </c>
      <c r="E772" s="9" t="e">
        <f>IF(C772=Lookup!$P$5,INDEX('view-code'!$P$3:$P$502,'group-code'!D772),"")</f>
        <v>#N/A</v>
      </c>
      <c r="F772" s="9" t="e">
        <f>IF(C772=Lookup!$P$6,INDEX('card-code'!$P$3:$P$502,'group-code'!D772),"")</f>
        <v>#N/A</v>
      </c>
      <c r="G772" s="9" t="str">
        <f t="shared" si="24"/>
        <v/>
      </c>
      <c r="H772" s="9" t="str">
        <f>_xlfn.IFNA(IF(C772=Lookup!$Q$6,"END",""),"")</f>
        <v/>
      </c>
    </row>
    <row r="773" spans="2:8" x14ac:dyDescent="0.45">
      <c r="B773" s="9">
        <f t="shared" si="23"/>
        <v>768</v>
      </c>
      <c r="C773" s="9" t="e">
        <f>IF(D772=VLOOKUP(C772,Lookup!$P$5:$R$6,3,0),VLOOKUP(C772,Lookup!$P$5:$Q$6,2,0),C772)</f>
        <v>#N/A</v>
      </c>
      <c r="D773" s="22" t="e">
        <f>IF(D772=VLOOKUP(C772,Lookup!$P$5:$R$6,3,0),1,D772+1)</f>
        <v>#N/A</v>
      </c>
      <c r="E773" s="9" t="e">
        <f>IF(C773=Lookup!$P$5,INDEX('view-code'!$P$3:$P$502,'group-code'!D773),"")</f>
        <v>#N/A</v>
      </c>
      <c r="F773" s="9" t="e">
        <f>IF(C773=Lookup!$P$6,INDEX('card-code'!$P$3:$P$502,'group-code'!D773),"")</f>
        <v>#N/A</v>
      </c>
      <c r="G773" s="9" t="str">
        <f t="shared" si="24"/>
        <v/>
      </c>
      <c r="H773" s="9" t="str">
        <f>_xlfn.IFNA(IF(C773=Lookup!$Q$6,"END",""),"")</f>
        <v/>
      </c>
    </row>
    <row r="774" spans="2:8" x14ac:dyDescent="0.45">
      <c r="B774" s="9">
        <f t="shared" si="23"/>
        <v>769</v>
      </c>
      <c r="C774" s="9" t="e">
        <f>IF(D773=VLOOKUP(C773,Lookup!$P$5:$R$6,3,0),VLOOKUP(C773,Lookup!$P$5:$Q$6,2,0),C773)</f>
        <v>#N/A</v>
      </c>
      <c r="D774" s="22" t="e">
        <f>IF(D773=VLOOKUP(C773,Lookup!$P$5:$R$6,3,0),1,D773+1)</f>
        <v>#N/A</v>
      </c>
      <c r="E774" s="9" t="e">
        <f>IF(C774=Lookup!$P$5,INDEX('view-code'!$P$3:$P$502,'group-code'!D774),"")</f>
        <v>#N/A</v>
      </c>
      <c r="F774" s="9" t="e">
        <f>IF(C774=Lookup!$P$6,INDEX('card-code'!$P$3:$P$502,'group-code'!D774),"")</f>
        <v>#N/A</v>
      </c>
      <c r="G774" s="9" t="str">
        <f t="shared" si="24"/>
        <v/>
      </c>
      <c r="H774" s="9" t="str">
        <f>_xlfn.IFNA(IF(C774=Lookup!$Q$6,"END",""),"")</f>
        <v/>
      </c>
    </row>
    <row r="775" spans="2:8" x14ac:dyDescent="0.45">
      <c r="B775" s="9">
        <f t="shared" si="23"/>
        <v>770</v>
      </c>
      <c r="C775" s="9" t="e">
        <f>IF(D774=VLOOKUP(C774,Lookup!$P$5:$R$6,3,0),VLOOKUP(C774,Lookup!$P$5:$Q$6,2,0),C774)</f>
        <v>#N/A</v>
      </c>
      <c r="D775" s="22" t="e">
        <f>IF(D774=VLOOKUP(C774,Lookup!$P$5:$R$6,3,0),1,D774+1)</f>
        <v>#N/A</v>
      </c>
      <c r="E775" s="9" t="e">
        <f>IF(C775=Lookup!$P$5,INDEX('view-code'!$P$3:$P$502,'group-code'!D775),"")</f>
        <v>#N/A</v>
      </c>
      <c r="F775" s="9" t="e">
        <f>IF(C775=Lookup!$P$6,INDEX('card-code'!$P$3:$P$502,'group-code'!D775),"")</f>
        <v>#N/A</v>
      </c>
      <c r="G775" s="9" t="str">
        <f t="shared" si="24"/>
        <v/>
      </c>
      <c r="H775" s="9" t="str">
        <f>_xlfn.IFNA(IF(C775=Lookup!$Q$6,"END",""),"")</f>
        <v/>
      </c>
    </row>
    <row r="776" spans="2:8" x14ac:dyDescent="0.45">
      <c r="B776" s="9">
        <f t="shared" ref="B776:B839" si="25">B775+1</f>
        <v>771</v>
      </c>
      <c r="C776" s="9" t="e">
        <f>IF(D775=VLOOKUP(C775,Lookup!$P$5:$R$6,3,0),VLOOKUP(C775,Lookup!$P$5:$Q$6,2,0),C775)</f>
        <v>#N/A</v>
      </c>
      <c r="D776" s="22" t="e">
        <f>IF(D775=VLOOKUP(C775,Lookup!$P$5:$R$6,3,0),1,D775+1)</f>
        <v>#N/A</v>
      </c>
      <c r="E776" s="9" t="e">
        <f>IF(C776=Lookup!$P$5,INDEX('view-code'!$P$3:$P$502,'group-code'!D776),"")</f>
        <v>#N/A</v>
      </c>
      <c r="F776" s="9" t="e">
        <f>IF(C776=Lookup!$P$6,INDEX('card-code'!$P$3:$P$502,'group-code'!D776),"")</f>
        <v>#N/A</v>
      </c>
      <c r="G776" s="9" t="str">
        <f t="shared" si="24"/>
        <v/>
      </c>
      <c r="H776" s="9" t="str">
        <f>_xlfn.IFNA(IF(C776=Lookup!$Q$6,"END",""),"")</f>
        <v/>
      </c>
    </row>
    <row r="777" spans="2:8" x14ac:dyDescent="0.45">
      <c r="B777" s="9">
        <f t="shared" si="25"/>
        <v>772</v>
      </c>
      <c r="C777" s="9" t="e">
        <f>IF(D776=VLOOKUP(C776,Lookup!$P$5:$R$6,3,0),VLOOKUP(C776,Lookup!$P$5:$Q$6,2,0),C776)</f>
        <v>#N/A</v>
      </c>
      <c r="D777" s="22" t="e">
        <f>IF(D776=VLOOKUP(C776,Lookup!$P$5:$R$6,3,0),1,D776+1)</f>
        <v>#N/A</v>
      </c>
      <c r="E777" s="9" t="e">
        <f>IF(C777=Lookup!$P$5,INDEX('view-code'!$P$3:$P$502,'group-code'!D777),"")</f>
        <v>#N/A</v>
      </c>
      <c r="F777" s="9" t="e">
        <f>IF(C777=Lookup!$P$6,INDEX('card-code'!$P$3:$P$502,'group-code'!D777),"")</f>
        <v>#N/A</v>
      </c>
      <c r="G777" s="9" t="str">
        <f t="shared" si="24"/>
        <v/>
      </c>
      <c r="H777" s="9" t="str">
        <f>_xlfn.IFNA(IF(C777=Lookup!$Q$6,"END",""),"")</f>
        <v/>
      </c>
    </row>
    <row r="778" spans="2:8" x14ac:dyDescent="0.45">
      <c r="B778" s="9">
        <f t="shared" si="25"/>
        <v>773</v>
      </c>
      <c r="C778" s="9" t="e">
        <f>IF(D777=VLOOKUP(C777,Lookup!$P$5:$R$6,3,0),VLOOKUP(C777,Lookup!$P$5:$Q$6,2,0),C777)</f>
        <v>#N/A</v>
      </c>
      <c r="D778" s="22" t="e">
        <f>IF(D777=VLOOKUP(C777,Lookup!$P$5:$R$6,3,0),1,D777+1)</f>
        <v>#N/A</v>
      </c>
      <c r="E778" s="9" t="e">
        <f>IF(C778=Lookup!$P$5,INDEX('view-code'!$P$3:$P$502,'group-code'!D778),"")</f>
        <v>#N/A</v>
      </c>
      <c r="F778" s="9" t="e">
        <f>IF(C778=Lookup!$P$6,INDEX('card-code'!$P$3:$P$502,'group-code'!D778),"")</f>
        <v>#N/A</v>
      </c>
      <c r="G778" s="9" t="str">
        <f t="shared" si="24"/>
        <v/>
      </c>
      <c r="H778" s="9" t="str">
        <f>_xlfn.IFNA(IF(C778=Lookup!$Q$6,"END",""),"")</f>
        <v/>
      </c>
    </row>
    <row r="779" spans="2:8" x14ac:dyDescent="0.45">
      <c r="B779" s="9">
        <f t="shared" si="25"/>
        <v>774</v>
      </c>
      <c r="C779" s="9" t="e">
        <f>IF(D778=VLOOKUP(C778,Lookup!$P$5:$R$6,3,0),VLOOKUP(C778,Lookup!$P$5:$Q$6,2,0),C778)</f>
        <v>#N/A</v>
      </c>
      <c r="D779" s="22" t="e">
        <f>IF(D778=VLOOKUP(C778,Lookup!$P$5:$R$6,3,0),1,D778+1)</f>
        <v>#N/A</v>
      </c>
      <c r="E779" s="9" t="e">
        <f>IF(C779=Lookup!$P$5,INDEX('view-code'!$P$3:$P$502,'group-code'!D779),"")</f>
        <v>#N/A</v>
      </c>
      <c r="F779" s="9" t="e">
        <f>IF(C779=Lookup!$P$6,INDEX('card-code'!$P$3:$P$502,'group-code'!D779),"")</f>
        <v>#N/A</v>
      </c>
      <c r="G779" s="9" t="str">
        <f t="shared" si="24"/>
        <v/>
      </c>
      <c r="H779" s="9" t="str">
        <f>_xlfn.IFNA(IF(C779=Lookup!$Q$6,"END",""),"")</f>
        <v/>
      </c>
    </row>
    <row r="780" spans="2:8" x14ac:dyDescent="0.45">
      <c r="B780" s="9">
        <f t="shared" si="25"/>
        <v>775</v>
      </c>
      <c r="C780" s="9" t="e">
        <f>IF(D779=VLOOKUP(C779,Lookup!$P$5:$R$6,3,0),VLOOKUP(C779,Lookup!$P$5:$Q$6,2,0),C779)</f>
        <v>#N/A</v>
      </c>
      <c r="D780" s="22" t="e">
        <f>IF(D779=VLOOKUP(C779,Lookup!$P$5:$R$6,3,0),1,D779+1)</f>
        <v>#N/A</v>
      </c>
      <c r="E780" s="9" t="e">
        <f>IF(C780=Lookup!$P$5,INDEX('view-code'!$P$3:$P$502,'group-code'!D780),"")</f>
        <v>#N/A</v>
      </c>
      <c r="F780" s="9" t="e">
        <f>IF(C780=Lookup!$P$6,INDEX('card-code'!$P$3:$P$502,'group-code'!D780),"")</f>
        <v>#N/A</v>
      </c>
      <c r="G780" s="9" t="str">
        <f t="shared" si="24"/>
        <v/>
      </c>
      <c r="H780" s="9" t="str">
        <f>_xlfn.IFNA(IF(C780=Lookup!$Q$6,"END",""),"")</f>
        <v/>
      </c>
    </row>
    <row r="781" spans="2:8" x14ac:dyDescent="0.45">
      <c r="B781" s="9">
        <f t="shared" si="25"/>
        <v>776</v>
      </c>
      <c r="C781" s="9" t="e">
        <f>IF(D780=VLOOKUP(C780,Lookup!$P$5:$R$6,3,0),VLOOKUP(C780,Lookup!$P$5:$Q$6,2,0),C780)</f>
        <v>#N/A</v>
      </c>
      <c r="D781" s="22" t="e">
        <f>IF(D780=VLOOKUP(C780,Lookup!$P$5:$R$6,3,0),1,D780+1)</f>
        <v>#N/A</v>
      </c>
      <c r="E781" s="9" t="e">
        <f>IF(C781=Lookup!$P$5,INDEX('view-code'!$P$3:$P$502,'group-code'!D781),"")</f>
        <v>#N/A</v>
      </c>
      <c r="F781" s="9" t="e">
        <f>IF(C781=Lookup!$P$6,INDEX('card-code'!$P$3:$P$502,'group-code'!D781),"")</f>
        <v>#N/A</v>
      </c>
      <c r="G781" s="9" t="str">
        <f t="shared" si="24"/>
        <v/>
      </c>
      <c r="H781" s="9" t="str">
        <f>_xlfn.IFNA(IF(C781=Lookup!$Q$6,"END",""),"")</f>
        <v/>
      </c>
    </row>
    <row r="782" spans="2:8" x14ac:dyDescent="0.45">
      <c r="B782" s="9">
        <f t="shared" si="25"/>
        <v>777</v>
      </c>
      <c r="C782" s="9" t="e">
        <f>IF(D781=VLOOKUP(C781,Lookup!$P$5:$R$6,3,0),VLOOKUP(C781,Lookup!$P$5:$Q$6,2,0),C781)</f>
        <v>#N/A</v>
      </c>
      <c r="D782" s="22" t="e">
        <f>IF(D781=VLOOKUP(C781,Lookup!$P$5:$R$6,3,0),1,D781+1)</f>
        <v>#N/A</v>
      </c>
      <c r="E782" s="9" t="e">
        <f>IF(C782=Lookup!$P$5,INDEX('view-code'!$P$3:$P$502,'group-code'!D782),"")</f>
        <v>#N/A</v>
      </c>
      <c r="F782" s="9" t="e">
        <f>IF(C782=Lookup!$P$6,INDEX('card-code'!$P$3:$P$502,'group-code'!D782),"")</f>
        <v>#N/A</v>
      </c>
      <c r="G782" s="9" t="str">
        <f t="shared" si="24"/>
        <v/>
      </c>
      <c r="H782" s="9" t="str">
        <f>_xlfn.IFNA(IF(C782=Lookup!$Q$6,"END",""),"")</f>
        <v/>
      </c>
    </row>
    <row r="783" spans="2:8" x14ac:dyDescent="0.45">
      <c r="B783" s="9">
        <f t="shared" si="25"/>
        <v>778</v>
      </c>
      <c r="C783" s="9" t="e">
        <f>IF(D782=VLOOKUP(C782,Lookup!$P$5:$R$6,3,0),VLOOKUP(C782,Lookup!$P$5:$Q$6,2,0),C782)</f>
        <v>#N/A</v>
      </c>
      <c r="D783" s="22" t="e">
        <f>IF(D782=VLOOKUP(C782,Lookup!$P$5:$R$6,3,0),1,D782+1)</f>
        <v>#N/A</v>
      </c>
      <c r="E783" s="9" t="e">
        <f>IF(C783=Lookup!$P$5,INDEX('view-code'!$P$3:$P$502,'group-code'!D783),"")</f>
        <v>#N/A</v>
      </c>
      <c r="F783" s="9" t="e">
        <f>IF(C783=Lookup!$P$6,INDEX('card-code'!$P$3:$P$502,'group-code'!D783),"")</f>
        <v>#N/A</v>
      </c>
      <c r="G783" s="9" t="str">
        <f t="shared" si="24"/>
        <v/>
      </c>
      <c r="H783" s="9" t="str">
        <f>_xlfn.IFNA(IF(C783=Lookup!$Q$6,"END",""),"")</f>
        <v/>
      </c>
    </row>
    <row r="784" spans="2:8" x14ac:dyDescent="0.45">
      <c r="B784" s="9">
        <f t="shared" si="25"/>
        <v>779</v>
      </c>
      <c r="C784" s="9" t="e">
        <f>IF(D783=VLOOKUP(C783,Lookup!$P$5:$R$6,3,0),VLOOKUP(C783,Lookup!$P$5:$Q$6,2,0),C783)</f>
        <v>#N/A</v>
      </c>
      <c r="D784" s="22" t="e">
        <f>IF(D783=VLOOKUP(C783,Lookup!$P$5:$R$6,3,0),1,D783+1)</f>
        <v>#N/A</v>
      </c>
      <c r="E784" s="9" t="e">
        <f>IF(C784=Lookup!$P$5,INDEX('view-code'!$P$3:$P$502,'group-code'!D784),"")</f>
        <v>#N/A</v>
      </c>
      <c r="F784" s="9" t="e">
        <f>IF(C784=Lookup!$P$6,INDEX('card-code'!$P$3:$P$502,'group-code'!D784),"")</f>
        <v>#N/A</v>
      </c>
      <c r="G784" s="9" t="str">
        <f t="shared" si="24"/>
        <v/>
      </c>
      <c r="H784" s="9" t="str">
        <f>_xlfn.IFNA(IF(C784=Lookup!$Q$6,"END",""),"")</f>
        <v/>
      </c>
    </row>
    <row r="785" spans="2:8" x14ac:dyDescent="0.45">
      <c r="B785" s="9">
        <f t="shared" si="25"/>
        <v>780</v>
      </c>
      <c r="C785" s="9" t="e">
        <f>IF(D784=VLOOKUP(C784,Lookup!$P$5:$R$6,3,0),VLOOKUP(C784,Lookup!$P$5:$Q$6,2,0),C784)</f>
        <v>#N/A</v>
      </c>
      <c r="D785" s="22" t="e">
        <f>IF(D784=VLOOKUP(C784,Lookup!$P$5:$R$6,3,0),1,D784+1)</f>
        <v>#N/A</v>
      </c>
      <c r="E785" s="9" t="e">
        <f>IF(C785=Lookup!$P$5,INDEX('view-code'!$P$3:$P$502,'group-code'!D785),"")</f>
        <v>#N/A</v>
      </c>
      <c r="F785" s="9" t="e">
        <f>IF(C785=Lookup!$P$6,INDEX('card-code'!$P$3:$P$502,'group-code'!D785),"")</f>
        <v>#N/A</v>
      </c>
      <c r="G785" s="9" t="str">
        <f t="shared" si="24"/>
        <v/>
      </c>
      <c r="H785" s="9" t="str">
        <f>_xlfn.IFNA(IF(C785=Lookup!$Q$6,"END",""),"")</f>
        <v/>
      </c>
    </row>
    <row r="786" spans="2:8" x14ac:dyDescent="0.45">
      <c r="B786" s="9">
        <f t="shared" si="25"/>
        <v>781</v>
      </c>
      <c r="C786" s="9" t="e">
        <f>IF(D785=VLOOKUP(C785,Lookup!$P$5:$R$6,3,0),VLOOKUP(C785,Lookup!$P$5:$Q$6,2,0),C785)</f>
        <v>#N/A</v>
      </c>
      <c r="D786" s="22" t="e">
        <f>IF(D785=VLOOKUP(C785,Lookup!$P$5:$R$6,3,0),1,D785+1)</f>
        <v>#N/A</v>
      </c>
      <c r="E786" s="9" t="e">
        <f>IF(C786=Lookup!$P$5,INDEX('view-code'!$P$3:$P$502,'group-code'!D786),"")</f>
        <v>#N/A</v>
      </c>
      <c r="F786" s="9" t="e">
        <f>IF(C786=Lookup!$P$6,INDEX('card-code'!$P$3:$P$502,'group-code'!D786),"")</f>
        <v>#N/A</v>
      </c>
      <c r="G786" s="9" t="str">
        <f t="shared" si="24"/>
        <v/>
      </c>
      <c r="H786" s="9" t="str">
        <f>_xlfn.IFNA(IF(C786=Lookup!$Q$6,"END",""),"")</f>
        <v/>
      </c>
    </row>
    <row r="787" spans="2:8" x14ac:dyDescent="0.45">
      <c r="B787" s="9">
        <f t="shared" si="25"/>
        <v>782</v>
      </c>
      <c r="C787" s="9" t="e">
        <f>IF(D786=VLOOKUP(C786,Lookup!$P$5:$R$6,3,0),VLOOKUP(C786,Lookup!$P$5:$Q$6,2,0),C786)</f>
        <v>#N/A</v>
      </c>
      <c r="D787" s="22" t="e">
        <f>IF(D786=VLOOKUP(C786,Lookup!$P$5:$R$6,3,0),1,D786+1)</f>
        <v>#N/A</v>
      </c>
      <c r="E787" s="9" t="e">
        <f>IF(C787=Lookup!$P$5,INDEX('view-code'!$P$3:$P$502,'group-code'!D787),"")</f>
        <v>#N/A</v>
      </c>
      <c r="F787" s="9" t="e">
        <f>IF(C787=Lookup!$P$6,INDEX('card-code'!$P$3:$P$502,'group-code'!D787),"")</f>
        <v>#N/A</v>
      </c>
      <c r="G787" s="9" t="str">
        <f t="shared" si="24"/>
        <v/>
      </c>
      <c r="H787" s="9" t="str">
        <f>_xlfn.IFNA(IF(C787=Lookup!$Q$6,"END",""),"")</f>
        <v/>
      </c>
    </row>
    <row r="788" spans="2:8" x14ac:dyDescent="0.45">
      <c r="B788" s="9">
        <f t="shared" si="25"/>
        <v>783</v>
      </c>
      <c r="C788" s="9" t="e">
        <f>IF(D787=VLOOKUP(C787,Lookup!$P$5:$R$6,3,0),VLOOKUP(C787,Lookup!$P$5:$Q$6,2,0),C787)</f>
        <v>#N/A</v>
      </c>
      <c r="D788" s="22" t="e">
        <f>IF(D787=VLOOKUP(C787,Lookup!$P$5:$R$6,3,0),1,D787+1)</f>
        <v>#N/A</v>
      </c>
      <c r="E788" s="9" t="e">
        <f>IF(C788=Lookup!$P$5,INDEX('view-code'!$P$3:$P$502,'group-code'!D788),"")</f>
        <v>#N/A</v>
      </c>
      <c r="F788" s="9" t="e">
        <f>IF(C788=Lookup!$P$6,INDEX('card-code'!$P$3:$P$502,'group-code'!D788),"")</f>
        <v>#N/A</v>
      </c>
      <c r="G788" s="9" t="str">
        <f t="shared" si="24"/>
        <v/>
      </c>
      <c r="H788" s="9" t="str">
        <f>_xlfn.IFNA(IF(C788=Lookup!$Q$6,"END",""),"")</f>
        <v/>
      </c>
    </row>
    <row r="789" spans="2:8" x14ac:dyDescent="0.45">
      <c r="B789" s="9">
        <f t="shared" si="25"/>
        <v>784</v>
      </c>
      <c r="C789" s="9" t="e">
        <f>IF(D788=VLOOKUP(C788,Lookup!$P$5:$R$6,3,0),VLOOKUP(C788,Lookup!$P$5:$Q$6,2,0),C788)</f>
        <v>#N/A</v>
      </c>
      <c r="D789" s="22" t="e">
        <f>IF(D788=VLOOKUP(C788,Lookup!$P$5:$R$6,3,0),1,D788+1)</f>
        <v>#N/A</v>
      </c>
      <c r="E789" s="9" t="e">
        <f>IF(C789=Lookup!$P$5,INDEX('view-code'!$P$3:$P$502,'group-code'!D789),"")</f>
        <v>#N/A</v>
      </c>
      <c r="F789" s="9" t="e">
        <f>IF(C789=Lookup!$P$6,INDEX('card-code'!$P$3:$P$502,'group-code'!D789),"")</f>
        <v>#N/A</v>
      </c>
      <c r="G789" s="9" t="str">
        <f t="shared" si="24"/>
        <v/>
      </c>
      <c r="H789" s="9" t="str">
        <f>_xlfn.IFNA(IF(C789=Lookup!$Q$6,"END",""),"")</f>
        <v/>
      </c>
    </row>
    <row r="790" spans="2:8" x14ac:dyDescent="0.45">
      <c r="B790" s="9">
        <f t="shared" si="25"/>
        <v>785</v>
      </c>
      <c r="C790" s="9" t="e">
        <f>IF(D789=VLOOKUP(C789,Lookup!$P$5:$R$6,3,0),VLOOKUP(C789,Lookup!$P$5:$Q$6,2,0),C789)</f>
        <v>#N/A</v>
      </c>
      <c r="D790" s="22" t="e">
        <f>IF(D789=VLOOKUP(C789,Lookup!$P$5:$R$6,3,0),1,D789+1)</f>
        <v>#N/A</v>
      </c>
      <c r="E790" s="9" t="e">
        <f>IF(C790=Lookup!$P$5,INDEX('view-code'!$P$3:$P$502,'group-code'!D790),"")</f>
        <v>#N/A</v>
      </c>
      <c r="F790" s="9" t="e">
        <f>IF(C790=Lookup!$P$6,INDEX('card-code'!$P$3:$P$502,'group-code'!D790),"")</f>
        <v>#N/A</v>
      </c>
      <c r="G790" s="9" t="str">
        <f t="shared" si="24"/>
        <v/>
      </c>
      <c r="H790" s="9" t="str">
        <f>_xlfn.IFNA(IF(C790=Lookup!$Q$6,"END",""),"")</f>
        <v/>
      </c>
    </row>
    <row r="791" spans="2:8" x14ac:dyDescent="0.45">
      <c r="B791" s="9">
        <f t="shared" si="25"/>
        <v>786</v>
      </c>
      <c r="C791" s="9" t="e">
        <f>IF(D790=VLOOKUP(C790,Lookup!$P$5:$R$6,3,0),VLOOKUP(C790,Lookup!$P$5:$Q$6,2,0),C790)</f>
        <v>#N/A</v>
      </c>
      <c r="D791" s="22" t="e">
        <f>IF(D790=VLOOKUP(C790,Lookup!$P$5:$R$6,3,0),1,D790+1)</f>
        <v>#N/A</v>
      </c>
      <c r="E791" s="9" t="e">
        <f>IF(C791=Lookup!$P$5,INDEX('view-code'!$P$3:$P$502,'group-code'!D791),"")</f>
        <v>#N/A</v>
      </c>
      <c r="F791" s="9" t="e">
        <f>IF(C791=Lookup!$P$6,INDEX('card-code'!$P$3:$P$502,'group-code'!D791),"")</f>
        <v>#N/A</v>
      </c>
      <c r="G791" s="9" t="str">
        <f t="shared" si="24"/>
        <v/>
      </c>
      <c r="H791" s="9" t="str">
        <f>_xlfn.IFNA(IF(C791=Lookup!$Q$6,"END",""),"")</f>
        <v/>
      </c>
    </row>
    <row r="792" spans="2:8" x14ac:dyDescent="0.45">
      <c r="B792" s="9">
        <f t="shared" si="25"/>
        <v>787</v>
      </c>
      <c r="C792" s="9" t="e">
        <f>IF(D791=VLOOKUP(C791,Lookup!$P$5:$R$6,3,0),VLOOKUP(C791,Lookup!$P$5:$Q$6,2,0),C791)</f>
        <v>#N/A</v>
      </c>
      <c r="D792" s="22" t="e">
        <f>IF(D791=VLOOKUP(C791,Lookup!$P$5:$R$6,3,0),1,D791+1)</f>
        <v>#N/A</v>
      </c>
      <c r="E792" s="9" t="e">
        <f>IF(C792=Lookup!$P$5,INDEX('view-code'!$P$3:$P$502,'group-code'!D792),"")</f>
        <v>#N/A</v>
      </c>
      <c r="F792" s="9" t="e">
        <f>IF(C792=Lookup!$P$6,INDEX('card-code'!$P$3:$P$502,'group-code'!D792),"")</f>
        <v>#N/A</v>
      </c>
      <c r="G792" s="9" t="str">
        <f t="shared" si="24"/>
        <v/>
      </c>
      <c r="H792" s="9" t="str">
        <f>_xlfn.IFNA(IF(C792=Lookup!$Q$6,"END",""),"")</f>
        <v/>
      </c>
    </row>
    <row r="793" spans="2:8" x14ac:dyDescent="0.45">
      <c r="B793" s="9">
        <f t="shared" si="25"/>
        <v>788</v>
      </c>
      <c r="C793" s="9" t="e">
        <f>IF(D792=VLOOKUP(C792,Lookup!$P$5:$R$6,3,0),VLOOKUP(C792,Lookup!$P$5:$Q$6,2,0),C792)</f>
        <v>#N/A</v>
      </c>
      <c r="D793" s="22" t="e">
        <f>IF(D792=VLOOKUP(C792,Lookup!$P$5:$R$6,3,0),1,D792+1)</f>
        <v>#N/A</v>
      </c>
      <c r="E793" s="9" t="e">
        <f>IF(C793=Lookup!$P$5,INDEX('view-code'!$P$3:$P$502,'group-code'!D793),"")</f>
        <v>#N/A</v>
      </c>
      <c r="F793" s="9" t="e">
        <f>IF(C793=Lookup!$P$6,INDEX('card-code'!$P$3:$P$502,'group-code'!D793),"")</f>
        <v>#N/A</v>
      </c>
      <c r="G793" s="9" t="str">
        <f t="shared" si="24"/>
        <v/>
      </c>
      <c r="H793" s="9" t="str">
        <f>_xlfn.IFNA(IF(C793=Lookup!$Q$6,"END",""),"")</f>
        <v/>
      </c>
    </row>
    <row r="794" spans="2:8" x14ac:dyDescent="0.45">
      <c r="B794" s="9">
        <f t="shared" si="25"/>
        <v>789</v>
      </c>
      <c r="C794" s="9" t="e">
        <f>IF(D793=VLOOKUP(C793,Lookup!$P$5:$R$6,3,0),VLOOKUP(C793,Lookup!$P$5:$Q$6,2,0),C793)</f>
        <v>#N/A</v>
      </c>
      <c r="D794" s="22" t="e">
        <f>IF(D793=VLOOKUP(C793,Lookup!$P$5:$R$6,3,0),1,D793+1)</f>
        <v>#N/A</v>
      </c>
      <c r="E794" s="9" t="e">
        <f>IF(C794=Lookup!$P$5,INDEX('view-code'!$P$3:$P$502,'group-code'!D794),"")</f>
        <v>#N/A</v>
      </c>
      <c r="F794" s="9" t="e">
        <f>IF(C794=Lookup!$P$6,INDEX('card-code'!$P$3:$P$502,'group-code'!D794),"")</f>
        <v>#N/A</v>
      </c>
      <c r="G794" s="9" t="str">
        <f t="shared" si="24"/>
        <v/>
      </c>
      <c r="H794" s="9" t="str">
        <f>_xlfn.IFNA(IF(C794=Lookup!$Q$6,"END",""),"")</f>
        <v/>
      </c>
    </row>
    <row r="795" spans="2:8" x14ac:dyDescent="0.45">
      <c r="B795" s="9">
        <f t="shared" si="25"/>
        <v>790</v>
      </c>
      <c r="C795" s="9" t="e">
        <f>IF(D794=VLOOKUP(C794,Lookup!$P$5:$R$6,3,0),VLOOKUP(C794,Lookup!$P$5:$Q$6,2,0),C794)</f>
        <v>#N/A</v>
      </c>
      <c r="D795" s="22" t="e">
        <f>IF(D794=VLOOKUP(C794,Lookup!$P$5:$R$6,3,0),1,D794+1)</f>
        <v>#N/A</v>
      </c>
      <c r="E795" s="9" t="e">
        <f>IF(C795=Lookup!$P$5,INDEX('view-code'!$P$3:$P$502,'group-code'!D795),"")</f>
        <v>#N/A</v>
      </c>
      <c r="F795" s="9" t="e">
        <f>IF(C795=Lookup!$P$6,INDEX('card-code'!$P$3:$P$502,'group-code'!D795),"")</f>
        <v>#N/A</v>
      </c>
      <c r="G795" s="9" t="str">
        <f t="shared" si="24"/>
        <v/>
      </c>
      <c r="H795" s="9" t="str">
        <f>_xlfn.IFNA(IF(C795=Lookup!$Q$6,"END",""),"")</f>
        <v/>
      </c>
    </row>
    <row r="796" spans="2:8" x14ac:dyDescent="0.45">
      <c r="B796" s="9">
        <f t="shared" si="25"/>
        <v>791</v>
      </c>
      <c r="C796" s="9" t="e">
        <f>IF(D795=VLOOKUP(C795,Lookup!$P$5:$R$6,3,0),VLOOKUP(C795,Lookup!$P$5:$Q$6,2,0),C795)</f>
        <v>#N/A</v>
      </c>
      <c r="D796" s="22" t="e">
        <f>IF(D795=VLOOKUP(C795,Lookup!$P$5:$R$6,3,0),1,D795+1)</f>
        <v>#N/A</v>
      </c>
      <c r="E796" s="9" t="e">
        <f>IF(C796=Lookup!$P$5,INDEX('view-code'!$P$3:$P$502,'group-code'!D796),"")</f>
        <v>#N/A</v>
      </c>
      <c r="F796" s="9" t="e">
        <f>IF(C796=Lookup!$P$6,INDEX('card-code'!$P$3:$P$502,'group-code'!D796),"")</f>
        <v>#N/A</v>
      </c>
      <c r="G796" s="9" t="str">
        <f t="shared" si="24"/>
        <v/>
      </c>
      <c r="H796" s="9" t="str">
        <f>_xlfn.IFNA(IF(C796=Lookup!$Q$6,"END",""),"")</f>
        <v/>
      </c>
    </row>
    <row r="797" spans="2:8" x14ac:dyDescent="0.45">
      <c r="B797" s="9">
        <f t="shared" si="25"/>
        <v>792</v>
      </c>
      <c r="C797" s="9" t="e">
        <f>IF(D796=VLOOKUP(C796,Lookup!$P$5:$R$6,3,0),VLOOKUP(C796,Lookup!$P$5:$Q$6,2,0),C796)</f>
        <v>#N/A</v>
      </c>
      <c r="D797" s="22" t="e">
        <f>IF(D796=VLOOKUP(C796,Lookup!$P$5:$R$6,3,0),1,D796+1)</f>
        <v>#N/A</v>
      </c>
      <c r="E797" s="9" t="e">
        <f>IF(C797=Lookup!$P$5,INDEX('view-code'!$P$3:$P$502,'group-code'!D797),"")</f>
        <v>#N/A</v>
      </c>
      <c r="F797" s="9" t="e">
        <f>IF(C797=Lookup!$P$6,INDEX('card-code'!$P$3:$P$502,'group-code'!D797),"")</f>
        <v>#N/A</v>
      </c>
      <c r="G797" s="9" t="str">
        <f t="shared" si="24"/>
        <v/>
      </c>
      <c r="H797" s="9" t="str">
        <f>_xlfn.IFNA(IF(C797=Lookup!$Q$6,"END",""),"")</f>
        <v/>
      </c>
    </row>
    <row r="798" spans="2:8" x14ac:dyDescent="0.45">
      <c r="B798" s="9">
        <f t="shared" si="25"/>
        <v>793</v>
      </c>
      <c r="C798" s="9" t="e">
        <f>IF(D797=VLOOKUP(C797,Lookup!$P$5:$R$6,3,0),VLOOKUP(C797,Lookup!$P$5:$Q$6,2,0),C797)</f>
        <v>#N/A</v>
      </c>
      <c r="D798" s="22" t="e">
        <f>IF(D797=VLOOKUP(C797,Lookup!$P$5:$R$6,3,0),1,D797+1)</f>
        <v>#N/A</v>
      </c>
      <c r="E798" s="9" t="e">
        <f>IF(C798=Lookup!$P$5,INDEX('view-code'!$P$3:$P$502,'group-code'!D798),"")</f>
        <v>#N/A</v>
      </c>
      <c r="F798" s="9" t="e">
        <f>IF(C798=Lookup!$P$6,INDEX('card-code'!$P$3:$P$502,'group-code'!D798),"")</f>
        <v>#N/A</v>
      </c>
      <c r="G798" s="9" t="str">
        <f t="shared" si="24"/>
        <v/>
      </c>
      <c r="H798" s="9" t="str">
        <f>_xlfn.IFNA(IF(C798=Lookup!$Q$6,"END",""),"")</f>
        <v/>
      </c>
    </row>
    <row r="799" spans="2:8" x14ac:dyDescent="0.45">
      <c r="B799" s="9">
        <f t="shared" si="25"/>
        <v>794</v>
      </c>
      <c r="C799" s="9" t="e">
        <f>IF(D798=VLOOKUP(C798,Lookup!$P$5:$R$6,3,0),VLOOKUP(C798,Lookup!$P$5:$Q$6,2,0),C798)</f>
        <v>#N/A</v>
      </c>
      <c r="D799" s="22" t="e">
        <f>IF(D798=VLOOKUP(C798,Lookup!$P$5:$R$6,3,0),1,D798+1)</f>
        <v>#N/A</v>
      </c>
      <c r="E799" s="9" t="e">
        <f>IF(C799=Lookup!$P$5,INDEX('view-code'!$P$3:$P$502,'group-code'!D799),"")</f>
        <v>#N/A</v>
      </c>
      <c r="F799" s="9" t="e">
        <f>IF(C799=Lookup!$P$6,INDEX('card-code'!$P$3:$P$502,'group-code'!D799),"")</f>
        <v>#N/A</v>
      </c>
      <c r="G799" s="9" t="str">
        <f t="shared" si="24"/>
        <v/>
      </c>
      <c r="H799" s="9" t="str">
        <f>_xlfn.IFNA(IF(C799=Lookup!$Q$6,"END",""),"")</f>
        <v/>
      </c>
    </row>
    <row r="800" spans="2:8" x14ac:dyDescent="0.45">
      <c r="B800" s="9">
        <f t="shared" si="25"/>
        <v>795</v>
      </c>
      <c r="C800" s="9" t="e">
        <f>IF(D799=VLOOKUP(C799,Lookup!$P$5:$R$6,3,0),VLOOKUP(C799,Lookup!$P$5:$Q$6,2,0),C799)</f>
        <v>#N/A</v>
      </c>
      <c r="D800" s="22" t="e">
        <f>IF(D799=VLOOKUP(C799,Lookup!$P$5:$R$6,3,0),1,D799+1)</f>
        <v>#N/A</v>
      </c>
      <c r="E800" s="9" t="e">
        <f>IF(C800=Lookup!$P$5,INDEX('view-code'!$P$3:$P$502,'group-code'!D800),"")</f>
        <v>#N/A</v>
      </c>
      <c r="F800" s="9" t="e">
        <f>IF(C800=Lookup!$P$6,INDEX('card-code'!$P$3:$P$502,'group-code'!D800),"")</f>
        <v>#N/A</v>
      </c>
      <c r="G800" s="9" t="str">
        <f t="shared" si="24"/>
        <v/>
      </c>
      <c r="H800" s="9" t="str">
        <f>_xlfn.IFNA(IF(C800=Lookup!$Q$6,"END",""),"")</f>
        <v/>
      </c>
    </row>
    <row r="801" spans="2:8" x14ac:dyDescent="0.45">
      <c r="B801" s="9">
        <f t="shared" si="25"/>
        <v>796</v>
      </c>
      <c r="C801" s="9" t="e">
        <f>IF(D800=VLOOKUP(C800,Lookup!$P$5:$R$6,3,0),VLOOKUP(C800,Lookup!$P$5:$Q$6,2,0),C800)</f>
        <v>#N/A</v>
      </c>
      <c r="D801" s="22" t="e">
        <f>IF(D800=VLOOKUP(C800,Lookup!$P$5:$R$6,3,0),1,D800+1)</f>
        <v>#N/A</v>
      </c>
      <c r="E801" s="9" t="e">
        <f>IF(C801=Lookup!$P$5,INDEX('view-code'!$P$3:$P$502,'group-code'!D801),"")</f>
        <v>#N/A</v>
      </c>
      <c r="F801" s="9" t="e">
        <f>IF(C801=Lookup!$P$6,INDEX('card-code'!$P$3:$P$502,'group-code'!D801),"")</f>
        <v>#N/A</v>
      </c>
      <c r="G801" s="9" t="str">
        <f t="shared" si="24"/>
        <v/>
      </c>
      <c r="H801" s="9" t="str">
        <f>_xlfn.IFNA(IF(C801=Lookup!$Q$6,"END",""),"")</f>
        <v/>
      </c>
    </row>
    <row r="802" spans="2:8" x14ac:dyDescent="0.45">
      <c r="B802" s="9">
        <f t="shared" si="25"/>
        <v>797</v>
      </c>
      <c r="C802" s="9" t="e">
        <f>IF(D801=VLOOKUP(C801,Lookup!$P$5:$R$6,3,0),VLOOKUP(C801,Lookup!$P$5:$Q$6,2,0),C801)</f>
        <v>#N/A</v>
      </c>
      <c r="D802" s="22" t="e">
        <f>IF(D801=VLOOKUP(C801,Lookup!$P$5:$R$6,3,0),1,D801+1)</f>
        <v>#N/A</v>
      </c>
      <c r="E802" s="9" t="e">
        <f>IF(C802=Lookup!$P$5,INDEX('view-code'!$P$3:$P$502,'group-code'!D802),"")</f>
        <v>#N/A</v>
      </c>
      <c r="F802" s="9" t="e">
        <f>IF(C802=Lookup!$P$6,INDEX('card-code'!$P$3:$P$502,'group-code'!D802),"")</f>
        <v>#N/A</v>
      </c>
      <c r="G802" s="9" t="str">
        <f t="shared" si="24"/>
        <v/>
      </c>
      <c r="H802" s="9" t="str">
        <f>_xlfn.IFNA(IF(C802=Lookup!$Q$6,"END",""),"")</f>
        <v/>
      </c>
    </row>
    <row r="803" spans="2:8" x14ac:dyDescent="0.45">
      <c r="B803" s="9">
        <f t="shared" si="25"/>
        <v>798</v>
      </c>
      <c r="C803" s="9" t="e">
        <f>IF(D802=VLOOKUP(C802,Lookup!$P$5:$R$6,3,0),VLOOKUP(C802,Lookup!$P$5:$Q$6,2,0),C802)</f>
        <v>#N/A</v>
      </c>
      <c r="D803" s="22" t="e">
        <f>IF(D802=VLOOKUP(C802,Lookup!$P$5:$R$6,3,0),1,D802+1)</f>
        <v>#N/A</v>
      </c>
      <c r="E803" s="9" t="e">
        <f>IF(C803=Lookup!$P$5,INDEX('view-code'!$P$3:$P$502,'group-code'!D803),"")</f>
        <v>#N/A</v>
      </c>
      <c r="F803" s="9" t="e">
        <f>IF(C803=Lookup!$P$6,INDEX('card-code'!$P$3:$P$502,'group-code'!D803),"")</f>
        <v>#N/A</v>
      </c>
      <c r="G803" s="9" t="str">
        <f t="shared" si="24"/>
        <v/>
      </c>
      <c r="H803" s="9" t="str">
        <f>_xlfn.IFNA(IF(C803=Lookup!$Q$6,"END",""),"")</f>
        <v/>
      </c>
    </row>
    <row r="804" spans="2:8" x14ac:dyDescent="0.45">
      <c r="B804" s="9">
        <f t="shared" si="25"/>
        <v>799</v>
      </c>
      <c r="C804" s="9" t="e">
        <f>IF(D803=VLOOKUP(C803,Lookup!$P$5:$R$6,3,0),VLOOKUP(C803,Lookup!$P$5:$Q$6,2,0),C803)</f>
        <v>#N/A</v>
      </c>
      <c r="D804" s="22" t="e">
        <f>IF(D803=VLOOKUP(C803,Lookup!$P$5:$R$6,3,0),1,D803+1)</f>
        <v>#N/A</v>
      </c>
      <c r="E804" s="9" t="e">
        <f>IF(C804=Lookup!$P$5,INDEX('view-code'!$P$3:$P$502,'group-code'!D804),"")</f>
        <v>#N/A</v>
      </c>
      <c r="F804" s="9" t="e">
        <f>IF(C804=Lookup!$P$6,INDEX('card-code'!$P$3:$P$502,'group-code'!D804),"")</f>
        <v>#N/A</v>
      </c>
      <c r="G804" s="9" t="str">
        <f t="shared" si="24"/>
        <v/>
      </c>
      <c r="H804" s="9" t="str">
        <f>_xlfn.IFNA(IF(C804=Lookup!$Q$6,"END",""),"")</f>
        <v/>
      </c>
    </row>
    <row r="805" spans="2:8" x14ac:dyDescent="0.45">
      <c r="B805" s="9">
        <f t="shared" si="25"/>
        <v>800</v>
      </c>
      <c r="C805" s="9" t="e">
        <f>IF(D804=VLOOKUP(C804,Lookup!$P$5:$R$6,3,0),VLOOKUP(C804,Lookup!$P$5:$Q$6,2,0),C804)</f>
        <v>#N/A</v>
      </c>
      <c r="D805" s="22" t="e">
        <f>IF(D804=VLOOKUP(C804,Lookup!$P$5:$R$6,3,0),1,D804+1)</f>
        <v>#N/A</v>
      </c>
      <c r="E805" s="9" t="e">
        <f>IF(C805=Lookup!$P$5,INDEX('view-code'!$P$3:$P$502,'group-code'!D805),"")</f>
        <v>#N/A</v>
      </c>
      <c r="F805" s="9" t="e">
        <f>IF(C805=Lookup!$P$6,INDEX('card-code'!$P$3:$P$502,'group-code'!D805),"")</f>
        <v>#N/A</v>
      </c>
      <c r="G805" s="9" t="str">
        <f t="shared" si="24"/>
        <v/>
      </c>
      <c r="H805" s="9" t="str">
        <f>_xlfn.IFNA(IF(C805=Lookup!$Q$6,"END",""),"")</f>
        <v/>
      </c>
    </row>
    <row r="806" spans="2:8" x14ac:dyDescent="0.45">
      <c r="B806" s="9">
        <f t="shared" si="25"/>
        <v>801</v>
      </c>
      <c r="C806" s="9" t="e">
        <f>IF(D805=VLOOKUP(C805,Lookup!$P$5:$R$6,3,0),VLOOKUP(C805,Lookup!$P$5:$Q$6,2,0),C805)</f>
        <v>#N/A</v>
      </c>
      <c r="D806" s="22" t="e">
        <f>IF(D805=VLOOKUP(C805,Lookup!$P$5:$R$6,3,0),1,D805+1)</f>
        <v>#N/A</v>
      </c>
      <c r="E806" s="9" t="e">
        <f>IF(C806=Lookup!$P$5,INDEX('view-code'!$P$3:$P$502,'group-code'!D806),"")</f>
        <v>#N/A</v>
      </c>
      <c r="F806" s="9" t="e">
        <f>IF(C806=Lookup!$P$6,INDEX('card-code'!$P$3:$P$502,'group-code'!D806),"")</f>
        <v>#N/A</v>
      </c>
      <c r="G806" s="9" t="str">
        <f t="shared" si="24"/>
        <v/>
      </c>
      <c r="H806" s="9" t="str">
        <f>_xlfn.IFNA(IF(C806=Lookup!$Q$6,"END",""),"")</f>
        <v/>
      </c>
    </row>
    <row r="807" spans="2:8" x14ac:dyDescent="0.45">
      <c r="B807" s="9">
        <f t="shared" si="25"/>
        <v>802</v>
      </c>
      <c r="C807" s="9" t="e">
        <f>IF(D806=VLOOKUP(C806,Lookup!$P$5:$R$6,3,0),VLOOKUP(C806,Lookup!$P$5:$Q$6,2,0),C806)</f>
        <v>#N/A</v>
      </c>
      <c r="D807" s="22" t="e">
        <f>IF(D806=VLOOKUP(C806,Lookup!$P$5:$R$6,3,0),1,D806+1)</f>
        <v>#N/A</v>
      </c>
      <c r="E807" s="9" t="e">
        <f>IF(C807=Lookup!$P$5,INDEX('view-code'!$P$3:$P$502,'group-code'!D807),"")</f>
        <v>#N/A</v>
      </c>
      <c r="F807" s="9" t="e">
        <f>IF(C807=Lookup!$P$6,INDEX('card-code'!$P$3:$P$502,'group-code'!D807),"")</f>
        <v>#N/A</v>
      </c>
      <c r="G807" s="9" t="str">
        <f t="shared" si="24"/>
        <v/>
      </c>
      <c r="H807" s="9" t="str">
        <f>_xlfn.IFNA(IF(C807=Lookup!$Q$6,"END",""),"")</f>
        <v/>
      </c>
    </row>
    <row r="808" spans="2:8" x14ac:dyDescent="0.45">
      <c r="B808" s="9">
        <f t="shared" si="25"/>
        <v>803</v>
      </c>
      <c r="C808" s="9" t="e">
        <f>IF(D807=VLOOKUP(C807,Lookup!$P$5:$R$6,3,0),VLOOKUP(C807,Lookup!$P$5:$Q$6,2,0),C807)</f>
        <v>#N/A</v>
      </c>
      <c r="D808" s="22" t="e">
        <f>IF(D807=VLOOKUP(C807,Lookup!$P$5:$R$6,3,0),1,D807+1)</f>
        <v>#N/A</v>
      </c>
      <c r="E808" s="9" t="e">
        <f>IF(C808=Lookup!$P$5,INDEX('view-code'!$P$3:$P$502,'group-code'!D808),"")</f>
        <v>#N/A</v>
      </c>
      <c r="F808" s="9" t="e">
        <f>IF(C808=Lookup!$P$6,INDEX('card-code'!$P$3:$P$502,'group-code'!D808),"")</f>
        <v>#N/A</v>
      </c>
      <c r="G808" s="9" t="str">
        <f t="shared" si="24"/>
        <v/>
      </c>
      <c r="H808" s="9" t="str">
        <f>_xlfn.IFNA(IF(C808=Lookup!$Q$6,"END",""),"")</f>
        <v/>
      </c>
    </row>
    <row r="809" spans="2:8" x14ac:dyDescent="0.45">
      <c r="B809" s="9">
        <f t="shared" si="25"/>
        <v>804</v>
      </c>
      <c r="C809" s="9" t="e">
        <f>IF(D808=VLOOKUP(C808,Lookup!$P$5:$R$6,3,0),VLOOKUP(C808,Lookup!$P$5:$Q$6,2,0),C808)</f>
        <v>#N/A</v>
      </c>
      <c r="D809" s="22" t="e">
        <f>IF(D808=VLOOKUP(C808,Lookup!$P$5:$R$6,3,0),1,D808+1)</f>
        <v>#N/A</v>
      </c>
      <c r="E809" s="9" t="e">
        <f>IF(C809=Lookup!$P$5,INDEX('view-code'!$P$3:$P$502,'group-code'!D809),"")</f>
        <v>#N/A</v>
      </c>
      <c r="F809" s="9" t="e">
        <f>IF(C809=Lookup!$P$6,INDEX('card-code'!$P$3:$P$502,'group-code'!D809),"")</f>
        <v>#N/A</v>
      </c>
      <c r="G809" s="9" t="str">
        <f t="shared" si="24"/>
        <v/>
      </c>
      <c r="H809" s="9" t="str">
        <f>_xlfn.IFNA(IF(C809=Lookup!$Q$6,"END",""),"")</f>
        <v/>
      </c>
    </row>
    <row r="810" spans="2:8" x14ac:dyDescent="0.45">
      <c r="B810" s="9">
        <f t="shared" si="25"/>
        <v>805</v>
      </c>
      <c r="C810" s="9" t="e">
        <f>IF(D809=VLOOKUP(C809,Lookup!$P$5:$R$6,3,0),VLOOKUP(C809,Lookup!$P$5:$Q$6,2,0),C809)</f>
        <v>#N/A</v>
      </c>
      <c r="D810" s="22" t="e">
        <f>IF(D809=VLOOKUP(C809,Lookup!$P$5:$R$6,3,0),1,D809+1)</f>
        <v>#N/A</v>
      </c>
      <c r="E810" s="9" t="e">
        <f>IF(C810=Lookup!$P$5,INDEX('view-code'!$P$3:$P$502,'group-code'!D810),"")</f>
        <v>#N/A</v>
      </c>
      <c r="F810" s="9" t="e">
        <f>IF(C810=Lookup!$P$6,INDEX('card-code'!$P$3:$P$502,'group-code'!D810),"")</f>
        <v>#N/A</v>
      </c>
      <c r="G810" s="9" t="str">
        <f t="shared" si="24"/>
        <v/>
      </c>
      <c r="H810" s="9" t="str">
        <f>_xlfn.IFNA(IF(C810=Lookup!$Q$6,"END",""),"")</f>
        <v/>
      </c>
    </row>
    <row r="811" spans="2:8" x14ac:dyDescent="0.45">
      <c r="B811" s="9">
        <f t="shared" si="25"/>
        <v>806</v>
      </c>
      <c r="C811" s="9" t="e">
        <f>IF(D810=VLOOKUP(C810,Lookup!$P$5:$R$6,3,0),VLOOKUP(C810,Lookup!$P$5:$Q$6,2,0),C810)</f>
        <v>#N/A</v>
      </c>
      <c r="D811" s="22" t="e">
        <f>IF(D810=VLOOKUP(C810,Lookup!$P$5:$R$6,3,0),1,D810+1)</f>
        <v>#N/A</v>
      </c>
      <c r="E811" s="9" t="e">
        <f>IF(C811=Lookup!$P$5,INDEX('view-code'!$P$3:$P$502,'group-code'!D811),"")</f>
        <v>#N/A</v>
      </c>
      <c r="F811" s="9" t="e">
        <f>IF(C811=Lookup!$P$6,INDEX('card-code'!$P$3:$P$502,'group-code'!D811),"")</f>
        <v>#N/A</v>
      </c>
      <c r="G811" s="9" t="str">
        <f t="shared" si="24"/>
        <v/>
      </c>
      <c r="H811" s="9" t="str">
        <f>_xlfn.IFNA(IF(C811=Lookup!$Q$6,"END",""),"")</f>
        <v/>
      </c>
    </row>
    <row r="812" spans="2:8" x14ac:dyDescent="0.45">
      <c r="B812" s="9">
        <f t="shared" si="25"/>
        <v>807</v>
      </c>
      <c r="C812" s="9" t="e">
        <f>IF(D811=VLOOKUP(C811,Lookup!$P$5:$R$6,3,0),VLOOKUP(C811,Lookup!$P$5:$Q$6,2,0),C811)</f>
        <v>#N/A</v>
      </c>
      <c r="D812" s="22" t="e">
        <f>IF(D811=VLOOKUP(C811,Lookup!$P$5:$R$6,3,0),1,D811+1)</f>
        <v>#N/A</v>
      </c>
      <c r="E812" s="9" t="e">
        <f>IF(C812=Lookup!$P$5,INDEX('view-code'!$P$3:$P$502,'group-code'!D812),"")</f>
        <v>#N/A</v>
      </c>
      <c r="F812" s="9" t="e">
        <f>IF(C812=Lookup!$P$6,INDEX('card-code'!$P$3:$P$502,'group-code'!D812),"")</f>
        <v>#N/A</v>
      </c>
      <c r="G812" s="9" t="str">
        <f t="shared" si="24"/>
        <v/>
      </c>
      <c r="H812" s="9" t="str">
        <f>_xlfn.IFNA(IF(C812=Lookup!$Q$6,"END",""),"")</f>
        <v/>
      </c>
    </row>
    <row r="813" spans="2:8" x14ac:dyDescent="0.45">
      <c r="B813" s="9">
        <f t="shared" si="25"/>
        <v>808</v>
      </c>
      <c r="C813" s="9" t="e">
        <f>IF(D812=VLOOKUP(C812,Lookup!$P$5:$R$6,3,0),VLOOKUP(C812,Lookup!$P$5:$Q$6,2,0),C812)</f>
        <v>#N/A</v>
      </c>
      <c r="D813" s="22" t="e">
        <f>IF(D812=VLOOKUP(C812,Lookup!$P$5:$R$6,3,0),1,D812+1)</f>
        <v>#N/A</v>
      </c>
      <c r="E813" s="9" t="e">
        <f>IF(C813=Lookup!$P$5,INDEX('view-code'!$P$3:$P$502,'group-code'!D813),"")</f>
        <v>#N/A</v>
      </c>
      <c r="F813" s="9" t="e">
        <f>IF(C813=Lookup!$P$6,INDEX('card-code'!$P$3:$P$502,'group-code'!D813),"")</f>
        <v>#N/A</v>
      </c>
      <c r="G813" s="9" t="str">
        <f t="shared" si="24"/>
        <v/>
      </c>
      <c r="H813" s="9" t="str">
        <f>_xlfn.IFNA(IF(C813=Lookup!$Q$6,"END",""),"")</f>
        <v/>
      </c>
    </row>
    <row r="814" spans="2:8" x14ac:dyDescent="0.45">
      <c r="B814" s="9">
        <f t="shared" si="25"/>
        <v>809</v>
      </c>
      <c r="C814" s="9" t="e">
        <f>IF(D813=VLOOKUP(C813,Lookup!$P$5:$R$6,3,0),VLOOKUP(C813,Lookup!$P$5:$Q$6,2,0),C813)</f>
        <v>#N/A</v>
      </c>
      <c r="D814" s="22" t="e">
        <f>IF(D813=VLOOKUP(C813,Lookup!$P$5:$R$6,3,0),1,D813+1)</f>
        <v>#N/A</v>
      </c>
      <c r="E814" s="9" t="e">
        <f>IF(C814=Lookup!$P$5,INDEX('view-code'!$P$3:$P$502,'group-code'!D814),"")</f>
        <v>#N/A</v>
      </c>
      <c r="F814" s="9" t="e">
        <f>IF(C814=Lookup!$P$6,INDEX('card-code'!$P$3:$P$502,'group-code'!D814),"")</f>
        <v>#N/A</v>
      </c>
      <c r="G814" s="9" t="str">
        <f t="shared" si="24"/>
        <v/>
      </c>
      <c r="H814" s="9" t="str">
        <f>_xlfn.IFNA(IF(C814=Lookup!$Q$6,"END",""),"")</f>
        <v/>
      </c>
    </row>
    <row r="815" spans="2:8" x14ac:dyDescent="0.45">
      <c r="B815" s="9">
        <f t="shared" si="25"/>
        <v>810</v>
      </c>
      <c r="C815" s="9" t="e">
        <f>IF(D814=VLOOKUP(C814,Lookup!$P$5:$R$6,3,0),VLOOKUP(C814,Lookup!$P$5:$Q$6,2,0),C814)</f>
        <v>#N/A</v>
      </c>
      <c r="D815" s="22" t="e">
        <f>IF(D814=VLOOKUP(C814,Lookup!$P$5:$R$6,3,0),1,D814+1)</f>
        <v>#N/A</v>
      </c>
      <c r="E815" s="9" t="e">
        <f>IF(C815=Lookup!$P$5,INDEX('view-code'!$P$3:$P$502,'group-code'!D815),"")</f>
        <v>#N/A</v>
      </c>
      <c r="F815" s="9" t="e">
        <f>IF(C815=Lookup!$P$6,INDEX('card-code'!$P$3:$P$502,'group-code'!D815),"")</f>
        <v>#N/A</v>
      </c>
      <c r="G815" s="9" t="str">
        <f t="shared" si="24"/>
        <v/>
      </c>
      <c r="H815" s="9" t="str">
        <f>_xlfn.IFNA(IF(C815=Lookup!$Q$6,"END",""),"")</f>
        <v/>
      </c>
    </row>
    <row r="816" spans="2:8" x14ac:dyDescent="0.45">
      <c r="B816" s="9">
        <f t="shared" si="25"/>
        <v>811</v>
      </c>
      <c r="C816" s="9" t="e">
        <f>IF(D815=VLOOKUP(C815,Lookup!$P$5:$R$6,3,0),VLOOKUP(C815,Lookup!$P$5:$Q$6,2,0),C815)</f>
        <v>#N/A</v>
      </c>
      <c r="D816" s="22" t="e">
        <f>IF(D815=VLOOKUP(C815,Lookup!$P$5:$R$6,3,0),1,D815+1)</f>
        <v>#N/A</v>
      </c>
      <c r="E816" s="9" t="e">
        <f>IF(C816=Lookup!$P$5,INDEX('view-code'!$P$3:$P$502,'group-code'!D816),"")</f>
        <v>#N/A</v>
      </c>
      <c r="F816" s="9" t="e">
        <f>IF(C816=Lookup!$P$6,INDEX('card-code'!$P$3:$P$502,'group-code'!D816),"")</f>
        <v>#N/A</v>
      </c>
      <c r="G816" s="9" t="str">
        <f t="shared" si="24"/>
        <v/>
      </c>
      <c r="H816" s="9" t="str">
        <f>_xlfn.IFNA(IF(C816=Lookup!$Q$6,"END",""),"")</f>
        <v/>
      </c>
    </row>
    <row r="817" spans="2:8" x14ac:dyDescent="0.45">
      <c r="B817" s="9">
        <f t="shared" si="25"/>
        <v>812</v>
      </c>
      <c r="C817" s="9" t="e">
        <f>IF(D816=VLOOKUP(C816,Lookup!$P$5:$R$6,3,0),VLOOKUP(C816,Lookup!$P$5:$Q$6,2,0),C816)</f>
        <v>#N/A</v>
      </c>
      <c r="D817" s="22" t="e">
        <f>IF(D816=VLOOKUP(C816,Lookup!$P$5:$R$6,3,0),1,D816+1)</f>
        <v>#N/A</v>
      </c>
      <c r="E817" s="9" t="e">
        <f>IF(C817=Lookup!$P$5,INDEX('view-code'!$P$3:$P$502,'group-code'!D817),"")</f>
        <v>#N/A</v>
      </c>
      <c r="F817" s="9" t="e">
        <f>IF(C817=Lookup!$P$6,INDEX('card-code'!$P$3:$P$502,'group-code'!D817),"")</f>
        <v>#N/A</v>
      </c>
      <c r="G817" s="9" t="str">
        <f t="shared" si="24"/>
        <v/>
      </c>
      <c r="H817" s="9" t="str">
        <f>_xlfn.IFNA(IF(C817=Lookup!$Q$6,"END",""),"")</f>
        <v/>
      </c>
    </row>
    <row r="818" spans="2:8" x14ac:dyDescent="0.45">
      <c r="B818" s="9">
        <f t="shared" si="25"/>
        <v>813</v>
      </c>
      <c r="C818" s="9" t="e">
        <f>IF(D817=VLOOKUP(C817,Lookup!$P$5:$R$6,3,0),VLOOKUP(C817,Lookup!$P$5:$Q$6,2,0),C817)</f>
        <v>#N/A</v>
      </c>
      <c r="D818" s="22" t="e">
        <f>IF(D817=VLOOKUP(C817,Lookup!$P$5:$R$6,3,0),1,D817+1)</f>
        <v>#N/A</v>
      </c>
      <c r="E818" s="9" t="e">
        <f>IF(C818=Lookup!$P$5,INDEX('view-code'!$P$3:$P$502,'group-code'!D818),"")</f>
        <v>#N/A</v>
      </c>
      <c r="F818" s="9" t="e">
        <f>IF(C818=Lookup!$P$6,INDEX('card-code'!$P$3:$P$502,'group-code'!D818),"")</f>
        <v>#N/A</v>
      </c>
      <c r="G818" s="9" t="str">
        <f t="shared" si="24"/>
        <v/>
      </c>
      <c r="H818" s="9" t="str">
        <f>_xlfn.IFNA(IF(C818=Lookup!$Q$6,"END",""),"")</f>
        <v/>
      </c>
    </row>
    <row r="819" spans="2:8" x14ac:dyDescent="0.45">
      <c r="B819" s="9">
        <f t="shared" si="25"/>
        <v>814</v>
      </c>
      <c r="C819" s="9" t="e">
        <f>IF(D818=VLOOKUP(C818,Lookup!$P$5:$R$6,3,0),VLOOKUP(C818,Lookup!$P$5:$Q$6,2,0),C818)</f>
        <v>#N/A</v>
      </c>
      <c r="D819" s="22" t="e">
        <f>IF(D818=VLOOKUP(C818,Lookup!$P$5:$R$6,3,0),1,D818+1)</f>
        <v>#N/A</v>
      </c>
      <c r="E819" s="9" t="e">
        <f>IF(C819=Lookup!$P$5,INDEX('view-code'!$P$3:$P$502,'group-code'!D819),"")</f>
        <v>#N/A</v>
      </c>
      <c r="F819" s="9" t="e">
        <f>IF(C819=Lookup!$P$6,INDEX('card-code'!$P$3:$P$502,'group-code'!D819),"")</f>
        <v>#N/A</v>
      </c>
      <c r="G819" s="9" t="str">
        <f t="shared" si="24"/>
        <v/>
      </c>
      <c r="H819" s="9" t="str">
        <f>_xlfn.IFNA(IF(C819=Lookup!$Q$6,"END",""),"")</f>
        <v/>
      </c>
    </row>
    <row r="820" spans="2:8" x14ac:dyDescent="0.45">
      <c r="B820" s="9">
        <f t="shared" si="25"/>
        <v>815</v>
      </c>
      <c r="C820" s="9" t="e">
        <f>IF(D819=VLOOKUP(C819,Lookup!$P$5:$R$6,3,0),VLOOKUP(C819,Lookup!$P$5:$Q$6,2,0),C819)</f>
        <v>#N/A</v>
      </c>
      <c r="D820" s="22" t="e">
        <f>IF(D819=VLOOKUP(C819,Lookup!$P$5:$R$6,3,0),1,D819+1)</f>
        <v>#N/A</v>
      </c>
      <c r="E820" s="9" t="e">
        <f>IF(C820=Lookup!$P$5,INDEX('view-code'!$P$3:$P$502,'group-code'!D820),"")</f>
        <v>#N/A</v>
      </c>
      <c r="F820" s="9" t="e">
        <f>IF(C820=Lookup!$P$6,INDEX('card-code'!$P$3:$P$502,'group-code'!D820),"")</f>
        <v>#N/A</v>
      </c>
      <c r="G820" s="9" t="str">
        <f t="shared" si="24"/>
        <v/>
      </c>
      <c r="H820" s="9" t="str">
        <f>_xlfn.IFNA(IF(C820=Lookup!$Q$6,"END",""),"")</f>
        <v/>
      </c>
    </row>
    <row r="821" spans="2:8" x14ac:dyDescent="0.45">
      <c r="B821" s="9">
        <f t="shared" si="25"/>
        <v>816</v>
      </c>
      <c r="C821" s="9" t="e">
        <f>IF(D820=VLOOKUP(C820,Lookup!$P$5:$R$6,3,0),VLOOKUP(C820,Lookup!$P$5:$Q$6,2,0),C820)</f>
        <v>#N/A</v>
      </c>
      <c r="D821" s="22" t="e">
        <f>IF(D820=VLOOKUP(C820,Lookup!$P$5:$R$6,3,0),1,D820+1)</f>
        <v>#N/A</v>
      </c>
      <c r="E821" s="9" t="e">
        <f>IF(C821=Lookup!$P$5,INDEX('view-code'!$P$3:$P$502,'group-code'!D821),"")</f>
        <v>#N/A</v>
      </c>
      <c r="F821" s="9" t="e">
        <f>IF(C821=Lookup!$P$6,INDEX('card-code'!$P$3:$P$502,'group-code'!D821),"")</f>
        <v>#N/A</v>
      </c>
      <c r="G821" s="9" t="str">
        <f t="shared" si="24"/>
        <v/>
      </c>
      <c r="H821" s="9" t="str">
        <f>_xlfn.IFNA(IF(C821=Lookup!$Q$6,"END",""),"")</f>
        <v/>
      </c>
    </row>
    <row r="822" spans="2:8" x14ac:dyDescent="0.45">
      <c r="B822" s="9">
        <f t="shared" si="25"/>
        <v>817</v>
      </c>
      <c r="C822" s="9" t="e">
        <f>IF(D821=VLOOKUP(C821,Lookup!$P$5:$R$6,3,0),VLOOKUP(C821,Lookup!$P$5:$Q$6,2,0),C821)</f>
        <v>#N/A</v>
      </c>
      <c r="D822" s="22" t="e">
        <f>IF(D821=VLOOKUP(C821,Lookup!$P$5:$R$6,3,0),1,D821+1)</f>
        <v>#N/A</v>
      </c>
      <c r="E822" s="9" t="e">
        <f>IF(C822=Lookup!$P$5,INDEX('view-code'!$P$3:$P$502,'group-code'!D822),"")</f>
        <v>#N/A</v>
      </c>
      <c r="F822" s="9" t="e">
        <f>IF(C822=Lookup!$P$6,INDEX('card-code'!$P$3:$P$502,'group-code'!D822),"")</f>
        <v>#N/A</v>
      </c>
      <c r="G822" s="9" t="str">
        <f t="shared" si="24"/>
        <v/>
      </c>
      <c r="H822" s="9" t="str">
        <f>_xlfn.IFNA(IF(C822=Lookup!$Q$6,"END",""),"")</f>
        <v/>
      </c>
    </row>
    <row r="823" spans="2:8" x14ac:dyDescent="0.45">
      <c r="B823" s="9">
        <f t="shared" si="25"/>
        <v>818</v>
      </c>
      <c r="C823" s="9" t="e">
        <f>IF(D822=VLOOKUP(C822,Lookup!$P$5:$R$6,3,0),VLOOKUP(C822,Lookup!$P$5:$Q$6,2,0),C822)</f>
        <v>#N/A</v>
      </c>
      <c r="D823" s="22" t="e">
        <f>IF(D822=VLOOKUP(C822,Lookup!$P$5:$R$6,3,0),1,D822+1)</f>
        <v>#N/A</v>
      </c>
      <c r="E823" s="9" t="e">
        <f>IF(C823=Lookup!$P$5,INDEX('view-code'!$P$3:$P$502,'group-code'!D823),"")</f>
        <v>#N/A</v>
      </c>
      <c r="F823" s="9" t="e">
        <f>IF(C823=Lookup!$P$6,INDEX('card-code'!$P$3:$P$502,'group-code'!D823),"")</f>
        <v>#N/A</v>
      </c>
      <c r="G823" s="9" t="str">
        <f t="shared" si="24"/>
        <v/>
      </c>
      <c r="H823" s="9" t="str">
        <f>_xlfn.IFNA(IF(C823=Lookup!$Q$6,"END",""),"")</f>
        <v/>
      </c>
    </row>
    <row r="824" spans="2:8" x14ac:dyDescent="0.45">
      <c r="B824" s="9">
        <f t="shared" si="25"/>
        <v>819</v>
      </c>
      <c r="C824" s="9" t="e">
        <f>IF(D823=VLOOKUP(C823,Lookup!$P$5:$R$6,3,0),VLOOKUP(C823,Lookup!$P$5:$Q$6,2,0),C823)</f>
        <v>#N/A</v>
      </c>
      <c r="D824" s="22" t="e">
        <f>IF(D823=VLOOKUP(C823,Lookup!$P$5:$R$6,3,0),1,D823+1)</f>
        <v>#N/A</v>
      </c>
      <c r="E824" s="9" t="e">
        <f>IF(C824=Lookup!$P$5,INDEX('view-code'!$P$3:$P$502,'group-code'!D824),"")</f>
        <v>#N/A</v>
      </c>
      <c r="F824" s="9" t="e">
        <f>IF(C824=Lookup!$P$6,INDEX('card-code'!$P$3:$P$502,'group-code'!D824),"")</f>
        <v>#N/A</v>
      </c>
      <c r="G824" s="9" t="str">
        <f t="shared" si="24"/>
        <v/>
      </c>
      <c r="H824" s="9" t="str">
        <f>_xlfn.IFNA(IF(C824=Lookup!$Q$6,"END",""),"")</f>
        <v/>
      </c>
    </row>
    <row r="825" spans="2:8" x14ac:dyDescent="0.45">
      <c r="B825" s="9">
        <f t="shared" si="25"/>
        <v>820</v>
      </c>
      <c r="C825" s="9" t="e">
        <f>IF(D824=VLOOKUP(C824,Lookup!$P$5:$R$6,3,0),VLOOKUP(C824,Lookup!$P$5:$Q$6,2,0),C824)</f>
        <v>#N/A</v>
      </c>
      <c r="D825" s="22" t="e">
        <f>IF(D824=VLOOKUP(C824,Lookup!$P$5:$R$6,3,0),1,D824+1)</f>
        <v>#N/A</v>
      </c>
      <c r="E825" s="9" t="e">
        <f>IF(C825=Lookup!$P$5,INDEX('view-code'!$P$3:$P$502,'group-code'!D825),"")</f>
        <v>#N/A</v>
      </c>
      <c r="F825" s="9" t="e">
        <f>IF(C825=Lookup!$P$6,INDEX('card-code'!$P$3:$P$502,'group-code'!D825),"")</f>
        <v>#N/A</v>
      </c>
      <c r="G825" s="9" t="str">
        <f t="shared" si="24"/>
        <v/>
      </c>
      <c r="H825" s="9" t="str">
        <f>_xlfn.IFNA(IF(C825=Lookup!$Q$6,"END",""),"")</f>
        <v/>
      </c>
    </row>
    <row r="826" spans="2:8" x14ac:dyDescent="0.45">
      <c r="B826" s="9">
        <f t="shared" si="25"/>
        <v>821</v>
      </c>
      <c r="C826" s="9" t="e">
        <f>IF(D825=VLOOKUP(C825,Lookup!$P$5:$R$6,3,0),VLOOKUP(C825,Lookup!$P$5:$Q$6,2,0),C825)</f>
        <v>#N/A</v>
      </c>
      <c r="D826" s="22" t="e">
        <f>IF(D825=VLOOKUP(C825,Lookup!$P$5:$R$6,3,0),1,D825+1)</f>
        <v>#N/A</v>
      </c>
      <c r="E826" s="9" t="e">
        <f>IF(C826=Lookup!$P$5,INDEX('view-code'!$P$3:$P$502,'group-code'!D826),"")</f>
        <v>#N/A</v>
      </c>
      <c r="F826" s="9" t="e">
        <f>IF(C826=Lookup!$P$6,INDEX('card-code'!$P$3:$P$502,'group-code'!D826),"")</f>
        <v>#N/A</v>
      </c>
      <c r="G826" s="9" t="str">
        <f t="shared" ref="G826:G889" si="26">_xlfn.IFNA(  E826&amp;F826,  "")</f>
        <v/>
      </c>
      <c r="H826" s="9" t="str">
        <f>_xlfn.IFNA(IF(C826=Lookup!$Q$6,"END",""),"")</f>
        <v/>
      </c>
    </row>
    <row r="827" spans="2:8" x14ac:dyDescent="0.45">
      <c r="B827" s="9">
        <f t="shared" si="25"/>
        <v>822</v>
      </c>
      <c r="C827" s="9" t="e">
        <f>IF(D826=VLOOKUP(C826,Lookup!$P$5:$R$6,3,0),VLOOKUP(C826,Lookup!$P$5:$Q$6,2,0),C826)</f>
        <v>#N/A</v>
      </c>
      <c r="D827" s="22" t="e">
        <f>IF(D826=VLOOKUP(C826,Lookup!$P$5:$R$6,3,0),1,D826+1)</f>
        <v>#N/A</v>
      </c>
      <c r="E827" s="9" t="e">
        <f>IF(C827=Lookup!$P$5,INDEX('view-code'!$P$3:$P$502,'group-code'!D827),"")</f>
        <v>#N/A</v>
      </c>
      <c r="F827" s="9" t="e">
        <f>IF(C827=Lookup!$P$6,INDEX('card-code'!$P$3:$P$502,'group-code'!D827),"")</f>
        <v>#N/A</v>
      </c>
      <c r="G827" s="9" t="str">
        <f t="shared" si="26"/>
        <v/>
      </c>
      <c r="H827" s="9" t="str">
        <f>_xlfn.IFNA(IF(C827=Lookup!$Q$6,"END",""),"")</f>
        <v/>
      </c>
    </row>
    <row r="828" spans="2:8" x14ac:dyDescent="0.45">
      <c r="B828" s="9">
        <f t="shared" si="25"/>
        <v>823</v>
      </c>
      <c r="C828" s="9" t="e">
        <f>IF(D827=VLOOKUP(C827,Lookup!$P$5:$R$6,3,0),VLOOKUP(C827,Lookup!$P$5:$Q$6,2,0),C827)</f>
        <v>#N/A</v>
      </c>
      <c r="D828" s="22" t="e">
        <f>IF(D827=VLOOKUP(C827,Lookup!$P$5:$R$6,3,0),1,D827+1)</f>
        <v>#N/A</v>
      </c>
      <c r="E828" s="9" t="e">
        <f>IF(C828=Lookup!$P$5,INDEX('view-code'!$P$3:$P$502,'group-code'!D828),"")</f>
        <v>#N/A</v>
      </c>
      <c r="F828" s="9" t="e">
        <f>IF(C828=Lookup!$P$6,INDEX('card-code'!$P$3:$P$502,'group-code'!D828),"")</f>
        <v>#N/A</v>
      </c>
      <c r="G828" s="9" t="str">
        <f t="shared" si="26"/>
        <v/>
      </c>
      <c r="H828" s="9" t="str">
        <f>_xlfn.IFNA(IF(C828=Lookup!$Q$6,"END",""),"")</f>
        <v/>
      </c>
    </row>
    <row r="829" spans="2:8" x14ac:dyDescent="0.45">
      <c r="B829" s="9">
        <f t="shared" si="25"/>
        <v>824</v>
      </c>
      <c r="C829" s="9" t="e">
        <f>IF(D828=VLOOKUP(C828,Lookup!$P$5:$R$6,3,0),VLOOKUP(C828,Lookup!$P$5:$Q$6,2,0),C828)</f>
        <v>#N/A</v>
      </c>
      <c r="D829" s="22" t="e">
        <f>IF(D828=VLOOKUP(C828,Lookup!$P$5:$R$6,3,0),1,D828+1)</f>
        <v>#N/A</v>
      </c>
      <c r="E829" s="9" t="e">
        <f>IF(C829=Lookup!$P$5,INDEX('view-code'!$P$3:$P$502,'group-code'!D829),"")</f>
        <v>#N/A</v>
      </c>
      <c r="F829" s="9" t="e">
        <f>IF(C829=Lookup!$P$6,INDEX('card-code'!$P$3:$P$502,'group-code'!D829),"")</f>
        <v>#N/A</v>
      </c>
      <c r="G829" s="9" t="str">
        <f t="shared" si="26"/>
        <v/>
      </c>
      <c r="H829" s="9" t="str">
        <f>_xlfn.IFNA(IF(C829=Lookup!$Q$6,"END",""),"")</f>
        <v/>
      </c>
    </row>
    <row r="830" spans="2:8" x14ac:dyDescent="0.45">
      <c r="B830" s="9">
        <f t="shared" si="25"/>
        <v>825</v>
      </c>
      <c r="C830" s="9" t="e">
        <f>IF(D829=VLOOKUP(C829,Lookup!$P$5:$R$6,3,0),VLOOKUP(C829,Lookup!$P$5:$Q$6,2,0),C829)</f>
        <v>#N/A</v>
      </c>
      <c r="D830" s="22" t="e">
        <f>IF(D829=VLOOKUP(C829,Lookup!$P$5:$R$6,3,0),1,D829+1)</f>
        <v>#N/A</v>
      </c>
      <c r="E830" s="9" t="e">
        <f>IF(C830=Lookup!$P$5,INDEX('view-code'!$P$3:$P$502,'group-code'!D830),"")</f>
        <v>#N/A</v>
      </c>
      <c r="F830" s="9" t="e">
        <f>IF(C830=Lookup!$P$6,INDEX('card-code'!$P$3:$P$502,'group-code'!D830),"")</f>
        <v>#N/A</v>
      </c>
      <c r="G830" s="9" t="str">
        <f t="shared" si="26"/>
        <v/>
      </c>
      <c r="H830" s="9" t="str">
        <f>_xlfn.IFNA(IF(C830=Lookup!$Q$6,"END",""),"")</f>
        <v/>
      </c>
    </row>
    <row r="831" spans="2:8" x14ac:dyDescent="0.45">
      <c r="B831" s="9">
        <f t="shared" si="25"/>
        <v>826</v>
      </c>
      <c r="C831" s="9" t="e">
        <f>IF(D830=VLOOKUP(C830,Lookup!$P$5:$R$6,3,0),VLOOKUP(C830,Lookup!$P$5:$Q$6,2,0),C830)</f>
        <v>#N/A</v>
      </c>
      <c r="D831" s="22" t="e">
        <f>IF(D830=VLOOKUP(C830,Lookup!$P$5:$R$6,3,0),1,D830+1)</f>
        <v>#N/A</v>
      </c>
      <c r="E831" s="9" t="e">
        <f>IF(C831=Lookup!$P$5,INDEX('view-code'!$P$3:$P$502,'group-code'!D831),"")</f>
        <v>#N/A</v>
      </c>
      <c r="F831" s="9" t="e">
        <f>IF(C831=Lookup!$P$6,INDEX('card-code'!$P$3:$P$502,'group-code'!D831),"")</f>
        <v>#N/A</v>
      </c>
      <c r="G831" s="9" t="str">
        <f t="shared" si="26"/>
        <v/>
      </c>
      <c r="H831" s="9" t="str">
        <f>_xlfn.IFNA(IF(C831=Lookup!$Q$6,"END",""),"")</f>
        <v/>
      </c>
    </row>
    <row r="832" spans="2:8" x14ac:dyDescent="0.45">
      <c r="B832" s="9">
        <f t="shared" si="25"/>
        <v>827</v>
      </c>
      <c r="C832" s="9" t="e">
        <f>IF(D831=VLOOKUP(C831,Lookup!$P$5:$R$6,3,0),VLOOKUP(C831,Lookup!$P$5:$Q$6,2,0),C831)</f>
        <v>#N/A</v>
      </c>
      <c r="D832" s="22" t="e">
        <f>IF(D831=VLOOKUP(C831,Lookup!$P$5:$R$6,3,0),1,D831+1)</f>
        <v>#N/A</v>
      </c>
      <c r="E832" s="9" t="e">
        <f>IF(C832=Lookup!$P$5,INDEX('view-code'!$P$3:$P$502,'group-code'!D832),"")</f>
        <v>#N/A</v>
      </c>
      <c r="F832" s="9" t="e">
        <f>IF(C832=Lookup!$P$6,INDEX('card-code'!$P$3:$P$502,'group-code'!D832),"")</f>
        <v>#N/A</v>
      </c>
      <c r="G832" s="9" t="str">
        <f t="shared" si="26"/>
        <v/>
      </c>
      <c r="H832" s="9" t="str">
        <f>_xlfn.IFNA(IF(C832=Lookup!$Q$6,"END",""),"")</f>
        <v/>
      </c>
    </row>
    <row r="833" spans="2:8" x14ac:dyDescent="0.45">
      <c r="B833" s="9">
        <f t="shared" si="25"/>
        <v>828</v>
      </c>
      <c r="C833" s="9" t="e">
        <f>IF(D832=VLOOKUP(C832,Lookup!$P$5:$R$6,3,0),VLOOKUP(C832,Lookup!$P$5:$Q$6,2,0),C832)</f>
        <v>#N/A</v>
      </c>
      <c r="D833" s="22" t="e">
        <f>IF(D832=VLOOKUP(C832,Lookup!$P$5:$R$6,3,0),1,D832+1)</f>
        <v>#N/A</v>
      </c>
      <c r="E833" s="9" t="e">
        <f>IF(C833=Lookup!$P$5,INDEX('view-code'!$P$3:$P$502,'group-code'!D833),"")</f>
        <v>#N/A</v>
      </c>
      <c r="F833" s="9" t="e">
        <f>IF(C833=Lookup!$P$6,INDEX('card-code'!$P$3:$P$502,'group-code'!D833),"")</f>
        <v>#N/A</v>
      </c>
      <c r="G833" s="9" t="str">
        <f t="shared" si="26"/>
        <v/>
      </c>
      <c r="H833" s="9" t="str">
        <f>_xlfn.IFNA(IF(C833=Lookup!$Q$6,"END",""),"")</f>
        <v/>
      </c>
    </row>
    <row r="834" spans="2:8" x14ac:dyDescent="0.45">
      <c r="B834" s="9">
        <f t="shared" si="25"/>
        <v>829</v>
      </c>
      <c r="C834" s="9" t="e">
        <f>IF(D833=VLOOKUP(C833,Lookup!$P$5:$R$6,3,0),VLOOKUP(C833,Lookup!$P$5:$Q$6,2,0),C833)</f>
        <v>#N/A</v>
      </c>
      <c r="D834" s="22" t="e">
        <f>IF(D833=VLOOKUP(C833,Lookup!$P$5:$R$6,3,0),1,D833+1)</f>
        <v>#N/A</v>
      </c>
      <c r="E834" s="9" t="e">
        <f>IF(C834=Lookup!$P$5,INDEX('view-code'!$P$3:$P$502,'group-code'!D834),"")</f>
        <v>#N/A</v>
      </c>
      <c r="F834" s="9" t="e">
        <f>IF(C834=Lookup!$P$6,INDEX('card-code'!$P$3:$P$502,'group-code'!D834),"")</f>
        <v>#N/A</v>
      </c>
      <c r="G834" s="9" t="str">
        <f t="shared" si="26"/>
        <v/>
      </c>
      <c r="H834" s="9" t="str">
        <f>_xlfn.IFNA(IF(C834=Lookup!$Q$6,"END",""),"")</f>
        <v/>
      </c>
    </row>
    <row r="835" spans="2:8" x14ac:dyDescent="0.45">
      <c r="B835" s="9">
        <f t="shared" si="25"/>
        <v>830</v>
      </c>
      <c r="C835" s="9" t="e">
        <f>IF(D834=VLOOKUP(C834,Lookup!$P$5:$R$6,3,0),VLOOKUP(C834,Lookup!$P$5:$Q$6,2,0),C834)</f>
        <v>#N/A</v>
      </c>
      <c r="D835" s="22" t="e">
        <f>IF(D834=VLOOKUP(C834,Lookup!$P$5:$R$6,3,0),1,D834+1)</f>
        <v>#N/A</v>
      </c>
      <c r="E835" s="9" t="e">
        <f>IF(C835=Lookup!$P$5,INDEX('view-code'!$P$3:$P$502,'group-code'!D835),"")</f>
        <v>#N/A</v>
      </c>
      <c r="F835" s="9" t="e">
        <f>IF(C835=Lookup!$P$6,INDEX('card-code'!$P$3:$P$502,'group-code'!D835),"")</f>
        <v>#N/A</v>
      </c>
      <c r="G835" s="9" t="str">
        <f t="shared" si="26"/>
        <v/>
      </c>
      <c r="H835" s="9" t="str">
        <f>_xlfn.IFNA(IF(C835=Lookup!$Q$6,"END",""),"")</f>
        <v/>
      </c>
    </row>
    <row r="836" spans="2:8" x14ac:dyDescent="0.45">
      <c r="B836" s="9">
        <f t="shared" si="25"/>
        <v>831</v>
      </c>
      <c r="C836" s="9" t="e">
        <f>IF(D835=VLOOKUP(C835,Lookup!$P$5:$R$6,3,0),VLOOKUP(C835,Lookup!$P$5:$Q$6,2,0),C835)</f>
        <v>#N/A</v>
      </c>
      <c r="D836" s="22" t="e">
        <f>IF(D835=VLOOKUP(C835,Lookup!$P$5:$R$6,3,0),1,D835+1)</f>
        <v>#N/A</v>
      </c>
      <c r="E836" s="9" t="e">
        <f>IF(C836=Lookup!$P$5,INDEX('view-code'!$P$3:$P$502,'group-code'!D836),"")</f>
        <v>#N/A</v>
      </c>
      <c r="F836" s="9" t="e">
        <f>IF(C836=Lookup!$P$6,INDEX('card-code'!$P$3:$P$502,'group-code'!D836),"")</f>
        <v>#N/A</v>
      </c>
      <c r="G836" s="9" t="str">
        <f t="shared" si="26"/>
        <v/>
      </c>
      <c r="H836" s="9" t="str">
        <f>_xlfn.IFNA(IF(C836=Lookup!$Q$6,"END",""),"")</f>
        <v/>
      </c>
    </row>
    <row r="837" spans="2:8" x14ac:dyDescent="0.45">
      <c r="B837" s="9">
        <f t="shared" si="25"/>
        <v>832</v>
      </c>
      <c r="C837" s="9" t="e">
        <f>IF(D836=VLOOKUP(C836,Lookup!$P$5:$R$6,3,0),VLOOKUP(C836,Lookup!$P$5:$Q$6,2,0),C836)</f>
        <v>#N/A</v>
      </c>
      <c r="D837" s="22" t="e">
        <f>IF(D836=VLOOKUP(C836,Lookup!$P$5:$R$6,3,0),1,D836+1)</f>
        <v>#N/A</v>
      </c>
      <c r="E837" s="9" t="e">
        <f>IF(C837=Lookup!$P$5,INDEX('view-code'!$P$3:$P$502,'group-code'!D837),"")</f>
        <v>#N/A</v>
      </c>
      <c r="F837" s="9" t="e">
        <f>IF(C837=Lookup!$P$6,INDEX('card-code'!$P$3:$P$502,'group-code'!D837),"")</f>
        <v>#N/A</v>
      </c>
      <c r="G837" s="9" t="str">
        <f t="shared" si="26"/>
        <v/>
      </c>
      <c r="H837" s="9" t="str">
        <f>_xlfn.IFNA(IF(C837=Lookup!$Q$6,"END",""),"")</f>
        <v/>
      </c>
    </row>
    <row r="838" spans="2:8" x14ac:dyDescent="0.45">
      <c r="B838" s="9">
        <f t="shared" si="25"/>
        <v>833</v>
      </c>
      <c r="C838" s="9" t="e">
        <f>IF(D837=VLOOKUP(C837,Lookup!$P$5:$R$6,3,0),VLOOKUP(C837,Lookup!$P$5:$Q$6,2,0),C837)</f>
        <v>#N/A</v>
      </c>
      <c r="D838" s="22" t="e">
        <f>IF(D837=VLOOKUP(C837,Lookup!$P$5:$R$6,3,0),1,D837+1)</f>
        <v>#N/A</v>
      </c>
      <c r="E838" s="9" t="e">
        <f>IF(C838=Lookup!$P$5,INDEX('view-code'!$P$3:$P$502,'group-code'!D838),"")</f>
        <v>#N/A</v>
      </c>
      <c r="F838" s="9" t="e">
        <f>IF(C838=Lookup!$P$6,INDEX('card-code'!$P$3:$P$502,'group-code'!D838),"")</f>
        <v>#N/A</v>
      </c>
      <c r="G838" s="9" t="str">
        <f t="shared" si="26"/>
        <v/>
      </c>
      <c r="H838" s="9" t="str">
        <f>_xlfn.IFNA(IF(C838=Lookup!$Q$6,"END",""),"")</f>
        <v/>
      </c>
    </row>
    <row r="839" spans="2:8" x14ac:dyDescent="0.45">
      <c r="B839" s="9">
        <f t="shared" si="25"/>
        <v>834</v>
      </c>
      <c r="C839" s="9" t="e">
        <f>IF(D838=VLOOKUP(C838,Lookup!$P$5:$R$6,3,0),VLOOKUP(C838,Lookup!$P$5:$Q$6,2,0),C838)</f>
        <v>#N/A</v>
      </c>
      <c r="D839" s="22" t="e">
        <f>IF(D838=VLOOKUP(C838,Lookup!$P$5:$R$6,3,0),1,D838+1)</f>
        <v>#N/A</v>
      </c>
      <c r="E839" s="9" t="e">
        <f>IF(C839=Lookup!$P$5,INDEX('view-code'!$P$3:$P$502,'group-code'!D839),"")</f>
        <v>#N/A</v>
      </c>
      <c r="F839" s="9" t="e">
        <f>IF(C839=Lookup!$P$6,INDEX('card-code'!$P$3:$P$502,'group-code'!D839),"")</f>
        <v>#N/A</v>
      </c>
      <c r="G839" s="9" t="str">
        <f t="shared" si="26"/>
        <v/>
      </c>
      <c r="H839" s="9" t="str">
        <f>_xlfn.IFNA(IF(C839=Lookup!$Q$6,"END",""),"")</f>
        <v/>
      </c>
    </row>
    <row r="840" spans="2:8" x14ac:dyDescent="0.45">
      <c r="B840" s="9">
        <f t="shared" ref="B840:B903" si="27">B839+1</f>
        <v>835</v>
      </c>
      <c r="C840" s="9" t="e">
        <f>IF(D839=VLOOKUP(C839,Lookup!$P$5:$R$6,3,0),VLOOKUP(C839,Lookup!$P$5:$Q$6,2,0),C839)</f>
        <v>#N/A</v>
      </c>
      <c r="D840" s="22" t="e">
        <f>IF(D839=VLOOKUP(C839,Lookup!$P$5:$R$6,3,0),1,D839+1)</f>
        <v>#N/A</v>
      </c>
      <c r="E840" s="9" t="e">
        <f>IF(C840=Lookup!$P$5,INDEX('view-code'!$P$3:$P$502,'group-code'!D840),"")</f>
        <v>#N/A</v>
      </c>
      <c r="F840" s="9" t="e">
        <f>IF(C840=Lookup!$P$6,INDEX('card-code'!$P$3:$P$502,'group-code'!D840),"")</f>
        <v>#N/A</v>
      </c>
      <c r="G840" s="9" t="str">
        <f t="shared" si="26"/>
        <v/>
      </c>
      <c r="H840" s="9" t="str">
        <f>_xlfn.IFNA(IF(C840=Lookup!$Q$6,"END",""),"")</f>
        <v/>
      </c>
    </row>
    <row r="841" spans="2:8" x14ac:dyDescent="0.45">
      <c r="B841" s="9">
        <f t="shared" si="27"/>
        <v>836</v>
      </c>
      <c r="C841" s="9" t="e">
        <f>IF(D840=VLOOKUP(C840,Lookup!$P$5:$R$6,3,0),VLOOKUP(C840,Lookup!$P$5:$Q$6,2,0),C840)</f>
        <v>#N/A</v>
      </c>
      <c r="D841" s="22" t="e">
        <f>IF(D840=VLOOKUP(C840,Lookup!$P$5:$R$6,3,0),1,D840+1)</f>
        <v>#N/A</v>
      </c>
      <c r="E841" s="9" t="e">
        <f>IF(C841=Lookup!$P$5,INDEX('view-code'!$P$3:$P$502,'group-code'!D841),"")</f>
        <v>#N/A</v>
      </c>
      <c r="F841" s="9" t="e">
        <f>IF(C841=Lookup!$P$6,INDEX('card-code'!$P$3:$P$502,'group-code'!D841),"")</f>
        <v>#N/A</v>
      </c>
      <c r="G841" s="9" t="str">
        <f t="shared" si="26"/>
        <v/>
      </c>
      <c r="H841" s="9" t="str">
        <f>_xlfn.IFNA(IF(C841=Lookup!$Q$6,"END",""),"")</f>
        <v/>
      </c>
    </row>
    <row r="842" spans="2:8" x14ac:dyDescent="0.45">
      <c r="B842" s="9">
        <f t="shared" si="27"/>
        <v>837</v>
      </c>
      <c r="C842" s="9" t="e">
        <f>IF(D841=VLOOKUP(C841,Lookup!$P$5:$R$6,3,0),VLOOKUP(C841,Lookup!$P$5:$Q$6,2,0),C841)</f>
        <v>#N/A</v>
      </c>
      <c r="D842" s="22" t="e">
        <f>IF(D841=VLOOKUP(C841,Lookup!$P$5:$R$6,3,0),1,D841+1)</f>
        <v>#N/A</v>
      </c>
      <c r="E842" s="9" t="e">
        <f>IF(C842=Lookup!$P$5,INDEX('view-code'!$P$3:$P$502,'group-code'!D842),"")</f>
        <v>#N/A</v>
      </c>
      <c r="F842" s="9" t="e">
        <f>IF(C842=Lookup!$P$6,INDEX('card-code'!$P$3:$P$502,'group-code'!D842),"")</f>
        <v>#N/A</v>
      </c>
      <c r="G842" s="9" t="str">
        <f t="shared" si="26"/>
        <v/>
      </c>
      <c r="H842" s="9" t="str">
        <f>_xlfn.IFNA(IF(C842=Lookup!$Q$6,"END",""),"")</f>
        <v/>
      </c>
    </row>
    <row r="843" spans="2:8" x14ac:dyDescent="0.45">
      <c r="B843" s="9">
        <f t="shared" si="27"/>
        <v>838</v>
      </c>
      <c r="C843" s="9" t="e">
        <f>IF(D842=VLOOKUP(C842,Lookup!$P$5:$R$6,3,0),VLOOKUP(C842,Lookup!$P$5:$Q$6,2,0),C842)</f>
        <v>#N/A</v>
      </c>
      <c r="D843" s="22" t="e">
        <f>IF(D842=VLOOKUP(C842,Lookup!$P$5:$R$6,3,0),1,D842+1)</f>
        <v>#N/A</v>
      </c>
      <c r="E843" s="9" t="e">
        <f>IF(C843=Lookup!$P$5,INDEX('view-code'!$P$3:$P$502,'group-code'!D843),"")</f>
        <v>#N/A</v>
      </c>
      <c r="F843" s="9" t="e">
        <f>IF(C843=Lookup!$P$6,INDEX('card-code'!$P$3:$P$502,'group-code'!D843),"")</f>
        <v>#N/A</v>
      </c>
      <c r="G843" s="9" t="str">
        <f t="shared" si="26"/>
        <v/>
      </c>
      <c r="H843" s="9" t="str">
        <f>_xlfn.IFNA(IF(C843=Lookup!$Q$6,"END",""),"")</f>
        <v/>
      </c>
    </row>
    <row r="844" spans="2:8" x14ac:dyDescent="0.45">
      <c r="B844" s="9">
        <f t="shared" si="27"/>
        <v>839</v>
      </c>
      <c r="C844" s="9" t="e">
        <f>IF(D843=VLOOKUP(C843,Lookup!$P$5:$R$6,3,0),VLOOKUP(C843,Lookup!$P$5:$Q$6,2,0),C843)</f>
        <v>#N/A</v>
      </c>
      <c r="D844" s="22" t="e">
        <f>IF(D843=VLOOKUP(C843,Lookup!$P$5:$R$6,3,0),1,D843+1)</f>
        <v>#N/A</v>
      </c>
      <c r="E844" s="9" t="e">
        <f>IF(C844=Lookup!$P$5,INDEX('view-code'!$P$3:$P$502,'group-code'!D844),"")</f>
        <v>#N/A</v>
      </c>
      <c r="F844" s="9" t="e">
        <f>IF(C844=Lookup!$P$6,INDEX('card-code'!$P$3:$P$502,'group-code'!D844),"")</f>
        <v>#N/A</v>
      </c>
      <c r="G844" s="9" t="str">
        <f t="shared" si="26"/>
        <v/>
      </c>
      <c r="H844" s="9" t="str">
        <f>_xlfn.IFNA(IF(C844=Lookup!$Q$6,"END",""),"")</f>
        <v/>
      </c>
    </row>
    <row r="845" spans="2:8" x14ac:dyDescent="0.45">
      <c r="B845" s="9">
        <f t="shared" si="27"/>
        <v>840</v>
      </c>
      <c r="C845" s="9" t="e">
        <f>IF(D844=VLOOKUP(C844,Lookup!$P$5:$R$6,3,0),VLOOKUP(C844,Lookup!$P$5:$Q$6,2,0),C844)</f>
        <v>#N/A</v>
      </c>
      <c r="D845" s="22" t="e">
        <f>IF(D844=VLOOKUP(C844,Lookup!$P$5:$R$6,3,0),1,D844+1)</f>
        <v>#N/A</v>
      </c>
      <c r="E845" s="9" t="e">
        <f>IF(C845=Lookup!$P$5,INDEX('view-code'!$P$3:$P$502,'group-code'!D845),"")</f>
        <v>#N/A</v>
      </c>
      <c r="F845" s="9" t="e">
        <f>IF(C845=Lookup!$P$6,INDEX('card-code'!$P$3:$P$502,'group-code'!D845),"")</f>
        <v>#N/A</v>
      </c>
      <c r="G845" s="9" t="str">
        <f t="shared" si="26"/>
        <v/>
      </c>
      <c r="H845" s="9" t="str">
        <f>_xlfn.IFNA(IF(C845=Lookup!$Q$6,"END",""),"")</f>
        <v/>
      </c>
    </row>
    <row r="846" spans="2:8" x14ac:dyDescent="0.45">
      <c r="B846" s="9">
        <f t="shared" si="27"/>
        <v>841</v>
      </c>
      <c r="C846" s="9" t="e">
        <f>IF(D845=VLOOKUP(C845,Lookup!$P$5:$R$6,3,0),VLOOKUP(C845,Lookup!$P$5:$Q$6,2,0),C845)</f>
        <v>#N/A</v>
      </c>
      <c r="D846" s="22" t="e">
        <f>IF(D845=VLOOKUP(C845,Lookup!$P$5:$R$6,3,0),1,D845+1)</f>
        <v>#N/A</v>
      </c>
      <c r="E846" s="9" t="e">
        <f>IF(C846=Lookup!$P$5,INDEX('view-code'!$P$3:$P$502,'group-code'!D846),"")</f>
        <v>#N/A</v>
      </c>
      <c r="F846" s="9" t="e">
        <f>IF(C846=Lookup!$P$6,INDEX('card-code'!$P$3:$P$502,'group-code'!D846),"")</f>
        <v>#N/A</v>
      </c>
      <c r="G846" s="9" t="str">
        <f t="shared" si="26"/>
        <v/>
      </c>
      <c r="H846" s="9" t="str">
        <f>_xlfn.IFNA(IF(C846=Lookup!$Q$6,"END",""),"")</f>
        <v/>
      </c>
    </row>
    <row r="847" spans="2:8" x14ac:dyDescent="0.45">
      <c r="B847" s="9">
        <f t="shared" si="27"/>
        <v>842</v>
      </c>
      <c r="C847" s="9" t="e">
        <f>IF(D846=VLOOKUP(C846,Lookup!$P$5:$R$6,3,0),VLOOKUP(C846,Lookup!$P$5:$Q$6,2,0),C846)</f>
        <v>#N/A</v>
      </c>
      <c r="D847" s="22" t="e">
        <f>IF(D846=VLOOKUP(C846,Lookup!$P$5:$R$6,3,0),1,D846+1)</f>
        <v>#N/A</v>
      </c>
      <c r="E847" s="9" t="e">
        <f>IF(C847=Lookup!$P$5,INDEX('view-code'!$P$3:$P$502,'group-code'!D847),"")</f>
        <v>#N/A</v>
      </c>
      <c r="F847" s="9" t="e">
        <f>IF(C847=Lookup!$P$6,INDEX('card-code'!$P$3:$P$502,'group-code'!D847),"")</f>
        <v>#N/A</v>
      </c>
      <c r="G847" s="9" t="str">
        <f t="shared" si="26"/>
        <v/>
      </c>
      <c r="H847" s="9" t="str">
        <f>_xlfn.IFNA(IF(C847=Lookup!$Q$6,"END",""),"")</f>
        <v/>
      </c>
    </row>
    <row r="848" spans="2:8" x14ac:dyDescent="0.45">
      <c r="B848" s="9">
        <f t="shared" si="27"/>
        <v>843</v>
      </c>
      <c r="C848" s="9" t="e">
        <f>IF(D847=VLOOKUP(C847,Lookup!$P$5:$R$6,3,0),VLOOKUP(C847,Lookup!$P$5:$Q$6,2,0),C847)</f>
        <v>#N/A</v>
      </c>
      <c r="D848" s="22" t="e">
        <f>IF(D847=VLOOKUP(C847,Lookup!$P$5:$R$6,3,0),1,D847+1)</f>
        <v>#N/A</v>
      </c>
      <c r="E848" s="9" t="e">
        <f>IF(C848=Lookup!$P$5,INDEX('view-code'!$P$3:$P$502,'group-code'!D848),"")</f>
        <v>#N/A</v>
      </c>
      <c r="F848" s="9" t="e">
        <f>IF(C848=Lookup!$P$6,INDEX('card-code'!$P$3:$P$502,'group-code'!D848),"")</f>
        <v>#N/A</v>
      </c>
      <c r="G848" s="9" t="str">
        <f t="shared" si="26"/>
        <v/>
      </c>
      <c r="H848" s="9" t="str">
        <f>_xlfn.IFNA(IF(C848=Lookup!$Q$6,"END",""),"")</f>
        <v/>
      </c>
    </row>
    <row r="849" spans="2:8" x14ac:dyDescent="0.45">
      <c r="B849" s="9">
        <f t="shared" si="27"/>
        <v>844</v>
      </c>
      <c r="C849" s="9" t="e">
        <f>IF(D848=VLOOKUP(C848,Lookup!$P$5:$R$6,3,0),VLOOKUP(C848,Lookup!$P$5:$Q$6,2,0),C848)</f>
        <v>#N/A</v>
      </c>
      <c r="D849" s="22" t="e">
        <f>IF(D848=VLOOKUP(C848,Lookup!$P$5:$R$6,3,0),1,D848+1)</f>
        <v>#N/A</v>
      </c>
      <c r="E849" s="9" t="e">
        <f>IF(C849=Lookup!$P$5,INDEX('view-code'!$P$3:$P$502,'group-code'!D849),"")</f>
        <v>#N/A</v>
      </c>
      <c r="F849" s="9" t="e">
        <f>IF(C849=Lookup!$P$6,INDEX('card-code'!$P$3:$P$502,'group-code'!D849),"")</f>
        <v>#N/A</v>
      </c>
      <c r="G849" s="9" t="str">
        <f t="shared" si="26"/>
        <v/>
      </c>
      <c r="H849" s="9" t="str">
        <f>_xlfn.IFNA(IF(C849=Lookup!$Q$6,"END",""),"")</f>
        <v/>
      </c>
    </row>
    <row r="850" spans="2:8" x14ac:dyDescent="0.45">
      <c r="B850" s="9">
        <f t="shared" si="27"/>
        <v>845</v>
      </c>
      <c r="C850" s="9" t="e">
        <f>IF(D849=VLOOKUP(C849,Lookup!$P$5:$R$6,3,0),VLOOKUP(C849,Lookup!$P$5:$Q$6,2,0),C849)</f>
        <v>#N/A</v>
      </c>
      <c r="D850" s="22" t="e">
        <f>IF(D849=VLOOKUP(C849,Lookup!$P$5:$R$6,3,0),1,D849+1)</f>
        <v>#N/A</v>
      </c>
      <c r="E850" s="9" t="e">
        <f>IF(C850=Lookup!$P$5,INDEX('view-code'!$P$3:$P$502,'group-code'!D850),"")</f>
        <v>#N/A</v>
      </c>
      <c r="F850" s="9" t="e">
        <f>IF(C850=Lookup!$P$6,INDEX('card-code'!$P$3:$P$502,'group-code'!D850),"")</f>
        <v>#N/A</v>
      </c>
      <c r="G850" s="9" t="str">
        <f t="shared" si="26"/>
        <v/>
      </c>
      <c r="H850" s="9" t="str">
        <f>_xlfn.IFNA(IF(C850=Lookup!$Q$6,"END",""),"")</f>
        <v/>
      </c>
    </row>
    <row r="851" spans="2:8" x14ac:dyDescent="0.45">
      <c r="B851" s="9">
        <f t="shared" si="27"/>
        <v>846</v>
      </c>
      <c r="C851" s="9" t="e">
        <f>IF(D850=VLOOKUP(C850,Lookup!$P$5:$R$6,3,0),VLOOKUP(C850,Lookup!$P$5:$Q$6,2,0),C850)</f>
        <v>#N/A</v>
      </c>
      <c r="D851" s="22" t="e">
        <f>IF(D850=VLOOKUP(C850,Lookup!$P$5:$R$6,3,0),1,D850+1)</f>
        <v>#N/A</v>
      </c>
      <c r="E851" s="9" t="e">
        <f>IF(C851=Lookup!$P$5,INDEX('view-code'!$P$3:$P$502,'group-code'!D851),"")</f>
        <v>#N/A</v>
      </c>
      <c r="F851" s="9" t="e">
        <f>IF(C851=Lookup!$P$6,INDEX('card-code'!$P$3:$P$502,'group-code'!D851),"")</f>
        <v>#N/A</v>
      </c>
      <c r="G851" s="9" t="str">
        <f t="shared" si="26"/>
        <v/>
      </c>
      <c r="H851" s="9" t="str">
        <f>_xlfn.IFNA(IF(C851=Lookup!$Q$6,"END",""),"")</f>
        <v/>
      </c>
    </row>
    <row r="852" spans="2:8" x14ac:dyDescent="0.45">
      <c r="B852" s="9">
        <f t="shared" si="27"/>
        <v>847</v>
      </c>
      <c r="C852" s="9" t="e">
        <f>IF(D851=VLOOKUP(C851,Lookup!$P$5:$R$6,3,0),VLOOKUP(C851,Lookup!$P$5:$Q$6,2,0),C851)</f>
        <v>#N/A</v>
      </c>
      <c r="D852" s="22" t="e">
        <f>IF(D851=VLOOKUP(C851,Lookup!$P$5:$R$6,3,0),1,D851+1)</f>
        <v>#N/A</v>
      </c>
      <c r="E852" s="9" t="e">
        <f>IF(C852=Lookup!$P$5,INDEX('view-code'!$P$3:$P$502,'group-code'!D852),"")</f>
        <v>#N/A</v>
      </c>
      <c r="F852" s="9" t="e">
        <f>IF(C852=Lookup!$P$6,INDEX('card-code'!$P$3:$P$502,'group-code'!D852),"")</f>
        <v>#N/A</v>
      </c>
      <c r="G852" s="9" t="str">
        <f t="shared" si="26"/>
        <v/>
      </c>
      <c r="H852" s="9" t="str">
        <f>_xlfn.IFNA(IF(C852=Lookup!$Q$6,"END",""),"")</f>
        <v/>
      </c>
    </row>
    <row r="853" spans="2:8" x14ac:dyDescent="0.45">
      <c r="B853" s="9">
        <f t="shared" si="27"/>
        <v>848</v>
      </c>
      <c r="C853" s="9" t="e">
        <f>IF(D852=VLOOKUP(C852,Lookup!$P$5:$R$6,3,0),VLOOKUP(C852,Lookup!$P$5:$Q$6,2,0),C852)</f>
        <v>#N/A</v>
      </c>
      <c r="D853" s="22" t="e">
        <f>IF(D852=VLOOKUP(C852,Lookup!$P$5:$R$6,3,0),1,D852+1)</f>
        <v>#N/A</v>
      </c>
      <c r="E853" s="9" t="e">
        <f>IF(C853=Lookup!$P$5,INDEX('view-code'!$P$3:$P$502,'group-code'!D853),"")</f>
        <v>#N/A</v>
      </c>
      <c r="F853" s="9" t="e">
        <f>IF(C853=Lookup!$P$6,INDEX('card-code'!$P$3:$P$502,'group-code'!D853),"")</f>
        <v>#N/A</v>
      </c>
      <c r="G853" s="9" t="str">
        <f t="shared" si="26"/>
        <v/>
      </c>
      <c r="H853" s="9" t="str">
        <f>_xlfn.IFNA(IF(C853=Lookup!$Q$6,"END",""),"")</f>
        <v/>
      </c>
    </row>
    <row r="854" spans="2:8" x14ac:dyDescent="0.45">
      <c r="B854" s="9">
        <f t="shared" si="27"/>
        <v>849</v>
      </c>
      <c r="C854" s="9" t="e">
        <f>IF(D853=VLOOKUP(C853,Lookup!$P$5:$R$6,3,0),VLOOKUP(C853,Lookup!$P$5:$Q$6,2,0),C853)</f>
        <v>#N/A</v>
      </c>
      <c r="D854" s="22" t="e">
        <f>IF(D853=VLOOKUP(C853,Lookup!$P$5:$R$6,3,0),1,D853+1)</f>
        <v>#N/A</v>
      </c>
      <c r="E854" s="9" t="e">
        <f>IF(C854=Lookup!$P$5,INDEX('view-code'!$P$3:$P$502,'group-code'!D854),"")</f>
        <v>#N/A</v>
      </c>
      <c r="F854" s="9" t="e">
        <f>IF(C854=Lookup!$P$6,INDEX('card-code'!$P$3:$P$502,'group-code'!D854),"")</f>
        <v>#N/A</v>
      </c>
      <c r="G854" s="9" t="str">
        <f t="shared" si="26"/>
        <v/>
      </c>
      <c r="H854" s="9" t="str">
        <f>_xlfn.IFNA(IF(C854=Lookup!$Q$6,"END",""),"")</f>
        <v/>
      </c>
    </row>
    <row r="855" spans="2:8" x14ac:dyDescent="0.45">
      <c r="B855" s="9">
        <f t="shared" si="27"/>
        <v>850</v>
      </c>
      <c r="C855" s="9" t="e">
        <f>IF(D854=VLOOKUP(C854,Lookup!$P$5:$R$6,3,0),VLOOKUP(C854,Lookup!$P$5:$Q$6,2,0),C854)</f>
        <v>#N/A</v>
      </c>
      <c r="D855" s="22" t="e">
        <f>IF(D854=VLOOKUP(C854,Lookup!$P$5:$R$6,3,0),1,D854+1)</f>
        <v>#N/A</v>
      </c>
      <c r="E855" s="9" t="e">
        <f>IF(C855=Lookup!$P$5,INDEX('view-code'!$P$3:$P$502,'group-code'!D855),"")</f>
        <v>#N/A</v>
      </c>
      <c r="F855" s="9" t="e">
        <f>IF(C855=Lookup!$P$6,INDEX('card-code'!$P$3:$P$502,'group-code'!D855),"")</f>
        <v>#N/A</v>
      </c>
      <c r="G855" s="9" t="str">
        <f t="shared" si="26"/>
        <v/>
      </c>
      <c r="H855" s="9" t="str">
        <f>_xlfn.IFNA(IF(C855=Lookup!$Q$6,"END",""),"")</f>
        <v/>
      </c>
    </row>
    <row r="856" spans="2:8" x14ac:dyDescent="0.45">
      <c r="B856" s="9">
        <f t="shared" si="27"/>
        <v>851</v>
      </c>
      <c r="C856" s="9" t="e">
        <f>IF(D855=VLOOKUP(C855,Lookup!$P$5:$R$6,3,0),VLOOKUP(C855,Lookup!$P$5:$Q$6,2,0),C855)</f>
        <v>#N/A</v>
      </c>
      <c r="D856" s="22" t="e">
        <f>IF(D855=VLOOKUP(C855,Lookup!$P$5:$R$6,3,0),1,D855+1)</f>
        <v>#N/A</v>
      </c>
      <c r="E856" s="9" t="e">
        <f>IF(C856=Lookup!$P$5,INDEX('view-code'!$P$3:$P$502,'group-code'!D856),"")</f>
        <v>#N/A</v>
      </c>
      <c r="F856" s="9" t="e">
        <f>IF(C856=Lookup!$P$6,INDEX('card-code'!$P$3:$P$502,'group-code'!D856),"")</f>
        <v>#N/A</v>
      </c>
      <c r="G856" s="9" t="str">
        <f t="shared" si="26"/>
        <v/>
      </c>
      <c r="H856" s="9" t="str">
        <f>_xlfn.IFNA(IF(C856=Lookup!$Q$6,"END",""),"")</f>
        <v/>
      </c>
    </row>
    <row r="857" spans="2:8" x14ac:dyDescent="0.45">
      <c r="B857" s="9">
        <f t="shared" si="27"/>
        <v>852</v>
      </c>
      <c r="C857" s="9" t="e">
        <f>IF(D856=VLOOKUP(C856,Lookup!$P$5:$R$6,3,0),VLOOKUP(C856,Lookup!$P$5:$Q$6,2,0),C856)</f>
        <v>#N/A</v>
      </c>
      <c r="D857" s="22" t="e">
        <f>IF(D856=VLOOKUP(C856,Lookup!$P$5:$R$6,3,0),1,D856+1)</f>
        <v>#N/A</v>
      </c>
      <c r="E857" s="9" t="e">
        <f>IF(C857=Lookup!$P$5,INDEX('view-code'!$P$3:$P$502,'group-code'!D857),"")</f>
        <v>#N/A</v>
      </c>
      <c r="F857" s="9" t="e">
        <f>IF(C857=Lookup!$P$6,INDEX('card-code'!$P$3:$P$502,'group-code'!D857),"")</f>
        <v>#N/A</v>
      </c>
      <c r="G857" s="9" t="str">
        <f t="shared" si="26"/>
        <v/>
      </c>
      <c r="H857" s="9" t="str">
        <f>_xlfn.IFNA(IF(C857=Lookup!$Q$6,"END",""),"")</f>
        <v/>
      </c>
    </row>
    <row r="858" spans="2:8" x14ac:dyDescent="0.45">
      <c r="B858" s="9">
        <f t="shared" si="27"/>
        <v>853</v>
      </c>
      <c r="C858" s="9" t="e">
        <f>IF(D857=VLOOKUP(C857,Lookup!$P$5:$R$6,3,0),VLOOKUP(C857,Lookup!$P$5:$Q$6,2,0),C857)</f>
        <v>#N/A</v>
      </c>
      <c r="D858" s="22" t="e">
        <f>IF(D857=VLOOKUP(C857,Lookup!$P$5:$R$6,3,0),1,D857+1)</f>
        <v>#N/A</v>
      </c>
      <c r="E858" s="9" t="e">
        <f>IF(C858=Lookup!$P$5,INDEX('view-code'!$P$3:$P$502,'group-code'!D858),"")</f>
        <v>#N/A</v>
      </c>
      <c r="F858" s="9" t="e">
        <f>IF(C858=Lookup!$P$6,INDEX('card-code'!$P$3:$P$502,'group-code'!D858),"")</f>
        <v>#N/A</v>
      </c>
      <c r="G858" s="9" t="str">
        <f t="shared" si="26"/>
        <v/>
      </c>
      <c r="H858" s="9" t="str">
        <f>_xlfn.IFNA(IF(C858=Lookup!$Q$6,"END",""),"")</f>
        <v/>
      </c>
    </row>
    <row r="859" spans="2:8" x14ac:dyDescent="0.45">
      <c r="B859" s="9">
        <f t="shared" si="27"/>
        <v>854</v>
      </c>
      <c r="C859" s="9" t="e">
        <f>IF(D858=VLOOKUP(C858,Lookup!$P$5:$R$6,3,0),VLOOKUP(C858,Lookup!$P$5:$Q$6,2,0),C858)</f>
        <v>#N/A</v>
      </c>
      <c r="D859" s="22" t="e">
        <f>IF(D858=VLOOKUP(C858,Lookup!$P$5:$R$6,3,0),1,D858+1)</f>
        <v>#N/A</v>
      </c>
      <c r="E859" s="9" t="e">
        <f>IF(C859=Lookup!$P$5,INDEX('view-code'!$P$3:$P$502,'group-code'!D859),"")</f>
        <v>#N/A</v>
      </c>
      <c r="F859" s="9" t="e">
        <f>IF(C859=Lookup!$P$6,INDEX('card-code'!$P$3:$P$502,'group-code'!D859),"")</f>
        <v>#N/A</v>
      </c>
      <c r="G859" s="9" t="str">
        <f t="shared" si="26"/>
        <v/>
      </c>
      <c r="H859" s="9" t="str">
        <f>_xlfn.IFNA(IF(C859=Lookup!$Q$6,"END",""),"")</f>
        <v/>
      </c>
    </row>
    <row r="860" spans="2:8" x14ac:dyDescent="0.45">
      <c r="B860" s="9">
        <f t="shared" si="27"/>
        <v>855</v>
      </c>
      <c r="C860" s="9" t="e">
        <f>IF(D859=VLOOKUP(C859,Lookup!$P$5:$R$6,3,0),VLOOKUP(C859,Lookup!$P$5:$Q$6,2,0),C859)</f>
        <v>#N/A</v>
      </c>
      <c r="D860" s="22" t="e">
        <f>IF(D859=VLOOKUP(C859,Lookup!$P$5:$R$6,3,0),1,D859+1)</f>
        <v>#N/A</v>
      </c>
      <c r="E860" s="9" t="e">
        <f>IF(C860=Lookup!$P$5,INDEX('view-code'!$P$3:$P$502,'group-code'!D860),"")</f>
        <v>#N/A</v>
      </c>
      <c r="F860" s="9" t="e">
        <f>IF(C860=Lookup!$P$6,INDEX('card-code'!$P$3:$P$502,'group-code'!D860),"")</f>
        <v>#N/A</v>
      </c>
      <c r="G860" s="9" t="str">
        <f t="shared" si="26"/>
        <v/>
      </c>
      <c r="H860" s="9" t="str">
        <f>_xlfn.IFNA(IF(C860=Lookup!$Q$6,"END",""),"")</f>
        <v/>
      </c>
    </row>
    <row r="861" spans="2:8" x14ac:dyDescent="0.45">
      <c r="B861" s="9">
        <f t="shared" si="27"/>
        <v>856</v>
      </c>
      <c r="C861" s="9" t="e">
        <f>IF(D860=VLOOKUP(C860,Lookup!$P$5:$R$6,3,0),VLOOKUP(C860,Lookup!$P$5:$Q$6,2,0),C860)</f>
        <v>#N/A</v>
      </c>
      <c r="D861" s="22" t="e">
        <f>IF(D860=VLOOKUP(C860,Lookup!$P$5:$R$6,3,0),1,D860+1)</f>
        <v>#N/A</v>
      </c>
      <c r="E861" s="9" t="e">
        <f>IF(C861=Lookup!$P$5,INDEX('view-code'!$P$3:$P$502,'group-code'!D861),"")</f>
        <v>#N/A</v>
      </c>
      <c r="F861" s="9" t="e">
        <f>IF(C861=Lookup!$P$6,INDEX('card-code'!$P$3:$P$502,'group-code'!D861),"")</f>
        <v>#N/A</v>
      </c>
      <c r="G861" s="9" t="str">
        <f t="shared" si="26"/>
        <v/>
      </c>
      <c r="H861" s="9" t="str">
        <f>_xlfn.IFNA(IF(C861=Lookup!$Q$6,"END",""),"")</f>
        <v/>
      </c>
    </row>
    <row r="862" spans="2:8" x14ac:dyDescent="0.45">
      <c r="B862" s="9">
        <f t="shared" si="27"/>
        <v>857</v>
      </c>
      <c r="C862" s="9" t="e">
        <f>IF(D861=VLOOKUP(C861,Lookup!$P$5:$R$6,3,0),VLOOKUP(C861,Lookup!$P$5:$Q$6,2,0),C861)</f>
        <v>#N/A</v>
      </c>
      <c r="D862" s="22" t="e">
        <f>IF(D861=VLOOKUP(C861,Lookup!$P$5:$R$6,3,0),1,D861+1)</f>
        <v>#N/A</v>
      </c>
      <c r="E862" s="9" t="e">
        <f>IF(C862=Lookup!$P$5,INDEX('view-code'!$P$3:$P$502,'group-code'!D862),"")</f>
        <v>#N/A</v>
      </c>
      <c r="F862" s="9" t="e">
        <f>IF(C862=Lookup!$P$6,INDEX('card-code'!$P$3:$P$502,'group-code'!D862),"")</f>
        <v>#N/A</v>
      </c>
      <c r="G862" s="9" t="str">
        <f t="shared" si="26"/>
        <v/>
      </c>
      <c r="H862" s="9" t="str">
        <f>_xlfn.IFNA(IF(C862=Lookup!$Q$6,"END",""),"")</f>
        <v/>
      </c>
    </row>
    <row r="863" spans="2:8" x14ac:dyDescent="0.45">
      <c r="B863" s="9">
        <f t="shared" si="27"/>
        <v>858</v>
      </c>
      <c r="C863" s="9" t="e">
        <f>IF(D862=VLOOKUP(C862,Lookup!$P$5:$R$6,3,0),VLOOKUP(C862,Lookup!$P$5:$Q$6,2,0),C862)</f>
        <v>#N/A</v>
      </c>
      <c r="D863" s="22" t="e">
        <f>IF(D862=VLOOKUP(C862,Lookup!$P$5:$R$6,3,0),1,D862+1)</f>
        <v>#N/A</v>
      </c>
      <c r="E863" s="9" t="e">
        <f>IF(C863=Lookup!$P$5,INDEX('view-code'!$P$3:$P$502,'group-code'!D863),"")</f>
        <v>#N/A</v>
      </c>
      <c r="F863" s="9" t="e">
        <f>IF(C863=Lookup!$P$6,INDEX('card-code'!$P$3:$P$502,'group-code'!D863),"")</f>
        <v>#N/A</v>
      </c>
      <c r="G863" s="9" t="str">
        <f t="shared" si="26"/>
        <v/>
      </c>
      <c r="H863" s="9" t="str">
        <f>_xlfn.IFNA(IF(C863=Lookup!$Q$6,"END",""),"")</f>
        <v/>
      </c>
    </row>
    <row r="864" spans="2:8" x14ac:dyDescent="0.45">
      <c r="B864" s="9">
        <f t="shared" si="27"/>
        <v>859</v>
      </c>
      <c r="C864" s="9" t="e">
        <f>IF(D863=VLOOKUP(C863,Lookup!$P$5:$R$6,3,0),VLOOKUP(C863,Lookup!$P$5:$Q$6,2,0),C863)</f>
        <v>#N/A</v>
      </c>
      <c r="D864" s="22" t="e">
        <f>IF(D863=VLOOKUP(C863,Lookup!$P$5:$R$6,3,0),1,D863+1)</f>
        <v>#N/A</v>
      </c>
      <c r="E864" s="9" t="e">
        <f>IF(C864=Lookup!$P$5,INDEX('view-code'!$P$3:$P$502,'group-code'!D864),"")</f>
        <v>#N/A</v>
      </c>
      <c r="F864" s="9" t="e">
        <f>IF(C864=Lookup!$P$6,INDEX('card-code'!$P$3:$P$502,'group-code'!D864),"")</f>
        <v>#N/A</v>
      </c>
      <c r="G864" s="9" t="str">
        <f t="shared" si="26"/>
        <v/>
      </c>
      <c r="H864" s="9" t="str">
        <f>_xlfn.IFNA(IF(C864=Lookup!$Q$6,"END",""),"")</f>
        <v/>
      </c>
    </row>
    <row r="865" spans="2:8" x14ac:dyDescent="0.45">
      <c r="B865" s="9">
        <f t="shared" si="27"/>
        <v>860</v>
      </c>
      <c r="C865" s="9" t="e">
        <f>IF(D864=VLOOKUP(C864,Lookup!$P$5:$R$6,3,0),VLOOKUP(C864,Lookup!$P$5:$Q$6,2,0),C864)</f>
        <v>#N/A</v>
      </c>
      <c r="D865" s="22" t="e">
        <f>IF(D864=VLOOKUP(C864,Lookup!$P$5:$R$6,3,0),1,D864+1)</f>
        <v>#N/A</v>
      </c>
      <c r="E865" s="9" t="e">
        <f>IF(C865=Lookup!$P$5,INDEX('view-code'!$P$3:$P$502,'group-code'!D865),"")</f>
        <v>#N/A</v>
      </c>
      <c r="F865" s="9" t="e">
        <f>IF(C865=Lookup!$P$6,INDEX('card-code'!$P$3:$P$502,'group-code'!D865),"")</f>
        <v>#N/A</v>
      </c>
      <c r="G865" s="9" t="str">
        <f t="shared" si="26"/>
        <v/>
      </c>
      <c r="H865" s="9" t="str">
        <f>_xlfn.IFNA(IF(C865=Lookup!$Q$6,"END",""),"")</f>
        <v/>
      </c>
    </row>
    <row r="866" spans="2:8" x14ac:dyDescent="0.45">
      <c r="B866" s="9">
        <f t="shared" si="27"/>
        <v>861</v>
      </c>
      <c r="C866" s="9" t="e">
        <f>IF(D865=VLOOKUP(C865,Lookup!$P$5:$R$6,3,0),VLOOKUP(C865,Lookup!$P$5:$Q$6,2,0),C865)</f>
        <v>#N/A</v>
      </c>
      <c r="D866" s="22" t="e">
        <f>IF(D865=VLOOKUP(C865,Lookup!$P$5:$R$6,3,0),1,D865+1)</f>
        <v>#N/A</v>
      </c>
      <c r="E866" s="9" t="e">
        <f>IF(C866=Lookup!$P$5,INDEX('view-code'!$P$3:$P$502,'group-code'!D866),"")</f>
        <v>#N/A</v>
      </c>
      <c r="F866" s="9" t="e">
        <f>IF(C866=Lookup!$P$6,INDEX('card-code'!$P$3:$P$502,'group-code'!D866),"")</f>
        <v>#N/A</v>
      </c>
      <c r="G866" s="9" t="str">
        <f t="shared" si="26"/>
        <v/>
      </c>
      <c r="H866" s="9" t="str">
        <f>_xlfn.IFNA(IF(C866=Lookup!$Q$6,"END",""),"")</f>
        <v/>
      </c>
    </row>
    <row r="867" spans="2:8" x14ac:dyDescent="0.45">
      <c r="B867" s="9">
        <f t="shared" si="27"/>
        <v>862</v>
      </c>
      <c r="C867" s="9" t="e">
        <f>IF(D866=VLOOKUP(C866,Lookup!$P$5:$R$6,3,0),VLOOKUP(C866,Lookup!$P$5:$Q$6,2,0),C866)</f>
        <v>#N/A</v>
      </c>
      <c r="D867" s="22" t="e">
        <f>IF(D866=VLOOKUP(C866,Lookup!$P$5:$R$6,3,0),1,D866+1)</f>
        <v>#N/A</v>
      </c>
      <c r="E867" s="9" t="e">
        <f>IF(C867=Lookup!$P$5,INDEX('view-code'!$P$3:$P$502,'group-code'!D867),"")</f>
        <v>#N/A</v>
      </c>
      <c r="F867" s="9" t="e">
        <f>IF(C867=Lookup!$P$6,INDEX('card-code'!$P$3:$P$502,'group-code'!D867),"")</f>
        <v>#N/A</v>
      </c>
      <c r="G867" s="9" t="str">
        <f t="shared" si="26"/>
        <v/>
      </c>
      <c r="H867" s="9" t="str">
        <f>_xlfn.IFNA(IF(C867=Lookup!$Q$6,"END",""),"")</f>
        <v/>
      </c>
    </row>
    <row r="868" spans="2:8" x14ac:dyDescent="0.45">
      <c r="B868" s="9">
        <f t="shared" si="27"/>
        <v>863</v>
      </c>
      <c r="C868" s="9" t="e">
        <f>IF(D867=VLOOKUP(C867,Lookup!$P$5:$R$6,3,0),VLOOKUP(C867,Lookup!$P$5:$Q$6,2,0),C867)</f>
        <v>#N/A</v>
      </c>
      <c r="D868" s="22" t="e">
        <f>IF(D867=VLOOKUP(C867,Lookup!$P$5:$R$6,3,0),1,D867+1)</f>
        <v>#N/A</v>
      </c>
      <c r="E868" s="9" t="e">
        <f>IF(C868=Lookup!$P$5,INDEX('view-code'!$P$3:$P$502,'group-code'!D868),"")</f>
        <v>#N/A</v>
      </c>
      <c r="F868" s="9" t="e">
        <f>IF(C868=Lookup!$P$6,INDEX('card-code'!$P$3:$P$502,'group-code'!D868),"")</f>
        <v>#N/A</v>
      </c>
      <c r="G868" s="9" t="str">
        <f t="shared" si="26"/>
        <v/>
      </c>
      <c r="H868" s="9" t="str">
        <f>_xlfn.IFNA(IF(C868=Lookup!$Q$6,"END",""),"")</f>
        <v/>
      </c>
    </row>
    <row r="869" spans="2:8" x14ac:dyDescent="0.45">
      <c r="B869" s="9">
        <f t="shared" si="27"/>
        <v>864</v>
      </c>
      <c r="C869" s="9" t="e">
        <f>IF(D868=VLOOKUP(C868,Lookup!$P$5:$R$6,3,0),VLOOKUP(C868,Lookup!$P$5:$Q$6,2,0),C868)</f>
        <v>#N/A</v>
      </c>
      <c r="D869" s="22" t="e">
        <f>IF(D868=VLOOKUP(C868,Lookup!$P$5:$R$6,3,0),1,D868+1)</f>
        <v>#N/A</v>
      </c>
      <c r="E869" s="9" t="e">
        <f>IF(C869=Lookup!$P$5,INDEX('view-code'!$P$3:$P$502,'group-code'!D869),"")</f>
        <v>#N/A</v>
      </c>
      <c r="F869" s="9" t="e">
        <f>IF(C869=Lookup!$P$6,INDEX('card-code'!$P$3:$P$502,'group-code'!D869),"")</f>
        <v>#N/A</v>
      </c>
      <c r="G869" s="9" t="str">
        <f t="shared" si="26"/>
        <v/>
      </c>
      <c r="H869" s="9" t="str">
        <f>_xlfn.IFNA(IF(C869=Lookup!$Q$6,"END",""),"")</f>
        <v/>
      </c>
    </row>
    <row r="870" spans="2:8" x14ac:dyDescent="0.45">
      <c r="B870" s="9">
        <f t="shared" si="27"/>
        <v>865</v>
      </c>
      <c r="C870" s="9" t="e">
        <f>IF(D869=VLOOKUP(C869,Lookup!$P$5:$R$6,3,0),VLOOKUP(C869,Lookup!$P$5:$Q$6,2,0),C869)</f>
        <v>#N/A</v>
      </c>
      <c r="D870" s="22" t="e">
        <f>IF(D869=VLOOKUP(C869,Lookup!$P$5:$R$6,3,0),1,D869+1)</f>
        <v>#N/A</v>
      </c>
      <c r="E870" s="9" t="e">
        <f>IF(C870=Lookup!$P$5,INDEX('view-code'!$P$3:$P$502,'group-code'!D870),"")</f>
        <v>#N/A</v>
      </c>
      <c r="F870" s="9" t="e">
        <f>IF(C870=Lookup!$P$6,INDEX('card-code'!$P$3:$P$502,'group-code'!D870),"")</f>
        <v>#N/A</v>
      </c>
      <c r="G870" s="9" t="str">
        <f t="shared" si="26"/>
        <v/>
      </c>
      <c r="H870" s="9" t="str">
        <f>_xlfn.IFNA(IF(C870=Lookup!$Q$6,"END",""),"")</f>
        <v/>
      </c>
    </row>
    <row r="871" spans="2:8" x14ac:dyDescent="0.45">
      <c r="B871" s="9">
        <f t="shared" si="27"/>
        <v>866</v>
      </c>
      <c r="C871" s="9" t="e">
        <f>IF(D870=VLOOKUP(C870,Lookup!$P$5:$R$6,3,0),VLOOKUP(C870,Lookup!$P$5:$Q$6,2,0),C870)</f>
        <v>#N/A</v>
      </c>
      <c r="D871" s="22" t="e">
        <f>IF(D870=VLOOKUP(C870,Lookup!$P$5:$R$6,3,0),1,D870+1)</f>
        <v>#N/A</v>
      </c>
      <c r="E871" s="9" t="e">
        <f>IF(C871=Lookup!$P$5,INDEX('view-code'!$P$3:$P$502,'group-code'!D871),"")</f>
        <v>#N/A</v>
      </c>
      <c r="F871" s="9" t="e">
        <f>IF(C871=Lookup!$P$6,INDEX('card-code'!$P$3:$P$502,'group-code'!D871),"")</f>
        <v>#N/A</v>
      </c>
      <c r="G871" s="9" t="str">
        <f t="shared" si="26"/>
        <v/>
      </c>
      <c r="H871" s="9" t="str">
        <f>_xlfn.IFNA(IF(C871=Lookup!$Q$6,"END",""),"")</f>
        <v/>
      </c>
    </row>
    <row r="872" spans="2:8" x14ac:dyDescent="0.45">
      <c r="B872" s="9">
        <f t="shared" si="27"/>
        <v>867</v>
      </c>
      <c r="C872" s="9" t="e">
        <f>IF(D871=VLOOKUP(C871,Lookup!$P$5:$R$6,3,0),VLOOKUP(C871,Lookup!$P$5:$Q$6,2,0),C871)</f>
        <v>#N/A</v>
      </c>
      <c r="D872" s="22" t="e">
        <f>IF(D871=VLOOKUP(C871,Lookup!$P$5:$R$6,3,0),1,D871+1)</f>
        <v>#N/A</v>
      </c>
      <c r="E872" s="9" t="e">
        <f>IF(C872=Lookup!$P$5,INDEX('view-code'!$P$3:$P$502,'group-code'!D872),"")</f>
        <v>#N/A</v>
      </c>
      <c r="F872" s="9" t="e">
        <f>IF(C872=Lookup!$P$6,INDEX('card-code'!$P$3:$P$502,'group-code'!D872),"")</f>
        <v>#N/A</v>
      </c>
      <c r="G872" s="9" t="str">
        <f t="shared" si="26"/>
        <v/>
      </c>
      <c r="H872" s="9" t="str">
        <f>_xlfn.IFNA(IF(C872=Lookup!$Q$6,"END",""),"")</f>
        <v/>
      </c>
    </row>
    <row r="873" spans="2:8" x14ac:dyDescent="0.45">
      <c r="B873" s="9">
        <f t="shared" si="27"/>
        <v>868</v>
      </c>
      <c r="C873" s="9" t="e">
        <f>IF(D872=VLOOKUP(C872,Lookup!$P$5:$R$6,3,0),VLOOKUP(C872,Lookup!$P$5:$Q$6,2,0),C872)</f>
        <v>#N/A</v>
      </c>
      <c r="D873" s="22" t="e">
        <f>IF(D872=VLOOKUP(C872,Lookup!$P$5:$R$6,3,0),1,D872+1)</f>
        <v>#N/A</v>
      </c>
      <c r="E873" s="9" t="e">
        <f>IF(C873=Lookup!$P$5,INDEX('view-code'!$P$3:$P$502,'group-code'!D873),"")</f>
        <v>#N/A</v>
      </c>
      <c r="F873" s="9" t="e">
        <f>IF(C873=Lookup!$P$6,INDEX('card-code'!$P$3:$P$502,'group-code'!D873),"")</f>
        <v>#N/A</v>
      </c>
      <c r="G873" s="9" t="str">
        <f t="shared" si="26"/>
        <v/>
      </c>
      <c r="H873" s="9" t="str">
        <f>_xlfn.IFNA(IF(C873=Lookup!$Q$6,"END",""),"")</f>
        <v/>
      </c>
    </row>
    <row r="874" spans="2:8" x14ac:dyDescent="0.45">
      <c r="B874" s="9">
        <f t="shared" si="27"/>
        <v>869</v>
      </c>
      <c r="C874" s="9" t="e">
        <f>IF(D873=VLOOKUP(C873,Lookup!$P$5:$R$6,3,0),VLOOKUP(C873,Lookup!$P$5:$Q$6,2,0),C873)</f>
        <v>#N/A</v>
      </c>
      <c r="D874" s="22" t="e">
        <f>IF(D873=VLOOKUP(C873,Lookup!$P$5:$R$6,3,0),1,D873+1)</f>
        <v>#N/A</v>
      </c>
      <c r="E874" s="9" t="e">
        <f>IF(C874=Lookup!$P$5,INDEX('view-code'!$P$3:$P$502,'group-code'!D874),"")</f>
        <v>#N/A</v>
      </c>
      <c r="F874" s="9" t="e">
        <f>IF(C874=Lookup!$P$6,INDEX('card-code'!$P$3:$P$502,'group-code'!D874),"")</f>
        <v>#N/A</v>
      </c>
      <c r="G874" s="9" t="str">
        <f t="shared" si="26"/>
        <v/>
      </c>
      <c r="H874" s="9" t="str">
        <f>_xlfn.IFNA(IF(C874=Lookup!$Q$6,"END",""),"")</f>
        <v/>
      </c>
    </row>
    <row r="875" spans="2:8" x14ac:dyDescent="0.45">
      <c r="B875" s="9">
        <f t="shared" si="27"/>
        <v>870</v>
      </c>
      <c r="C875" s="9" t="e">
        <f>IF(D874=VLOOKUP(C874,Lookup!$P$5:$R$6,3,0),VLOOKUP(C874,Lookup!$P$5:$Q$6,2,0),C874)</f>
        <v>#N/A</v>
      </c>
      <c r="D875" s="22" t="e">
        <f>IF(D874=VLOOKUP(C874,Lookup!$P$5:$R$6,3,0),1,D874+1)</f>
        <v>#N/A</v>
      </c>
      <c r="E875" s="9" t="e">
        <f>IF(C875=Lookup!$P$5,INDEX('view-code'!$P$3:$P$502,'group-code'!D875),"")</f>
        <v>#N/A</v>
      </c>
      <c r="F875" s="9" t="e">
        <f>IF(C875=Lookup!$P$6,INDEX('card-code'!$P$3:$P$502,'group-code'!D875),"")</f>
        <v>#N/A</v>
      </c>
      <c r="G875" s="9" t="str">
        <f t="shared" si="26"/>
        <v/>
      </c>
      <c r="H875" s="9" t="str">
        <f>_xlfn.IFNA(IF(C875=Lookup!$Q$6,"END",""),"")</f>
        <v/>
      </c>
    </row>
    <row r="876" spans="2:8" x14ac:dyDescent="0.45">
      <c r="B876" s="9">
        <f t="shared" si="27"/>
        <v>871</v>
      </c>
      <c r="C876" s="9" t="e">
        <f>IF(D875=VLOOKUP(C875,Lookup!$P$5:$R$6,3,0),VLOOKUP(C875,Lookup!$P$5:$Q$6,2,0),C875)</f>
        <v>#N/A</v>
      </c>
      <c r="D876" s="22" t="e">
        <f>IF(D875=VLOOKUP(C875,Lookup!$P$5:$R$6,3,0),1,D875+1)</f>
        <v>#N/A</v>
      </c>
      <c r="E876" s="9" t="e">
        <f>IF(C876=Lookup!$P$5,INDEX('view-code'!$P$3:$P$502,'group-code'!D876),"")</f>
        <v>#N/A</v>
      </c>
      <c r="F876" s="9" t="e">
        <f>IF(C876=Lookup!$P$6,INDEX('card-code'!$P$3:$P$502,'group-code'!D876),"")</f>
        <v>#N/A</v>
      </c>
      <c r="G876" s="9" t="str">
        <f t="shared" si="26"/>
        <v/>
      </c>
      <c r="H876" s="9" t="str">
        <f>_xlfn.IFNA(IF(C876=Lookup!$Q$6,"END",""),"")</f>
        <v/>
      </c>
    </row>
    <row r="877" spans="2:8" x14ac:dyDescent="0.45">
      <c r="B877" s="9">
        <f t="shared" si="27"/>
        <v>872</v>
      </c>
      <c r="C877" s="9" t="e">
        <f>IF(D876=VLOOKUP(C876,Lookup!$P$5:$R$6,3,0),VLOOKUP(C876,Lookup!$P$5:$Q$6,2,0),C876)</f>
        <v>#N/A</v>
      </c>
      <c r="D877" s="22" t="e">
        <f>IF(D876=VLOOKUP(C876,Lookup!$P$5:$R$6,3,0),1,D876+1)</f>
        <v>#N/A</v>
      </c>
      <c r="E877" s="9" t="e">
        <f>IF(C877=Lookup!$P$5,INDEX('view-code'!$P$3:$P$502,'group-code'!D877),"")</f>
        <v>#N/A</v>
      </c>
      <c r="F877" s="9" t="e">
        <f>IF(C877=Lookup!$P$6,INDEX('card-code'!$P$3:$P$502,'group-code'!D877),"")</f>
        <v>#N/A</v>
      </c>
      <c r="G877" s="9" t="str">
        <f t="shared" si="26"/>
        <v/>
      </c>
      <c r="H877" s="9" t="str">
        <f>_xlfn.IFNA(IF(C877=Lookup!$Q$6,"END",""),"")</f>
        <v/>
      </c>
    </row>
    <row r="878" spans="2:8" x14ac:dyDescent="0.45">
      <c r="B878" s="9">
        <f t="shared" si="27"/>
        <v>873</v>
      </c>
      <c r="C878" s="9" t="e">
        <f>IF(D877=VLOOKUP(C877,Lookup!$P$5:$R$6,3,0),VLOOKUP(C877,Lookup!$P$5:$Q$6,2,0),C877)</f>
        <v>#N/A</v>
      </c>
      <c r="D878" s="22" t="e">
        <f>IF(D877=VLOOKUP(C877,Lookup!$P$5:$R$6,3,0),1,D877+1)</f>
        <v>#N/A</v>
      </c>
      <c r="E878" s="9" t="e">
        <f>IF(C878=Lookup!$P$5,INDEX('view-code'!$P$3:$P$502,'group-code'!D878),"")</f>
        <v>#N/A</v>
      </c>
      <c r="F878" s="9" t="e">
        <f>IF(C878=Lookup!$P$6,INDEX('card-code'!$P$3:$P$502,'group-code'!D878),"")</f>
        <v>#N/A</v>
      </c>
      <c r="G878" s="9" t="str">
        <f t="shared" si="26"/>
        <v/>
      </c>
      <c r="H878" s="9" t="str">
        <f>_xlfn.IFNA(IF(C878=Lookup!$Q$6,"END",""),"")</f>
        <v/>
      </c>
    </row>
    <row r="879" spans="2:8" x14ac:dyDescent="0.45">
      <c r="B879" s="9">
        <f t="shared" si="27"/>
        <v>874</v>
      </c>
      <c r="C879" s="9" t="e">
        <f>IF(D878=VLOOKUP(C878,Lookup!$P$5:$R$6,3,0),VLOOKUP(C878,Lookup!$P$5:$Q$6,2,0),C878)</f>
        <v>#N/A</v>
      </c>
      <c r="D879" s="22" t="e">
        <f>IF(D878=VLOOKUP(C878,Lookup!$P$5:$R$6,3,0),1,D878+1)</f>
        <v>#N/A</v>
      </c>
      <c r="E879" s="9" t="e">
        <f>IF(C879=Lookup!$P$5,INDEX('view-code'!$P$3:$P$502,'group-code'!D879),"")</f>
        <v>#N/A</v>
      </c>
      <c r="F879" s="9" t="e">
        <f>IF(C879=Lookup!$P$6,INDEX('card-code'!$P$3:$P$502,'group-code'!D879),"")</f>
        <v>#N/A</v>
      </c>
      <c r="G879" s="9" t="str">
        <f t="shared" si="26"/>
        <v/>
      </c>
      <c r="H879" s="9" t="str">
        <f>_xlfn.IFNA(IF(C879=Lookup!$Q$6,"END",""),"")</f>
        <v/>
      </c>
    </row>
    <row r="880" spans="2:8" x14ac:dyDescent="0.45">
      <c r="B880" s="9">
        <f t="shared" si="27"/>
        <v>875</v>
      </c>
      <c r="C880" s="9" t="e">
        <f>IF(D879=VLOOKUP(C879,Lookup!$P$5:$R$6,3,0),VLOOKUP(C879,Lookup!$P$5:$Q$6,2,0),C879)</f>
        <v>#N/A</v>
      </c>
      <c r="D880" s="22" t="e">
        <f>IF(D879=VLOOKUP(C879,Lookup!$P$5:$R$6,3,0),1,D879+1)</f>
        <v>#N/A</v>
      </c>
      <c r="E880" s="9" t="e">
        <f>IF(C880=Lookup!$P$5,INDEX('view-code'!$P$3:$P$502,'group-code'!D880),"")</f>
        <v>#N/A</v>
      </c>
      <c r="F880" s="9" t="e">
        <f>IF(C880=Lookup!$P$6,INDEX('card-code'!$P$3:$P$502,'group-code'!D880),"")</f>
        <v>#N/A</v>
      </c>
      <c r="G880" s="9" t="str">
        <f t="shared" si="26"/>
        <v/>
      </c>
      <c r="H880" s="9" t="str">
        <f>_xlfn.IFNA(IF(C880=Lookup!$Q$6,"END",""),"")</f>
        <v/>
      </c>
    </row>
    <row r="881" spans="2:8" x14ac:dyDescent="0.45">
      <c r="B881" s="9">
        <f t="shared" si="27"/>
        <v>876</v>
      </c>
      <c r="C881" s="9" t="e">
        <f>IF(D880=VLOOKUP(C880,Lookup!$P$5:$R$6,3,0),VLOOKUP(C880,Lookup!$P$5:$Q$6,2,0),C880)</f>
        <v>#N/A</v>
      </c>
      <c r="D881" s="22" t="e">
        <f>IF(D880=VLOOKUP(C880,Lookup!$P$5:$R$6,3,0),1,D880+1)</f>
        <v>#N/A</v>
      </c>
      <c r="E881" s="9" t="e">
        <f>IF(C881=Lookup!$P$5,INDEX('view-code'!$P$3:$P$502,'group-code'!D881),"")</f>
        <v>#N/A</v>
      </c>
      <c r="F881" s="9" t="e">
        <f>IF(C881=Lookup!$P$6,INDEX('card-code'!$P$3:$P$502,'group-code'!D881),"")</f>
        <v>#N/A</v>
      </c>
      <c r="G881" s="9" t="str">
        <f t="shared" si="26"/>
        <v/>
      </c>
      <c r="H881" s="9" t="str">
        <f>_xlfn.IFNA(IF(C881=Lookup!$Q$6,"END",""),"")</f>
        <v/>
      </c>
    </row>
    <row r="882" spans="2:8" x14ac:dyDescent="0.45">
      <c r="B882" s="9">
        <f t="shared" si="27"/>
        <v>877</v>
      </c>
      <c r="C882" s="9" t="e">
        <f>IF(D881=VLOOKUP(C881,Lookup!$P$5:$R$6,3,0),VLOOKUP(C881,Lookup!$P$5:$Q$6,2,0),C881)</f>
        <v>#N/A</v>
      </c>
      <c r="D882" s="22" t="e">
        <f>IF(D881=VLOOKUP(C881,Lookup!$P$5:$R$6,3,0),1,D881+1)</f>
        <v>#N/A</v>
      </c>
      <c r="E882" s="9" t="e">
        <f>IF(C882=Lookup!$P$5,INDEX('view-code'!$P$3:$P$502,'group-code'!D882),"")</f>
        <v>#N/A</v>
      </c>
      <c r="F882" s="9" t="e">
        <f>IF(C882=Lookup!$P$6,INDEX('card-code'!$P$3:$P$502,'group-code'!D882),"")</f>
        <v>#N/A</v>
      </c>
      <c r="G882" s="9" t="str">
        <f t="shared" si="26"/>
        <v/>
      </c>
      <c r="H882" s="9" t="str">
        <f>_xlfn.IFNA(IF(C882=Lookup!$Q$6,"END",""),"")</f>
        <v/>
      </c>
    </row>
    <row r="883" spans="2:8" x14ac:dyDescent="0.45">
      <c r="B883" s="9">
        <f t="shared" si="27"/>
        <v>878</v>
      </c>
      <c r="C883" s="9" t="e">
        <f>IF(D882=VLOOKUP(C882,Lookup!$P$5:$R$6,3,0),VLOOKUP(C882,Lookup!$P$5:$Q$6,2,0),C882)</f>
        <v>#N/A</v>
      </c>
      <c r="D883" s="22" t="e">
        <f>IF(D882=VLOOKUP(C882,Lookup!$P$5:$R$6,3,0),1,D882+1)</f>
        <v>#N/A</v>
      </c>
      <c r="E883" s="9" t="e">
        <f>IF(C883=Lookup!$P$5,INDEX('view-code'!$P$3:$P$502,'group-code'!D883),"")</f>
        <v>#N/A</v>
      </c>
      <c r="F883" s="9" t="e">
        <f>IF(C883=Lookup!$P$6,INDEX('card-code'!$P$3:$P$502,'group-code'!D883),"")</f>
        <v>#N/A</v>
      </c>
      <c r="G883" s="9" t="str">
        <f t="shared" si="26"/>
        <v/>
      </c>
      <c r="H883" s="9" t="str">
        <f>_xlfn.IFNA(IF(C883=Lookup!$Q$6,"END",""),"")</f>
        <v/>
      </c>
    </row>
    <row r="884" spans="2:8" x14ac:dyDescent="0.45">
      <c r="B884" s="9">
        <f t="shared" si="27"/>
        <v>879</v>
      </c>
      <c r="C884" s="9" t="e">
        <f>IF(D883=VLOOKUP(C883,Lookup!$P$5:$R$6,3,0),VLOOKUP(C883,Lookup!$P$5:$Q$6,2,0),C883)</f>
        <v>#N/A</v>
      </c>
      <c r="D884" s="22" t="e">
        <f>IF(D883=VLOOKUP(C883,Lookup!$P$5:$R$6,3,0),1,D883+1)</f>
        <v>#N/A</v>
      </c>
      <c r="E884" s="9" t="e">
        <f>IF(C884=Lookup!$P$5,INDEX('view-code'!$P$3:$P$502,'group-code'!D884),"")</f>
        <v>#N/A</v>
      </c>
      <c r="F884" s="9" t="e">
        <f>IF(C884=Lookup!$P$6,INDEX('card-code'!$P$3:$P$502,'group-code'!D884),"")</f>
        <v>#N/A</v>
      </c>
      <c r="G884" s="9" t="str">
        <f t="shared" si="26"/>
        <v/>
      </c>
      <c r="H884" s="9" t="str">
        <f>_xlfn.IFNA(IF(C884=Lookup!$Q$6,"END",""),"")</f>
        <v/>
      </c>
    </row>
    <row r="885" spans="2:8" x14ac:dyDescent="0.45">
      <c r="B885" s="9">
        <f t="shared" si="27"/>
        <v>880</v>
      </c>
      <c r="C885" s="9" t="e">
        <f>IF(D884=VLOOKUP(C884,Lookup!$P$5:$R$6,3,0),VLOOKUP(C884,Lookup!$P$5:$Q$6,2,0),C884)</f>
        <v>#N/A</v>
      </c>
      <c r="D885" s="22" t="e">
        <f>IF(D884=VLOOKUP(C884,Lookup!$P$5:$R$6,3,0),1,D884+1)</f>
        <v>#N/A</v>
      </c>
      <c r="E885" s="9" t="e">
        <f>IF(C885=Lookup!$P$5,INDEX('view-code'!$P$3:$P$502,'group-code'!D885),"")</f>
        <v>#N/A</v>
      </c>
      <c r="F885" s="9" t="e">
        <f>IF(C885=Lookup!$P$6,INDEX('card-code'!$P$3:$P$502,'group-code'!D885),"")</f>
        <v>#N/A</v>
      </c>
      <c r="G885" s="9" t="str">
        <f t="shared" si="26"/>
        <v/>
      </c>
      <c r="H885" s="9" t="str">
        <f>_xlfn.IFNA(IF(C885=Lookup!$Q$6,"END",""),"")</f>
        <v/>
      </c>
    </row>
    <row r="886" spans="2:8" x14ac:dyDescent="0.45">
      <c r="B886" s="9">
        <f t="shared" si="27"/>
        <v>881</v>
      </c>
      <c r="C886" s="9" t="e">
        <f>IF(D885=VLOOKUP(C885,Lookup!$P$5:$R$6,3,0),VLOOKUP(C885,Lookup!$P$5:$Q$6,2,0),C885)</f>
        <v>#N/A</v>
      </c>
      <c r="D886" s="22" t="e">
        <f>IF(D885=VLOOKUP(C885,Lookup!$P$5:$R$6,3,0),1,D885+1)</f>
        <v>#N/A</v>
      </c>
      <c r="E886" s="9" t="e">
        <f>IF(C886=Lookup!$P$5,INDEX('view-code'!$P$3:$P$502,'group-code'!D886),"")</f>
        <v>#N/A</v>
      </c>
      <c r="F886" s="9" t="e">
        <f>IF(C886=Lookup!$P$6,INDEX('card-code'!$P$3:$P$502,'group-code'!D886),"")</f>
        <v>#N/A</v>
      </c>
      <c r="G886" s="9" t="str">
        <f t="shared" si="26"/>
        <v/>
      </c>
      <c r="H886" s="9" t="str">
        <f>_xlfn.IFNA(IF(C886=Lookup!$Q$6,"END",""),"")</f>
        <v/>
      </c>
    </row>
    <row r="887" spans="2:8" x14ac:dyDescent="0.45">
      <c r="B887" s="9">
        <f t="shared" si="27"/>
        <v>882</v>
      </c>
      <c r="C887" s="9" t="e">
        <f>IF(D886=VLOOKUP(C886,Lookup!$P$5:$R$6,3,0),VLOOKUP(C886,Lookup!$P$5:$Q$6,2,0),C886)</f>
        <v>#N/A</v>
      </c>
      <c r="D887" s="22" t="e">
        <f>IF(D886=VLOOKUP(C886,Lookup!$P$5:$R$6,3,0),1,D886+1)</f>
        <v>#N/A</v>
      </c>
      <c r="E887" s="9" t="e">
        <f>IF(C887=Lookup!$P$5,INDEX('view-code'!$P$3:$P$502,'group-code'!D887),"")</f>
        <v>#N/A</v>
      </c>
      <c r="F887" s="9" t="e">
        <f>IF(C887=Lookup!$P$6,INDEX('card-code'!$P$3:$P$502,'group-code'!D887),"")</f>
        <v>#N/A</v>
      </c>
      <c r="G887" s="9" t="str">
        <f t="shared" si="26"/>
        <v/>
      </c>
      <c r="H887" s="9" t="str">
        <f>_xlfn.IFNA(IF(C887=Lookup!$Q$6,"END",""),"")</f>
        <v/>
      </c>
    </row>
    <row r="888" spans="2:8" x14ac:dyDescent="0.45">
      <c r="B888" s="9">
        <f t="shared" si="27"/>
        <v>883</v>
      </c>
      <c r="C888" s="9" t="e">
        <f>IF(D887=VLOOKUP(C887,Lookup!$P$5:$R$6,3,0),VLOOKUP(C887,Lookup!$P$5:$Q$6,2,0),C887)</f>
        <v>#N/A</v>
      </c>
      <c r="D888" s="22" t="e">
        <f>IF(D887=VLOOKUP(C887,Lookup!$P$5:$R$6,3,0),1,D887+1)</f>
        <v>#N/A</v>
      </c>
      <c r="E888" s="9" t="e">
        <f>IF(C888=Lookup!$P$5,INDEX('view-code'!$P$3:$P$502,'group-code'!D888),"")</f>
        <v>#N/A</v>
      </c>
      <c r="F888" s="9" t="e">
        <f>IF(C888=Lookup!$P$6,INDEX('card-code'!$P$3:$P$502,'group-code'!D888),"")</f>
        <v>#N/A</v>
      </c>
      <c r="G888" s="9" t="str">
        <f t="shared" si="26"/>
        <v/>
      </c>
      <c r="H888" s="9" t="str">
        <f>_xlfn.IFNA(IF(C888=Lookup!$Q$6,"END",""),"")</f>
        <v/>
      </c>
    </row>
    <row r="889" spans="2:8" x14ac:dyDescent="0.45">
      <c r="B889" s="9">
        <f t="shared" si="27"/>
        <v>884</v>
      </c>
      <c r="C889" s="9" t="e">
        <f>IF(D888=VLOOKUP(C888,Lookup!$P$5:$R$6,3,0),VLOOKUP(C888,Lookup!$P$5:$Q$6,2,0),C888)</f>
        <v>#N/A</v>
      </c>
      <c r="D889" s="22" t="e">
        <f>IF(D888=VLOOKUP(C888,Lookup!$P$5:$R$6,3,0),1,D888+1)</f>
        <v>#N/A</v>
      </c>
      <c r="E889" s="9" t="e">
        <f>IF(C889=Lookup!$P$5,INDEX('view-code'!$P$3:$P$502,'group-code'!D889),"")</f>
        <v>#N/A</v>
      </c>
      <c r="F889" s="9" t="e">
        <f>IF(C889=Lookup!$P$6,INDEX('card-code'!$P$3:$P$502,'group-code'!D889),"")</f>
        <v>#N/A</v>
      </c>
      <c r="G889" s="9" t="str">
        <f t="shared" si="26"/>
        <v/>
      </c>
      <c r="H889" s="9" t="str">
        <f>_xlfn.IFNA(IF(C889=Lookup!$Q$6,"END",""),"")</f>
        <v/>
      </c>
    </row>
    <row r="890" spans="2:8" x14ac:dyDescent="0.45">
      <c r="B890" s="9">
        <f t="shared" si="27"/>
        <v>885</v>
      </c>
      <c r="C890" s="9" t="e">
        <f>IF(D889=VLOOKUP(C889,Lookup!$P$5:$R$6,3,0),VLOOKUP(C889,Lookup!$P$5:$Q$6,2,0),C889)</f>
        <v>#N/A</v>
      </c>
      <c r="D890" s="22" t="e">
        <f>IF(D889=VLOOKUP(C889,Lookup!$P$5:$R$6,3,0),1,D889+1)</f>
        <v>#N/A</v>
      </c>
      <c r="E890" s="9" t="e">
        <f>IF(C890=Lookup!$P$5,INDEX('view-code'!$P$3:$P$502,'group-code'!D890),"")</f>
        <v>#N/A</v>
      </c>
      <c r="F890" s="9" t="e">
        <f>IF(C890=Lookup!$P$6,INDEX('card-code'!$P$3:$P$502,'group-code'!D890),"")</f>
        <v>#N/A</v>
      </c>
      <c r="G890" s="9" t="str">
        <f t="shared" ref="G890:G953" si="28">_xlfn.IFNA(  E890&amp;F890,  "")</f>
        <v/>
      </c>
      <c r="H890" s="9" t="str">
        <f>_xlfn.IFNA(IF(C890=Lookup!$Q$6,"END",""),"")</f>
        <v/>
      </c>
    </row>
    <row r="891" spans="2:8" x14ac:dyDescent="0.45">
      <c r="B891" s="9">
        <f t="shared" si="27"/>
        <v>886</v>
      </c>
      <c r="C891" s="9" t="e">
        <f>IF(D890=VLOOKUP(C890,Lookup!$P$5:$R$6,3,0),VLOOKUP(C890,Lookup!$P$5:$Q$6,2,0),C890)</f>
        <v>#N/A</v>
      </c>
      <c r="D891" s="22" t="e">
        <f>IF(D890=VLOOKUP(C890,Lookup!$P$5:$R$6,3,0),1,D890+1)</f>
        <v>#N/A</v>
      </c>
      <c r="E891" s="9" t="e">
        <f>IF(C891=Lookup!$P$5,INDEX('view-code'!$P$3:$P$502,'group-code'!D891),"")</f>
        <v>#N/A</v>
      </c>
      <c r="F891" s="9" t="e">
        <f>IF(C891=Lookup!$P$6,INDEX('card-code'!$P$3:$P$502,'group-code'!D891),"")</f>
        <v>#N/A</v>
      </c>
      <c r="G891" s="9" t="str">
        <f t="shared" si="28"/>
        <v/>
      </c>
      <c r="H891" s="9" t="str">
        <f>_xlfn.IFNA(IF(C891=Lookup!$Q$6,"END",""),"")</f>
        <v/>
      </c>
    </row>
    <row r="892" spans="2:8" x14ac:dyDescent="0.45">
      <c r="B892" s="9">
        <f t="shared" si="27"/>
        <v>887</v>
      </c>
      <c r="C892" s="9" t="e">
        <f>IF(D891=VLOOKUP(C891,Lookup!$P$5:$R$6,3,0),VLOOKUP(C891,Lookup!$P$5:$Q$6,2,0),C891)</f>
        <v>#N/A</v>
      </c>
      <c r="D892" s="22" t="e">
        <f>IF(D891=VLOOKUP(C891,Lookup!$P$5:$R$6,3,0),1,D891+1)</f>
        <v>#N/A</v>
      </c>
      <c r="E892" s="9" t="e">
        <f>IF(C892=Lookup!$P$5,INDEX('view-code'!$P$3:$P$502,'group-code'!D892),"")</f>
        <v>#N/A</v>
      </c>
      <c r="F892" s="9" t="e">
        <f>IF(C892=Lookup!$P$6,INDEX('card-code'!$P$3:$P$502,'group-code'!D892),"")</f>
        <v>#N/A</v>
      </c>
      <c r="G892" s="9" t="str">
        <f t="shared" si="28"/>
        <v/>
      </c>
      <c r="H892" s="9" t="str">
        <f>_xlfn.IFNA(IF(C892=Lookup!$Q$6,"END",""),"")</f>
        <v/>
      </c>
    </row>
    <row r="893" spans="2:8" x14ac:dyDescent="0.45">
      <c r="B893" s="9">
        <f t="shared" si="27"/>
        <v>888</v>
      </c>
      <c r="C893" s="9" t="e">
        <f>IF(D892=VLOOKUP(C892,Lookup!$P$5:$R$6,3,0),VLOOKUP(C892,Lookup!$P$5:$Q$6,2,0),C892)</f>
        <v>#N/A</v>
      </c>
      <c r="D893" s="22" t="e">
        <f>IF(D892=VLOOKUP(C892,Lookup!$P$5:$R$6,3,0),1,D892+1)</f>
        <v>#N/A</v>
      </c>
      <c r="E893" s="9" t="e">
        <f>IF(C893=Lookup!$P$5,INDEX('view-code'!$P$3:$P$502,'group-code'!D893),"")</f>
        <v>#N/A</v>
      </c>
      <c r="F893" s="9" t="e">
        <f>IF(C893=Lookup!$P$6,INDEX('card-code'!$P$3:$P$502,'group-code'!D893),"")</f>
        <v>#N/A</v>
      </c>
      <c r="G893" s="9" t="str">
        <f t="shared" si="28"/>
        <v/>
      </c>
      <c r="H893" s="9" t="str">
        <f>_xlfn.IFNA(IF(C893=Lookup!$Q$6,"END",""),"")</f>
        <v/>
      </c>
    </row>
    <row r="894" spans="2:8" x14ac:dyDescent="0.45">
      <c r="B894" s="9">
        <f t="shared" si="27"/>
        <v>889</v>
      </c>
      <c r="C894" s="9" t="e">
        <f>IF(D893=VLOOKUP(C893,Lookup!$P$5:$R$6,3,0),VLOOKUP(C893,Lookup!$P$5:$Q$6,2,0),C893)</f>
        <v>#N/A</v>
      </c>
      <c r="D894" s="22" t="e">
        <f>IF(D893=VLOOKUP(C893,Lookup!$P$5:$R$6,3,0),1,D893+1)</f>
        <v>#N/A</v>
      </c>
      <c r="E894" s="9" t="e">
        <f>IF(C894=Lookup!$P$5,INDEX('view-code'!$P$3:$P$502,'group-code'!D894),"")</f>
        <v>#N/A</v>
      </c>
      <c r="F894" s="9" t="e">
        <f>IF(C894=Lookup!$P$6,INDEX('card-code'!$P$3:$P$502,'group-code'!D894),"")</f>
        <v>#N/A</v>
      </c>
      <c r="G894" s="9" t="str">
        <f t="shared" si="28"/>
        <v/>
      </c>
      <c r="H894" s="9" t="str">
        <f>_xlfn.IFNA(IF(C894=Lookup!$Q$6,"END",""),"")</f>
        <v/>
      </c>
    </row>
    <row r="895" spans="2:8" x14ac:dyDescent="0.45">
      <c r="B895" s="9">
        <f t="shared" si="27"/>
        <v>890</v>
      </c>
      <c r="C895" s="9" t="e">
        <f>IF(D894=VLOOKUP(C894,Lookup!$P$5:$R$6,3,0),VLOOKUP(C894,Lookup!$P$5:$Q$6,2,0),C894)</f>
        <v>#N/A</v>
      </c>
      <c r="D895" s="22" t="e">
        <f>IF(D894=VLOOKUP(C894,Lookup!$P$5:$R$6,3,0),1,D894+1)</f>
        <v>#N/A</v>
      </c>
      <c r="E895" s="9" t="e">
        <f>IF(C895=Lookup!$P$5,INDEX('view-code'!$P$3:$P$502,'group-code'!D895),"")</f>
        <v>#N/A</v>
      </c>
      <c r="F895" s="9" t="e">
        <f>IF(C895=Lookup!$P$6,INDEX('card-code'!$P$3:$P$502,'group-code'!D895),"")</f>
        <v>#N/A</v>
      </c>
      <c r="G895" s="9" t="str">
        <f t="shared" si="28"/>
        <v/>
      </c>
      <c r="H895" s="9" t="str">
        <f>_xlfn.IFNA(IF(C895=Lookup!$Q$6,"END",""),"")</f>
        <v/>
      </c>
    </row>
    <row r="896" spans="2:8" x14ac:dyDescent="0.45">
      <c r="B896" s="9">
        <f t="shared" si="27"/>
        <v>891</v>
      </c>
      <c r="C896" s="9" t="e">
        <f>IF(D895=VLOOKUP(C895,Lookup!$P$5:$R$6,3,0),VLOOKUP(C895,Lookup!$P$5:$Q$6,2,0),C895)</f>
        <v>#N/A</v>
      </c>
      <c r="D896" s="22" t="e">
        <f>IF(D895=VLOOKUP(C895,Lookup!$P$5:$R$6,3,0),1,D895+1)</f>
        <v>#N/A</v>
      </c>
      <c r="E896" s="9" t="e">
        <f>IF(C896=Lookup!$P$5,INDEX('view-code'!$P$3:$P$502,'group-code'!D896),"")</f>
        <v>#N/A</v>
      </c>
      <c r="F896" s="9" t="e">
        <f>IF(C896=Lookup!$P$6,INDEX('card-code'!$P$3:$P$502,'group-code'!D896),"")</f>
        <v>#N/A</v>
      </c>
      <c r="G896" s="9" t="str">
        <f t="shared" si="28"/>
        <v/>
      </c>
      <c r="H896" s="9" t="str">
        <f>_xlfn.IFNA(IF(C896=Lookup!$Q$6,"END",""),"")</f>
        <v/>
      </c>
    </row>
    <row r="897" spans="2:8" x14ac:dyDescent="0.45">
      <c r="B897" s="9">
        <f t="shared" si="27"/>
        <v>892</v>
      </c>
      <c r="C897" s="9" t="e">
        <f>IF(D896=VLOOKUP(C896,Lookup!$P$5:$R$6,3,0),VLOOKUP(C896,Lookup!$P$5:$Q$6,2,0),C896)</f>
        <v>#N/A</v>
      </c>
      <c r="D897" s="22" t="e">
        <f>IF(D896=VLOOKUP(C896,Lookup!$P$5:$R$6,3,0),1,D896+1)</f>
        <v>#N/A</v>
      </c>
      <c r="E897" s="9" t="e">
        <f>IF(C897=Lookup!$P$5,INDEX('view-code'!$P$3:$P$502,'group-code'!D897),"")</f>
        <v>#N/A</v>
      </c>
      <c r="F897" s="9" t="e">
        <f>IF(C897=Lookup!$P$6,INDEX('card-code'!$P$3:$P$502,'group-code'!D897),"")</f>
        <v>#N/A</v>
      </c>
      <c r="G897" s="9" t="str">
        <f t="shared" si="28"/>
        <v/>
      </c>
      <c r="H897" s="9" t="str">
        <f>_xlfn.IFNA(IF(C897=Lookup!$Q$6,"END",""),"")</f>
        <v/>
      </c>
    </row>
    <row r="898" spans="2:8" x14ac:dyDescent="0.45">
      <c r="B898" s="9">
        <f t="shared" si="27"/>
        <v>893</v>
      </c>
      <c r="C898" s="9" t="e">
        <f>IF(D897=VLOOKUP(C897,Lookup!$P$5:$R$6,3,0),VLOOKUP(C897,Lookup!$P$5:$Q$6,2,0),C897)</f>
        <v>#N/A</v>
      </c>
      <c r="D898" s="22" t="e">
        <f>IF(D897=VLOOKUP(C897,Lookup!$P$5:$R$6,3,0),1,D897+1)</f>
        <v>#N/A</v>
      </c>
      <c r="E898" s="9" t="e">
        <f>IF(C898=Lookup!$P$5,INDEX('view-code'!$P$3:$P$502,'group-code'!D898),"")</f>
        <v>#N/A</v>
      </c>
      <c r="F898" s="9" t="e">
        <f>IF(C898=Lookup!$P$6,INDEX('card-code'!$P$3:$P$502,'group-code'!D898),"")</f>
        <v>#N/A</v>
      </c>
      <c r="G898" s="9" t="str">
        <f t="shared" si="28"/>
        <v/>
      </c>
      <c r="H898" s="9" t="str">
        <f>_xlfn.IFNA(IF(C898=Lookup!$Q$6,"END",""),"")</f>
        <v/>
      </c>
    </row>
    <row r="899" spans="2:8" x14ac:dyDescent="0.45">
      <c r="B899" s="9">
        <f t="shared" si="27"/>
        <v>894</v>
      </c>
      <c r="C899" s="9" t="e">
        <f>IF(D898=VLOOKUP(C898,Lookup!$P$5:$R$6,3,0),VLOOKUP(C898,Lookup!$P$5:$Q$6,2,0),C898)</f>
        <v>#N/A</v>
      </c>
      <c r="D899" s="22" t="e">
        <f>IF(D898=VLOOKUP(C898,Lookup!$P$5:$R$6,3,0),1,D898+1)</f>
        <v>#N/A</v>
      </c>
      <c r="E899" s="9" t="e">
        <f>IF(C899=Lookup!$P$5,INDEX('view-code'!$P$3:$P$502,'group-code'!D899),"")</f>
        <v>#N/A</v>
      </c>
      <c r="F899" s="9" t="e">
        <f>IF(C899=Lookup!$P$6,INDEX('card-code'!$P$3:$P$502,'group-code'!D899),"")</f>
        <v>#N/A</v>
      </c>
      <c r="G899" s="9" t="str">
        <f t="shared" si="28"/>
        <v/>
      </c>
      <c r="H899" s="9" t="str">
        <f>_xlfn.IFNA(IF(C899=Lookup!$Q$6,"END",""),"")</f>
        <v/>
      </c>
    </row>
    <row r="900" spans="2:8" x14ac:dyDescent="0.45">
      <c r="B900" s="9">
        <f t="shared" si="27"/>
        <v>895</v>
      </c>
      <c r="C900" s="9" t="e">
        <f>IF(D899=VLOOKUP(C899,Lookup!$P$5:$R$6,3,0),VLOOKUP(C899,Lookup!$P$5:$Q$6,2,0),C899)</f>
        <v>#N/A</v>
      </c>
      <c r="D900" s="22" t="e">
        <f>IF(D899=VLOOKUP(C899,Lookup!$P$5:$R$6,3,0),1,D899+1)</f>
        <v>#N/A</v>
      </c>
      <c r="E900" s="9" t="e">
        <f>IF(C900=Lookup!$P$5,INDEX('view-code'!$P$3:$P$502,'group-code'!D900),"")</f>
        <v>#N/A</v>
      </c>
      <c r="F900" s="9" t="e">
        <f>IF(C900=Lookup!$P$6,INDEX('card-code'!$P$3:$P$502,'group-code'!D900),"")</f>
        <v>#N/A</v>
      </c>
      <c r="G900" s="9" t="str">
        <f t="shared" si="28"/>
        <v/>
      </c>
      <c r="H900" s="9" t="str">
        <f>_xlfn.IFNA(IF(C900=Lookup!$Q$6,"END",""),"")</f>
        <v/>
      </c>
    </row>
    <row r="901" spans="2:8" x14ac:dyDescent="0.45">
      <c r="B901" s="9">
        <f t="shared" si="27"/>
        <v>896</v>
      </c>
      <c r="C901" s="9" t="e">
        <f>IF(D900=VLOOKUP(C900,Lookup!$P$5:$R$6,3,0),VLOOKUP(C900,Lookup!$P$5:$Q$6,2,0),C900)</f>
        <v>#N/A</v>
      </c>
      <c r="D901" s="22" t="e">
        <f>IF(D900=VLOOKUP(C900,Lookup!$P$5:$R$6,3,0),1,D900+1)</f>
        <v>#N/A</v>
      </c>
      <c r="E901" s="9" t="e">
        <f>IF(C901=Lookup!$P$5,INDEX('view-code'!$P$3:$P$502,'group-code'!D901),"")</f>
        <v>#N/A</v>
      </c>
      <c r="F901" s="9" t="e">
        <f>IF(C901=Lookup!$P$6,INDEX('card-code'!$P$3:$P$502,'group-code'!D901),"")</f>
        <v>#N/A</v>
      </c>
      <c r="G901" s="9" t="str">
        <f t="shared" si="28"/>
        <v/>
      </c>
      <c r="H901" s="9" t="str">
        <f>_xlfn.IFNA(IF(C901=Lookup!$Q$6,"END",""),"")</f>
        <v/>
      </c>
    </row>
    <row r="902" spans="2:8" x14ac:dyDescent="0.45">
      <c r="B902" s="9">
        <f t="shared" si="27"/>
        <v>897</v>
      </c>
      <c r="C902" s="9" t="e">
        <f>IF(D901=VLOOKUP(C901,Lookup!$P$5:$R$6,3,0),VLOOKUP(C901,Lookup!$P$5:$Q$6,2,0),C901)</f>
        <v>#N/A</v>
      </c>
      <c r="D902" s="22" t="e">
        <f>IF(D901=VLOOKUP(C901,Lookup!$P$5:$R$6,3,0),1,D901+1)</f>
        <v>#N/A</v>
      </c>
      <c r="E902" s="9" t="e">
        <f>IF(C902=Lookup!$P$5,INDEX('view-code'!$P$3:$P$502,'group-code'!D902),"")</f>
        <v>#N/A</v>
      </c>
      <c r="F902" s="9" t="e">
        <f>IF(C902=Lookup!$P$6,INDEX('card-code'!$P$3:$P$502,'group-code'!D902),"")</f>
        <v>#N/A</v>
      </c>
      <c r="G902" s="9" t="str">
        <f t="shared" si="28"/>
        <v/>
      </c>
      <c r="H902" s="9" t="str">
        <f>_xlfn.IFNA(IF(C902=Lookup!$Q$6,"END",""),"")</f>
        <v/>
      </c>
    </row>
    <row r="903" spans="2:8" x14ac:dyDescent="0.45">
      <c r="B903" s="9">
        <f t="shared" si="27"/>
        <v>898</v>
      </c>
      <c r="C903" s="9" t="e">
        <f>IF(D902=VLOOKUP(C902,Lookup!$P$5:$R$6,3,0),VLOOKUP(C902,Lookup!$P$5:$Q$6,2,0),C902)</f>
        <v>#N/A</v>
      </c>
      <c r="D903" s="22" t="e">
        <f>IF(D902=VLOOKUP(C902,Lookup!$P$5:$R$6,3,0),1,D902+1)</f>
        <v>#N/A</v>
      </c>
      <c r="E903" s="9" t="e">
        <f>IF(C903=Lookup!$P$5,INDEX('view-code'!$P$3:$P$502,'group-code'!D903),"")</f>
        <v>#N/A</v>
      </c>
      <c r="F903" s="9" t="e">
        <f>IF(C903=Lookup!$P$6,INDEX('card-code'!$P$3:$P$502,'group-code'!D903),"")</f>
        <v>#N/A</v>
      </c>
      <c r="G903" s="9" t="str">
        <f t="shared" si="28"/>
        <v/>
      </c>
      <c r="H903" s="9" t="str">
        <f>_xlfn.IFNA(IF(C903=Lookup!$Q$6,"END",""),"")</f>
        <v/>
      </c>
    </row>
    <row r="904" spans="2:8" x14ac:dyDescent="0.45">
      <c r="B904" s="9">
        <f t="shared" ref="B904:B967" si="29">B903+1</f>
        <v>899</v>
      </c>
      <c r="C904" s="9" t="e">
        <f>IF(D903=VLOOKUP(C903,Lookup!$P$5:$R$6,3,0),VLOOKUP(C903,Lookup!$P$5:$Q$6,2,0),C903)</f>
        <v>#N/A</v>
      </c>
      <c r="D904" s="22" t="e">
        <f>IF(D903=VLOOKUP(C903,Lookup!$P$5:$R$6,3,0),1,D903+1)</f>
        <v>#N/A</v>
      </c>
      <c r="E904" s="9" t="e">
        <f>IF(C904=Lookup!$P$5,INDEX('view-code'!$P$3:$P$502,'group-code'!D904),"")</f>
        <v>#N/A</v>
      </c>
      <c r="F904" s="9" t="e">
        <f>IF(C904=Lookup!$P$6,INDEX('card-code'!$P$3:$P$502,'group-code'!D904),"")</f>
        <v>#N/A</v>
      </c>
      <c r="G904" s="9" t="str">
        <f t="shared" si="28"/>
        <v/>
      </c>
      <c r="H904" s="9" t="str">
        <f>_xlfn.IFNA(IF(C904=Lookup!$Q$6,"END",""),"")</f>
        <v/>
      </c>
    </row>
    <row r="905" spans="2:8" x14ac:dyDescent="0.45">
      <c r="B905" s="9">
        <f t="shared" si="29"/>
        <v>900</v>
      </c>
      <c r="C905" s="9" t="e">
        <f>IF(D904=VLOOKUP(C904,Lookup!$P$5:$R$6,3,0),VLOOKUP(C904,Lookup!$P$5:$Q$6,2,0),C904)</f>
        <v>#N/A</v>
      </c>
      <c r="D905" s="22" t="e">
        <f>IF(D904=VLOOKUP(C904,Lookup!$P$5:$R$6,3,0),1,D904+1)</f>
        <v>#N/A</v>
      </c>
      <c r="E905" s="9" t="e">
        <f>IF(C905=Lookup!$P$5,INDEX('view-code'!$P$3:$P$502,'group-code'!D905),"")</f>
        <v>#N/A</v>
      </c>
      <c r="F905" s="9" t="e">
        <f>IF(C905=Lookup!$P$6,INDEX('card-code'!$P$3:$P$502,'group-code'!D905),"")</f>
        <v>#N/A</v>
      </c>
      <c r="G905" s="9" t="str">
        <f t="shared" si="28"/>
        <v/>
      </c>
      <c r="H905" s="9" t="str">
        <f>_xlfn.IFNA(IF(C905=Lookup!$Q$6,"END",""),"")</f>
        <v/>
      </c>
    </row>
    <row r="906" spans="2:8" x14ac:dyDescent="0.45">
      <c r="B906" s="9">
        <f t="shared" si="29"/>
        <v>901</v>
      </c>
      <c r="C906" s="9" t="e">
        <f>IF(D905=VLOOKUP(C905,Lookup!$P$5:$R$6,3,0),VLOOKUP(C905,Lookup!$P$5:$Q$6,2,0),C905)</f>
        <v>#N/A</v>
      </c>
      <c r="D906" s="22" t="e">
        <f>IF(D905=VLOOKUP(C905,Lookup!$P$5:$R$6,3,0),1,D905+1)</f>
        <v>#N/A</v>
      </c>
      <c r="E906" s="9" t="e">
        <f>IF(C906=Lookup!$P$5,INDEX('view-code'!$P$3:$P$502,'group-code'!D906),"")</f>
        <v>#N/A</v>
      </c>
      <c r="F906" s="9" t="e">
        <f>IF(C906=Lookup!$P$6,INDEX('card-code'!$P$3:$P$502,'group-code'!D906),"")</f>
        <v>#N/A</v>
      </c>
      <c r="G906" s="9" t="str">
        <f t="shared" si="28"/>
        <v/>
      </c>
      <c r="H906" s="9" t="str">
        <f>_xlfn.IFNA(IF(C906=Lookup!$Q$6,"END",""),"")</f>
        <v/>
      </c>
    </row>
    <row r="907" spans="2:8" x14ac:dyDescent="0.45">
      <c r="B907" s="9">
        <f t="shared" si="29"/>
        <v>902</v>
      </c>
      <c r="C907" s="9" t="e">
        <f>IF(D906=VLOOKUP(C906,Lookup!$P$5:$R$6,3,0),VLOOKUP(C906,Lookup!$P$5:$Q$6,2,0),C906)</f>
        <v>#N/A</v>
      </c>
      <c r="D907" s="22" t="e">
        <f>IF(D906=VLOOKUP(C906,Lookup!$P$5:$R$6,3,0),1,D906+1)</f>
        <v>#N/A</v>
      </c>
      <c r="E907" s="9" t="e">
        <f>IF(C907=Lookup!$P$5,INDEX('view-code'!$P$3:$P$502,'group-code'!D907),"")</f>
        <v>#N/A</v>
      </c>
      <c r="F907" s="9" t="e">
        <f>IF(C907=Lookup!$P$6,INDEX('card-code'!$P$3:$P$502,'group-code'!D907),"")</f>
        <v>#N/A</v>
      </c>
      <c r="G907" s="9" t="str">
        <f t="shared" si="28"/>
        <v/>
      </c>
      <c r="H907" s="9" t="str">
        <f>_xlfn.IFNA(IF(C907=Lookup!$Q$6,"END",""),"")</f>
        <v/>
      </c>
    </row>
    <row r="908" spans="2:8" x14ac:dyDescent="0.45">
      <c r="B908" s="9">
        <f t="shared" si="29"/>
        <v>903</v>
      </c>
      <c r="C908" s="9" t="e">
        <f>IF(D907=VLOOKUP(C907,Lookup!$P$5:$R$6,3,0),VLOOKUP(C907,Lookup!$P$5:$Q$6,2,0),C907)</f>
        <v>#N/A</v>
      </c>
      <c r="D908" s="22" t="e">
        <f>IF(D907=VLOOKUP(C907,Lookup!$P$5:$R$6,3,0),1,D907+1)</f>
        <v>#N/A</v>
      </c>
      <c r="E908" s="9" t="e">
        <f>IF(C908=Lookup!$P$5,INDEX('view-code'!$P$3:$P$502,'group-code'!D908),"")</f>
        <v>#N/A</v>
      </c>
      <c r="F908" s="9" t="e">
        <f>IF(C908=Lookup!$P$6,INDEX('card-code'!$P$3:$P$502,'group-code'!D908),"")</f>
        <v>#N/A</v>
      </c>
      <c r="G908" s="9" t="str">
        <f t="shared" si="28"/>
        <v/>
      </c>
      <c r="H908" s="9" t="str">
        <f>_xlfn.IFNA(IF(C908=Lookup!$Q$6,"END",""),"")</f>
        <v/>
      </c>
    </row>
    <row r="909" spans="2:8" x14ac:dyDescent="0.45">
      <c r="B909" s="9">
        <f t="shared" si="29"/>
        <v>904</v>
      </c>
      <c r="C909" s="9" t="e">
        <f>IF(D908=VLOOKUP(C908,Lookup!$P$5:$R$6,3,0),VLOOKUP(C908,Lookup!$P$5:$Q$6,2,0),C908)</f>
        <v>#N/A</v>
      </c>
      <c r="D909" s="22" t="e">
        <f>IF(D908=VLOOKUP(C908,Lookup!$P$5:$R$6,3,0),1,D908+1)</f>
        <v>#N/A</v>
      </c>
      <c r="E909" s="9" t="e">
        <f>IF(C909=Lookup!$P$5,INDEX('view-code'!$P$3:$P$502,'group-code'!D909),"")</f>
        <v>#N/A</v>
      </c>
      <c r="F909" s="9" t="e">
        <f>IF(C909=Lookup!$P$6,INDEX('card-code'!$P$3:$P$502,'group-code'!D909),"")</f>
        <v>#N/A</v>
      </c>
      <c r="G909" s="9" t="str">
        <f t="shared" si="28"/>
        <v/>
      </c>
      <c r="H909" s="9" t="str">
        <f>_xlfn.IFNA(IF(C909=Lookup!$Q$6,"END",""),"")</f>
        <v/>
      </c>
    </row>
    <row r="910" spans="2:8" x14ac:dyDescent="0.45">
      <c r="B910" s="9">
        <f t="shared" si="29"/>
        <v>905</v>
      </c>
      <c r="C910" s="9" t="e">
        <f>IF(D909=VLOOKUP(C909,Lookup!$P$5:$R$6,3,0),VLOOKUP(C909,Lookup!$P$5:$Q$6,2,0),C909)</f>
        <v>#N/A</v>
      </c>
      <c r="D910" s="22" t="e">
        <f>IF(D909=VLOOKUP(C909,Lookup!$P$5:$R$6,3,0),1,D909+1)</f>
        <v>#N/A</v>
      </c>
      <c r="E910" s="9" t="e">
        <f>IF(C910=Lookup!$P$5,INDEX('view-code'!$P$3:$P$502,'group-code'!D910),"")</f>
        <v>#N/A</v>
      </c>
      <c r="F910" s="9" t="e">
        <f>IF(C910=Lookup!$P$6,INDEX('card-code'!$P$3:$P$502,'group-code'!D910),"")</f>
        <v>#N/A</v>
      </c>
      <c r="G910" s="9" t="str">
        <f t="shared" si="28"/>
        <v/>
      </c>
      <c r="H910" s="9" t="str">
        <f>_xlfn.IFNA(IF(C910=Lookup!$Q$6,"END",""),"")</f>
        <v/>
      </c>
    </row>
    <row r="911" spans="2:8" x14ac:dyDescent="0.45">
      <c r="B911" s="9">
        <f t="shared" si="29"/>
        <v>906</v>
      </c>
      <c r="C911" s="9" t="e">
        <f>IF(D910=VLOOKUP(C910,Lookup!$P$5:$R$6,3,0),VLOOKUP(C910,Lookup!$P$5:$Q$6,2,0),C910)</f>
        <v>#N/A</v>
      </c>
      <c r="D911" s="22" t="e">
        <f>IF(D910=VLOOKUP(C910,Lookup!$P$5:$R$6,3,0),1,D910+1)</f>
        <v>#N/A</v>
      </c>
      <c r="E911" s="9" t="e">
        <f>IF(C911=Lookup!$P$5,INDEX('view-code'!$P$3:$P$502,'group-code'!D911),"")</f>
        <v>#N/A</v>
      </c>
      <c r="F911" s="9" t="e">
        <f>IF(C911=Lookup!$P$6,INDEX('card-code'!$P$3:$P$502,'group-code'!D911),"")</f>
        <v>#N/A</v>
      </c>
      <c r="G911" s="9" t="str">
        <f t="shared" si="28"/>
        <v/>
      </c>
      <c r="H911" s="9" t="str">
        <f>_xlfn.IFNA(IF(C911=Lookup!$Q$6,"END",""),"")</f>
        <v/>
      </c>
    </row>
    <row r="912" spans="2:8" x14ac:dyDescent="0.45">
      <c r="B912" s="9">
        <f t="shared" si="29"/>
        <v>907</v>
      </c>
      <c r="C912" s="9" t="e">
        <f>IF(D911=VLOOKUP(C911,Lookup!$P$5:$R$6,3,0),VLOOKUP(C911,Lookup!$P$5:$Q$6,2,0),C911)</f>
        <v>#N/A</v>
      </c>
      <c r="D912" s="22" t="e">
        <f>IF(D911=VLOOKUP(C911,Lookup!$P$5:$R$6,3,0),1,D911+1)</f>
        <v>#N/A</v>
      </c>
      <c r="E912" s="9" t="e">
        <f>IF(C912=Lookup!$P$5,INDEX('view-code'!$P$3:$P$502,'group-code'!D912),"")</f>
        <v>#N/A</v>
      </c>
      <c r="F912" s="9" t="e">
        <f>IF(C912=Lookup!$P$6,INDEX('card-code'!$P$3:$P$502,'group-code'!D912),"")</f>
        <v>#N/A</v>
      </c>
      <c r="G912" s="9" t="str">
        <f t="shared" si="28"/>
        <v/>
      </c>
      <c r="H912" s="9" t="str">
        <f>_xlfn.IFNA(IF(C912=Lookup!$Q$6,"END",""),"")</f>
        <v/>
      </c>
    </row>
    <row r="913" spans="2:8" x14ac:dyDescent="0.45">
      <c r="B913" s="9">
        <f t="shared" si="29"/>
        <v>908</v>
      </c>
      <c r="C913" s="9" t="e">
        <f>IF(D912=VLOOKUP(C912,Lookup!$P$5:$R$6,3,0),VLOOKUP(C912,Lookup!$P$5:$Q$6,2,0),C912)</f>
        <v>#N/A</v>
      </c>
      <c r="D913" s="22" t="e">
        <f>IF(D912=VLOOKUP(C912,Lookup!$P$5:$R$6,3,0),1,D912+1)</f>
        <v>#N/A</v>
      </c>
      <c r="E913" s="9" t="e">
        <f>IF(C913=Lookup!$P$5,INDEX('view-code'!$P$3:$P$502,'group-code'!D913),"")</f>
        <v>#N/A</v>
      </c>
      <c r="F913" s="9" t="e">
        <f>IF(C913=Lookup!$P$6,INDEX('card-code'!$P$3:$P$502,'group-code'!D913),"")</f>
        <v>#N/A</v>
      </c>
      <c r="G913" s="9" t="str">
        <f t="shared" si="28"/>
        <v/>
      </c>
      <c r="H913" s="9" t="str">
        <f>_xlfn.IFNA(IF(C913=Lookup!$Q$6,"END",""),"")</f>
        <v/>
      </c>
    </row>
    <row r="914" spans="2:8" x14ac:dyDescent="0.45">
      <c r="B914" s="9">
        <f t="shared" si="29"/>
        <v>909</v>
      </c>
      <c r="C914" s="9" t="e">
        <f>IF(D913=VLOOKUP(C913,Lookup!$P$5:$R$6,3,0),VLOOKUP(C913,Lookup!$P$5:$Q$6,2,0),C913)</f>
        <v>#N/A</v>
      </c>
      <c r="D914" s="22" t="e">
        <f>IF(D913=VLOOKUP(C913,Lookup!$P$5:$R$6,3,0),1,D913+1)</f>
        <v>#N/A</v>
      </c>
      <c r="E914" s="9" t="e">
        <f>IF(C914=Lookup!$P$5,INDEX('view-code'!$P$3:$P$502,'group-code'!D914),"")</f>
        <v>#N/A</v>
      </c>
      <c r="F914" s="9" t="e">
        <f>IF(C914=Lookup!$P$6,INDEX('card-code'!$P$3:$P$502,'group-code'!D914),"")</f>
        <v>#N/A</v>
      </c>
      <c r="G914" s="9" t="str">
        <f t="shared" si="28"/>
        <v/>
      </c>
      <c r="H914" s="9" t="str">
        <f>_xlfn.IFNA(IF(C914=Lookup!$Q$6,"END",""),"")</f>
        <v/>
      </c>
    </row>
    <row r="915" spans="2:8" x14ac:dyDescent="0.45">
      <c r="B915" s="9">
        <f t="shared" si="29"/>
        <v>910</v>
      </c>
      <c r="C915" s="9" t="e">
        <f>IF(D914=VLOOKUP(C914,Lookup!$P$5:$R$6,3,0),VLOOKUP(C914,Lookup!$P$5:$Q$6,2,0),C914)</f>
        <v>#N/A</v>
      </c>
      <c r="D915" s="22" t="e">
        <f>IF(D914=VLOOKUP(C914,Lookup!$P$5:$R$6,3,0),1,D914+1)</f>
        <v>#N/A</v>
      </c>
      <c r="E915" s="9" t="e">
        <f>IF(C915=Lookup!$P$5,INDEX('view-code'!$P$3:$P$502,'group-code'!D915),"")</f>
        <v>#N/A</v>
      </c>
      <c r="F915" s="9" t="e">
        <f>IF(C915=Lookup!$P$6,INDEX('card-code'!$P$3:$P$502,'group-code'!D915),"")</f>
        <v>#N/A</v>
      </c>
      <c r="G915" s="9" t="str">
        <f t="shared" si="28"/>
        <v/>
      </c>
      <c r="H915" s="9" t="str">
        <f>_xlfn.IFNA(IF(C915=Lookup!$Q$6,"END",""),"")</f>
        <v/>
      </c>
    </row>
    <row r="916" spans="2:8" x14ac:dyDescent="0.45">
      <c r="B916" s="9">
        <f t="shared" si="29"/>
        <v>911</v>
      </c>
      <c r="C916" s="9" t="e">
        <f>IF(D915=VLOOKUP(C915,Lookup!$P$5:$R$6,3,0),VLOOKUP(C915,Lookup!$P$5:$Q$6,2,0),C915)</f>
        <v>#N/A</v>
      </c>
      <c r="D916" s="22" t="e">
        <f>IF(D915=VLOOKUP(C915,Lookup!$P$5:$R$6,3,0),1,D915+1)</f>
        <v>#N/A</v>
      </c>
      <c r="E916" s="9" t="e">
        <f>IF(C916=Lookup!$P$5,INDEX('view-code'!$P$3:$P$502,'group-code'!D916),"")</f>
        <v>#N/A</v>
      </c>
      <c r="F916" s="9" t="e">
        <f>IF(C916=Lookup!$P$6,INDEX('card-code'!$P$3:$P$502,'group-code'!D916),"")</f>
        <v>#N/A</v>
      </c>
      <c r="G916" s="9" t="str">
        <f t="shared" si="28"/>
        <v/>
      </c>
      <c r="H916" s="9" t="str">
        <f>_xlfn.IFNA(IF(C916=Lookup!$Q$6,"END",""),"")</f>
        <v/>
      </c>
    </row>
    <row r="917" spans="2:8" x14ac:dyDescent="0.45">
      <c r="B917" s="9">
        <f t="shared" si="29"/>
        <v>912</v>
      </c>
      <c r="C917" s="9" t="e">
        <f>IF(D916=VLOOKUP(C916,Lookup!$P$5:$R$6,3,0),VLOOKUP(C916,Lookup!$P$5:$Q$6,2,0),C916)</f>
        <v>#N/A</v>
      </c>
      <c r="D917" s="22" t="e">
        <f>IF(D916=VLOOKUP(C916,Lookup!$P$5:$R$6,3,0),1,D916+1)</f>
        <v>#N/A</v>
      </c>
      <c r="E917" s="9" t="e">
        <f>IF(C917=Lookup!$P$5,INDEX('view-code'!$P$3:$P$502,'group-code'!D917),"")</f>
        <v>#N/A</v>
      </c>
      <c r="F917" s="9" t="e">
        <f>IF(C917=Lookup!$P$6,INDEX('card-code'!$P$3:$P$502,'group-code'!D917),"")</f>
        <v>#N/A</v>
      </c>
      <c r="G917" s="9" t="str">
        <f t="shared" si="28"/>
        <v/>
      </c>
      <c r="H917" s="9" t="str">
        <f>_xlfn.IFNA(IF(C917=Lookup!$Q$6,"END",""),"")</f>
        <v/>
      </c>
    </row>
    <row r="918" spans="2:8" x14ac:dyDescent="0.45">
      <c r="B918" s="9">
        <f t="shared" si="29"/>
        <v>913</v>
      </c>
      <c r="C918" s="9" t="e">
        <f>IF(D917=VLOOKUP(C917,Lookup!$P$5:$R$6,3,0),VLOOKUP(C917,Lookup!$P$5:$Q$6,2,0),C917)</f>
        <v>#N/A</v>
      </c>
      <c r="D918" s="22" t="e">
        <f>IF(D917=VLOOKUP(C917,Lookup!$P$5:$R$6,3,0),1,D917+1)</f>
        <v>#N/A</v>
      </c>
      <c r="E918" s="9" t="e">
        <f>IF(C918=Lookup!$P$5,INDEX('view-code'!$P$3:$P$502,'group-code'!D918),"")</f>
        <v>#N/A</v>
      </c>
      <c r="F918" s="9" t="e">
        <f>IF(C918=Lookup!$P$6,INDEX('card-code'!$P$3:$P$502,'group-code'!D918),"")</f>
        <v>#N/A</v>
      </c>
      <c r="G918" s="9" t="str">
        <f t="shared" si="28"/>
        <v/>
      </c>
      <c r="H918" s="9" t="str">
        <f>_xlfn.IFNA(IF(C918=Lookup!$Q$6,"END",""),"")</f>
        <v/>
      </c>
    </row>
    <row r="919" spans="2:8" x14ac:dyDescent="0.45">
      <c r="B919" s="9">
        <f t="shared" si="29"/>
        <v>914</v>
      </c>
      <c r="C919" s="9" t="e">
        <f>IF(D918=VLOOKUP(C918,Lookup!$P$5:$R$6,3,0),VLOOKUP(C918,Lookup!$P$5:$Q$6,2,0),C918)</f>
        <v>#N/A</v>
      </c>
      <c r="D919" s="22" t="e">
        <f>IF(D918=VLOOKUP(C918,Lookup!$P$5:$R$6,3,0),1,D918+1)</f>
        <v>#N/A</v>
      </c>
      <c r="E919" s="9" t="e">
        <f>IF(C919=Lookup!$P$5,INDEX('view-code'!$P$3:$P$502,'group-code'!D919),"")</f>
        <v>#N/A</v>
      </c>
      <c r="F919" s="9" t="e">
        <f>IF(C919=Lookup!$P$6,INDEX('card-code'!$P$3:$P$502,'group-code'!D919),"")</f>
        <v>#N/A</v>
      </c>
      <c r="G919" s="9" t="str">
        <f t="shared" si="28"/>
        <v/>
      </c>
      <c r="H919" s="9" t="str">
        <f>_xlfn.IFNA(IF(C919=Lookup!$Q$6,"END",""),"")</f>
        <v/>
      </c>
    </row>
    <row r="920" spans="2:8" x14ac:dyDescent="0.45">
      <c r="B920" s="9">
        <f t="shared" si="29"/>
        <v>915</v>
      </c>
      <c r="C920" s="9" t="e">
        <f>IF(D919=VLOOKUP(C919,Lookup!$P$5:$R$6,3,0),VLOOKUP(C919,Lookup!$P$5:$Q$6,2,0),C919)</f>
        <v>#N/A</v>
      </c>
      <c r="D920" s="22" t="e">
        <f>IF(D919=VLOOKUP(C919,Lookup!$P$5:$R$6,3,0),1,D919+1)</f>
        <v>#N/A</v>
      </c>
      <c r="E920" s="9" t="e">
        <f>IF(C920=Lookup!$P$5,INDEX('view-code'!$P$3:$P$502,'group-code'!D920),"")</f>
        <v>#N/A</v>
      </c>
      <c r="F920" s="9" t="e">
        <f>IF(C920=Lookup!$P$6,INDEX('card-code'!$P$3:$P$502,'group-code'!D920),"")</f>
        <v>#N/A</v>
      </c>
      <c r="G920" s="9" t="str">
        <f t="shared" si="28"/>
        <v/>
      </c>
      <c r="H920" s="9" t="str">
        <f>_xlfn.IFNA(IF(C920=Lookup!$Q$6,"END",""),"")</f>
        <v/>
      </c>
    </row>
    <row r="921" spans="2:8" x14ac:dyDescent="0.45">
      <c r="B921" s="9">
        <f t="shared" si="29"/>
        <v>916</v>
      </c>
      <c r="C921" s="9" t="e">
        <f>IF(D920=VLOOKUP(C920,Lookup!$P$5:$R$6,3,0),VLOOKUP(C920,Lookup!$P$5:$Q$6,2,0),C920)</f>
        <v>#N/A</v>
      </c>
      <c r="D921" s="22" t="e">
        <f>IF(D920=VLOOKUP(C920,Lookup!$P$5:$R$6,3,0),1,D920+1)</f>
        <v>#N/A</v>
      </c>
      <c r="E921" s="9" t="e">
        <f>IF(C921=Lookup!$P$5,INDEX('view-code'!$P$3:$P$502,'group-code'!D921),"")</f>
        <v>#N/A</v>
      </c>
      <c r="F921" s="9" t="e">
        <f>IF(C921=Lookup!$P$6,INDEX('card-code'!$P$3:$P$502,'group-code'!D921),"")</f>
        <v>#N/A</v>
      </c>
      <c r="G921" s="9" t="str">
        <f t="shared" si="28"/>
        <v/>
      </c>
      <c r="H921" s="9" t="str">
        <f>_xlfn.IFNA(IF(C921=Lookup!$Q$6,"END",""),"")</f>
        <v/>
      </c>
    </row>
    <row r="922" spans="2:8" x14ac:dyDescent="0.45">
      <c r="B922" s="9">
        <f t="shared" si="29"/>
        <v>917</v>
      </c>
      <c r="C922" s="9" t="e">
        <f>IF(D921=VLOOKUP(C921,Lookup!$P$5:$R$6,3,0),VLOOKUP(C921,Lookup!$P$5:$Q$6,2,0),C921)</f>
        <v>#N/A</v>
      </c>
      <c r="D922" s="22" t="e">
        <f>IF(D921=VLOOKUP(C921,Lookup!$P$5:$R$6,3,0),1,D921+1)</f>
        <v>#N/A</v>
      </c>
      <c r="E922" s="9" t="e">
        <f>IF(C922=Lookup!$P$5,INDEX('view-code'!$P$3:$P$502,'group-code'!D922),"")</f>
        <v>#N/A</v>
      </c>
      <c r="F922" s="9" t="e">
        <f>IF(C922=Lookup!$P$6,INDEX('card-code'!$P$3:$P$502,'group-code'!D922),"")</f>
        <v>#N/A</v>
      </c>
      <c r="G922" s="9" t="str">
        <f t="shared" si="28"/>
        <v/>
      </c>
      <c r="H922" s="9" t="str">
        <f>_xlfn.IFNA(IF(C922=Lookup!$Q$6,"END",""),"")</f>
        <v/>
      </c>
    </row>
    <row r="923" spans="2:8" x14ac:dyDescent="0.45">
      <c r="B923" s="9">
        <f t="shared" si="29"/>
        <v>918</v>
      </c>
      <c r="C923" s="9" t="e">
        <f>IF(D922=VLOOKUP(C922,Lookup!$P$5:$R$6,3,0),VLOOKUP(C922,Lookup!$P$5:$Q$6,2,0),C922)</f>
        <v>#N/A</v>
      </c>
      <c r="D923" s="22" t="e">
        <f>IF(D922=VLOOKUP(C922,Lookup!$P$5:$R$6,3,0),1,D922+1)</f>
        <v>#N/A</v>
      </c>
      <c r="E923" s="9" t="e">
        <f>IF(C923=Lookup!$P$5,INDEX('view-code'!$P$3:$P$502,'group-code'!D923),"")</f>
        <v>#N/A</v>
      </c>
      <c r="F923" s="9" t="e">
        <f>IF(C923=Lookup!$P$6,INDEX('card-code'!$P$3:$P$502,'group-code'!D923),"")</f>
        <v>#N/A</v>
      </c>
      <c r="G923" s="9" t="str">
        <f t="shared" si="28"/>
        <v/>
      </c>
      <c r="H923" s="9" t="str">
        <f>_xlfn.IFNA(IF(C923=Lookup!$Q$6,"END",""),"")</f>
        <v/>
      </c>
    </row>
    <row r="924" spans="2:8" x14ac:dyDescent="0.45">
      <c r="B924" s="9">
        <f t="shared" si="29"/>
        <v>919</v>
      </c>
      <c r="C924" s="9" t="e">
        <f>IF(D923=VLOOKUP(C923,Lookup!$P$5:$R$6,3,0),VLOOKUP(C923,Lookup!$P$5:$Q$6,2,0),C923)</f>
        <v>#N/A</v>
      </c>
      <c r="D924" s="22" t="e">
        <f>IF(D923=VLOOKUP(C923,Lookup!$P$5:$R$6,3,0),1,D923+1)</f>
        <v>#N/A</v>
      </c>
      <c r="E924" s="9" t="e">
        <f>IF(C924=Lookup!$P$5,INDEX('view-code'!$P$3:$P$502,'group-code'!D924),"")</f>
        <v>#N/A</v>
      </c>
      <c r="F924" s="9" t="e">
        <f>IF(C924=Lookup!$P$6,INDEX('card-code'!$P$3:$P$502,'group-code'!D924),"")</f>
        <v>#N/A</v>
      </c>
      <c r="G924" s="9" t="str">
        <f t="shared" si="28"/>
        <v/>
      </c>
      <c r="H924" s="9" t="str">
        <f>_xlfn.IFNA(IF(C924=Lookup!$Q$6,"END",""),"")</f>
        <v/>
      </c>
    </row>
    <row r="925" spans="2:8" x14ac:dyDescent="0.45">
      <c r="B925" s="9">
        <f t="shared" si="29"/>
        <v>920</v>
      </c>
      <c r="C925" s="9" t="e">
        <f>IF(D924=VLOOKUP(C924,Lookup!$P$5:$R$6,3,0),VLOOKUP(C924,Lookup!$P$5:$Q$6,2,0),C924)</f>
        <v>#N/A</v>
      </c>
      <c r="D925" s="22" t="e">
        <f>IF(D924=VLOOKUP(C924,Lookup!$P$5:$R$6,3,0),1,D924+1)</f>
        <v>#N/A</v>
      </c>
      <c r="E925" s="9" t="e">
        <f>IF(C925=Lookup!$P$5,INDEX('view-code'!$P$3:$P$502,'group-code'!D925),"")</f>
        <v>#N/A</v>
      </c>
      <c r="F925" s="9" t="e">
        <f>IF(C925=Lookup!$P$6,INDEX('card-code'!$P$3:$P$502,'group-code'!D925),"")</f>
        <v>#N/A</v>
      </c>
      <c r="G925" s="9" t="str">
        <f t="shared" si="28"/>
        <v/>
      </c>
      <c r="H925" s="9" t="str">
        <f>_xlfn.IFNA(IF(C925=Lookup!$Q$6,"END",""),"")</f>
        <v/>
      </c>
    </row>
    <row r="926" spans="2:8" x14ac:dyDescent="0.45">
      <c r="B926" s="9">
        <f t="shared" si="29"/>
        <v>921</v>
      </c>
      <c r="C926" s="9" t="e">
        <f>IF(D925=VLOOKUP(C925,Lookup!$P$5:$R$6,3,0),VLOOKUP(C925,Lookup!$P$5:$Q$6,2,0),C925)</f>
        <v>#N/A</v>
      </c>
      <c r="D926" s="22" t="e">
        <f>IF(D925=VLOOKUP(C925,Lookup!$P$5:$R$6,3,0),1,D925+1)</f>
        <v>#N/A</v>
      </c>
      <c r="E926" s="9" t="e">
        <f>IF(C926=Lookup!$P$5,INDEX('view-code'!$P$3:$P$502,'group-code'!D926),"")</f>
        <v>#N/A</v>
      </c>
      <c r="F926" s="9" t="e">
        <f>IF(C926=Lookup!$P$6,INDEX('card-code'!$P$3:$P$502,'group-code'!D926),"")</f>
        <v>#N/A</v>
      </c>
      <c r="G926" s="9" t="str">
        <f t="shared" si="28"/>
        <v/>
      </c>
      <c r="H926" s="9" t="str">
        <f>_xlfn.IFNA(IF(C926=Lookup!$Q$6,"END",""),"")</f>
        <v/>
      </c>
    </row>
    <row r="927" spans="2:8" x14ac:dyDescent="0.45">
      <c r="B927" s="9">
        <f t="shared" si="29"/>
        <v>922</v>
      </c>
      <c r="C927" s="9" t="e">
        <f>IF(D926=VLOOKUP(C926,Lookup!$P$5:$R$6,3,0),VLOOKUP(C926,Lookup!$P$5:$Q$6,2,0),C926)</f>
        <v>#N/A</v>
      </c>
      <c r="D927" s="22" t="e">
        <f>IF(D926=VLOOKUP(C926,Lookup!$P$5:$R$6,3,0),1,D926+1)</f>
        <v>#N/A</v>
      </c>
      <c r="E927" s="9" t="e">
        <f>IF(C927=Lookup!$P$5,INDEX('view-code'!$P$3:$P$502,'group-code'!D927),"")</f>
        <v>#N/A</v>
      </c>
      <c r="F927" s="9" t="e">
        <f>IF(C927=Lookup!$P$6,INDEX('card-code'!$P$3:$P$502,'group-code'!D927),"")</f>
        <v>#N/A</v>
      </c>
      <c r="G927" s="9" t="str">
        <f t="shared" si="28"/>
        <v/>
      </c>
      <c r="H927" s="9" t="str">
        <f>_xlfn.IFNA(IF(C927=Lookup!$Q$6,"END",""),"")</f>
        <v/>
      </c>
    </row>
    <row r="928" spans="2:8" x14ac:dyDescent="0.45">
      <c r="B928" s="9">
        <f t="shared" si="29"/>
        <v>923</v>
      </c>
      <c r="C928" s="9" t="e">
        <f>IF(D927=VLOOKUP(C927,Lookup!$P$5:$R$6,3,0),VLOOKUP(C927,Lookup!$P$5:$Q$6,2,0),C927)</f>
        <v>#N/A</v>
      </c>
      <c r="D928" s="22" t="e">
        <f>IF(D927=VLOOKUP(C927,Lookup!$P$5:$R$6,3,0),1,D927+1)</f>
        <v>#N/A</v>
      </c>
      <c r="E928" s="9" t="e">
        <f>IF(C928=Lookup!$P$5,INDEX('view-code'!$P$3:$P$502,'group-code'!D928),"")</f>
        <v>#N/A</v>
      </c>
      <c r="F928" s="9" t="e">
        <f>IF(C928=Lookup!$P$6,INDEX('card-code'!$P$3:$P$502,'group-code'!D928),"")</f>
        <v>#N/A</v>
      </c>
      <c r="G928" s="9" t="str">
        <f t="shared" si="28"/>
        <v/>
      </c>
      <c r="H928" s="9" t="str">
        <f>_xlfn.IFNA(IF(C928=Lookup!$Q$6,"END",""),"")</f>
        <v/>
      </c>
    </row>
    <row r="929" spans="2:8" x14ac:dyDescent="0.45">
      <c r="B929" s="9">
        <f t="shared" si="29"/>
        <v>924</v>
      </c>
      <c r="C929" s="9" t="e">
        <f>IF(D928=VLOOKUP(C928,Lookup!$P$5:$R$6,3,0),VLOOKUP(C928,Lookup!$P$5:$Q$6,2,0),C928)</f>
        <v>#N/A</v>
      </c>
      <c r="D929" s="22" t="e">
        <f>IF(D928=VLOOKUP(C928,Lookup!$P$5:$R$6,3,0),1,D928+1)</f>
        <v>#N/A</v>
      </c>
      <c r="E929" s="9" t="e">
        <f>IF(C929=Lookup!$P$5,INDEX('view-code'!$P$3:$P$502,'group-code'!D929),"")</f>
        <v>#N/A</v>
      </c>
      <c r="F929" s="9" t="e">
        <f>IF(C929=Lookup!$P$6,INDEX('card-code'!$P$3:$P$502,'group-code'!D929),"")</f>
        <v>#N/A</v>
      </c>
      <c r="G929" s="9" t="str">
        <f t="shared" si="28"/>
        <v/>
      </c>
      <c r="H929" s="9" t="str">
        <f>_xlfn.IFNA(IF(C929=Lookup!$Q$6,"END",""),"")</f>
        <v/>
      </c>
    </row>
    <row r="930" spans="2:8" x14ac:dyDescent="0.45">
      <c r="B930" s="9">
        <f t="shared" si="29"/>
        <v>925</v>
      </c>
      <c r="C930" s="9" t="e">
        <f>IF(D929=VLOOKUP(C929,Lookup!$P$5:$R$6,3,0),VLOOKUP(C929,Lookup!$P$5:$Q$6,2,0),C929)</f>
        <v>#N/A</v>
      </c>
      <c r="D930" s="22" t="e">
        <f>IF(D929=VLOOKUP(C929,Lookup!$P$5:$R$6,3,0),1,D929+1)</f>
        <v>#N/A</v>
      </c>
      <c r="E930" s="9" t="e">
        <f>IF(C930=Lookup!$P$5,INDEX('view-code'!$P$3:$P$502,'group-code'!D930),"")</f>
        <v>#N/A</v>
      </c>
      <c r="F930" s="9" t="e">
        <f>IF(C930=Lookup!$P$6,INDEX('card-code'!$P$3:$P$502,'group-code'!D930),"")</f>
        <v>#N/A</v>
      </c>
      <c r="G930" s="9" t="str">
        <f t="shared" si="28"/>
        <v/>
      </c>
      <c r="H930" s="9" t="str">
        <f>_xlfn.IFNA(IF(C930=Lookup!$Q$6,"END",""),"")</f>
        <v/>
      </c>
    </row>
    <row r="931" spans="2:8" x14ac:dyDescent="0.45">
      <c r="B931" s="9">
        <f t="shared" si="29"/>
        <v>926</v>
      </c>
      <c r="C931" s="9" t="e">
        <f>IF(D930=VLOOKUP(C930,Lookup!$P$5:$R$6,3,0),VLOOKUP(C930,Lookup!$P$5:$Q$6,2,0),C930)</f>
        <v>#N/A</v>
      </c>
      <c r="D931" s="22" t="e">
        <f>IF(D930=VLOOKUP(C930,Lookup!$P$5:$R$6,3,0),1,D930+1)</f>
        <v>#N/A</v>
      </c>
      <c r="E931" s="9" t="e">
        <f>IF(C931=Lookup!$P$5,INDEX('view-code'!$P$3:$P$502,'group-code'!D931),"")</f>
        <v>#N/A</v>
      </c>
      <c r="F931" s="9" t="e">
        <f>IF(C931=Lookup!$P$6,INDEX('card-code'!$P$3:$P$502,'group-code'!D931),"")</f>
        <v>#N/A</v>
      </c>
      <c r="G931" s="9" t="str">
        <f t="shared" si="28"/>
        <v/>
      </c>
      <c r="H931" s="9" t="str">
        <f>_xlfn.IFNA(IF(C931=Lookup!$Q$6,"END",""),"")</f>
        <v/>
      </c>
    </row>
    <row r="932" spans="2:8" x14ac:dyDescent="0.45">
      <c r="B932" s="9">
        <f t="shared" si="29"/>
        <v>927</v>
      </c>
      <c r="C932" s="9" t="e">
        <f>IF(D931=VLOOKUP(C931,Lookup!$P$5:$R$6,3,0),VLOOKUP(C931,Lookup!$P$5:$Q$6,2,0),C931)</f>
        <v>#N/A</v>
      </c>
      <c r="D932" s="22" t="e">
        <f>IF(D931=VLOOKUP(C931,Lookup!$P$5:$R$6,3,0),1,D931+1)</f>
        <v>#N/A</v>
      </c>
      <c r="E932" s="9" t="e">
        <f>IF(C932=Lookup!$P$5,INDEX('view-code'!$P$3:$P$502,'group-code'!D932),"")</f>
        <v>#N/A</v>
      </c>
      <c r="F932" s="9" t="e">
        <f>IF(C932=Lookup!$P$6,INDEX('card-code'!$P$3:$P$502,'group-code'!D932),"")</f>
        <v>#N/A</v>
      </c>
      <c r="G932" s="9" t="str">
        <f t="shared" si="28"/>
        <v/>
      </c>
      <c r="H932" s="9" t="str">
        <f>_xlfn.IFNA(IF(C932=Lookup!$Q$6,"END",""),"")</f>
        <v/>
      </c>
    </row>
    <row r="933" spans="2:8" x14ac:dyDescent="0.45">
      <c r="B933" s="9">
        <f t="shared" si="29"/>
        <v>928</v>
      </c>
      <c r="C933" s="9" t="e">
        <f>IF(D932=VLOOKUP(C932,Lookup!$P$5:$R$6,3,0),VLOOKUP(C932,Lookup!$P$5:$Q$6,2,0),C932)</f>
        <v>#N/A</v>
      </c>
      <c r="D933" s="22" t="e">
        <f>IF(D932=VLOOKUP(C932,Lookup!$P$5:$R$6,3,0),1,D932+1)</f>
        <v>#N/A</v>
      </c>
      <c r="E933" s="9" t="e">
        <f>IF(C933=Lookup!$P$5,INDEX('view-code'!$P$3:$P$502,'group-code'!D933),"")</f>
        <v>#N/A</v>
      </c>
      <c r="F933" s="9" t="e">
        <f>IF(C933=Lookup!$P$6,INDEX('card-code'!$P$3:$P$502,'group-code'!D933),"")</f>
        <v>#N/A</v>
      </c>
      <c r="G933" s="9" t="str">
        <f t="shared" si="28"/>
        <v/>
      </c>
      <c r="H933" s="9" t="str">
        <f>_xlfn.IFNA(IF(C933=Lookup!$Q$6,"END",""),"")</f>
        <v/>
      </c>
    </row>
    <row r="934" spans="2:8" x14ac:dyDescent="0.45">
      <c r="B934" s="9">
        <f t="shared" si="29"/>
        <v>929</v>
      </c>
      <c r="C934" s="9" t="e">
        <f>IF(D933=VLOOKUP(C933,Lookup!$P$5:$R$6,3,0),VLOOKUP(C933,Lookup!$P$5:$Q$6,2,0),C933)</f>
        <v>#N/A</v>
      </c>
      <c r="D934" s="22" t="e">
        <f>IF(D933=VLOOKUP(C933,Lookup!$P$5:$R$6,3,0),1,D933+1)</f>
        <v>#N/A</v>
      </c>
      <c r="E934" s="9" t="e">
        <f>IF(C934=Lookup!$P$5,INDEX('view-code'!$P$3:$P$502,'group-code'!D934),"")</f>
        <v>#N/A</v>
      </c>
      <c r="F934" s="9" t="e">
        <f>IF(C934=Lookup!$P$6,INDEX('card-code'!$P$3:$P$502,'group-code'!D934),"")</f>
        <v>#N/A</v>
      </c>
      <c r="G934" s="9" t="str">
        <f t="shared" si="28"/>
        <v/>
      </c>
      <c r="H934" s="9" t="str">
        <f>_xlfn.IFNA(IF(C934=Lookup!$Q$6,"END",""),"")</f>
        <v/>
      </c>
    </row>
    <row r="935" spans="2:8" x14ac:dyDescent="0.45">
      <c r="B935" s="9">
        <f t="shared" si="29"/>
        <v>930</v>
      </c>
      <c r="C935" s="9" t="e">
        <f>IF(D934=VLOOKUP(C934,Lookup!$P$5:$R$6,3,0),VLOOKUP(C934,Lookup!$P$5:$Q$6,2,0),C934)</f>
        <v>#N/A</v>
      </c>
      <c r="D935" s="22" t="e">
        <f>IF(D934=VLOOKUP(C934,Lookup!$P$5:$R$6,3,0),1,D934+1)</f>
        <v>#N/A</v>
      </c>
      <c r="E935" s="9" t="e">
        <f>IF(C935=Lookup!$P$5,INDEX('view-code'!$P$3:$P$502,'group-code'!D935),"")</f>
        <v>#N/A</v>
      </c>
      <c r="F935" s="9" t="e">
        <f>IF(C935=Lookup!$P$6,INDEX('card-code'!$P$3:$P$502,'group-code'!D935),"")</f>
        <v>#N/A</v>
      </c>
      <c r="G935" s="9" t="str">
        <f t="shared" si="28"/>
        <v/>
      </c>
      <c r="H935" s="9" t="str">
        <f>_xlfn.IFNA(IF(C935=Lookup!$Q$6,"END",""),"")</f>
        <v/>
      </c>
    </row>
    <row r="936" spans="2:8" x14ac:dyDescent="0.45">
      <c r="B936" s="9">
        <f t="shared" si="29"/>
        <v>931</v>
      </c>
      <c r="C936" s="9" t="e">
        <f>IF(D935=VLOOKUP(C935,Lookup!$P$5:$R$6,3,0),VLOOKUP(C935,Lookup!$P$5:$Q$6,2,0),C935)</f>
        <v>#N/A</v>
      </c>
      <c r="D936" s="22" t="e">
        <f>IF(D935=VLOOKUP(C935,Lookup!$P$5:$R$6,3,0),1,D935+1)</f>
        <v>#N/A</v>
      </c>
      <c r="E936" s="9" t="e">
        <f>IF(C936=Lookup!$P$5,INDEX('view-code'!$P$3:$P$502,'group-code'!D936),"")</f>
        <v>#N/A</v>
      </c>
      <c r="F936" s="9" t="e">
        <f>IF(C936=Lookup!$P$6,INDEX('card-code'!$P$3:$P$502,'group-code'!D936),"")</f>
        <v>#N/A</v>
      </c>
      <c r="G936" s="9" t="str">
        <f t="shared" si="28"/>
        <v/>
      </c>
      <c r="H936" s="9" t="str">
        <f>_xlfn.IFNA(IF(C936=Lookup!$Q$6,"END",""),"")</f>
        <v/>
      </c>
    </row>
    <row r="937" spans="2:8" x14ac:dyDescent="0.45">
      <c r="B937" s="9">
        <f t="shared" si="29"/>
        <v>932</v>
      </c>
      <c r="C937" s="9" t="e">
        <f>IF(D936=VLOOKUP(C936,Lookup!$P$5:$R$6,3,0),VLOOKUP(C936,Lookup!$P$5:$Q$6,2,0),C936)</f>
        <v>#N/A</v>
      </c>
      <c r="D937" s="22" t="e">
        <f>IF(D936=VLOOKUP(C936,Lookup!$P$5:$R$6,3,0),1,D936+1)</f>
        <v>#N/A</v>
      </c>
      <c r="E937" s="9" t="e">
        <f>IF(C937=Lookup!$P$5,INDEX('view-code'!$P$3:$P$502,'group-code'!D937),"")</f>
        <v>#N/A</v>
      </c>
      <c r="F937" s="9" t="e">
        <f>IF(C937=Lookup!$P$6,INDEX('card-code'!$P$3:$P$502,'group-code'!D937),"")</f>
        <v>#N/A</v>
      </c>
      <c r="G937" s="9" t="str">
        <f t="shared" si="28"/>
        <v/>
      </c>
      <c r="H937" s="9" t="str">
        <f>_xlfn.IFNA(IF(C937=Lookup!$Q$6,"END",""),"")</f>
        <v/>
      </c>
    </row>
    <row r="938" spans="2:8" x14ac:dyDescent="0.45">
      <c r="B938" s="9">
        <f t="shared" si="29"/>
        <v>933</v>
      </c>
      <c r="C938" s="9" t="e">
        <f>IF(D937=VLOOKUP(C937,Lookup!$P$5:$R$6,3,0),VLOOKUP(C937,Lookup!$P$5:$Q$6,2,0),C937)</f>
        <v>#N/A</v>
      </c>
      <c r="D938" s="22" t="e">
        <f>IF(D937=VLOOKUP(C937,Lookup!$P$5:$R$6,3,0),1,D937+1)</f>
        <v>#N/A</v>
      </c>
      <c r="E938" s="9" t="e">
        <f>IF(C938=Lookup!$P$5,INDEX('view-code'!$P$3:$P$502,'group-code'!D938),"")</f>
        <v>#N/A</v>
      </c>
      <c r="F938" s="9" t="e">
        <f>IF(C938=Lookup!$P$6,INDEX('card-code'!$P$3:$P$502,'group-code'!D938),"")</f>
        <v>#N/A</v>
      </c>
      <c r="G938" s="9" t="str">
        <f t="shared" si="28"/>
        <v/>
      </c>
      <c r="H938" s="9" t="str">
        <f>_xlfn.IFNA(IF(C938=Lookup!$Q$6,"END",""),"")</f>
        <v/>
      </c>
    </row>
    <row r="939" spans="2:8" x14ac:dyDescent="0.45">
      <c r="B939" s="9">
        <f t="shared" si="29"/>
        <v>934</v>
      </c>
      <c r="C939" s="9" t="e">
        <f>IF(D938=VLOOKUP(C938,Lookup!$P$5:$R$6,3,0),VLOOKUP(C938,Lookup!$P$5:$Q$6,2,0),C938)</f>
        <v>#N/A</v>
      </c>
      <c r="D939" s="22" t="e">
        <f>IF(D938=VLOOKUP(C938,Lookup!$P$5:$R$6,3,0),1,D938+1)</f>
        <v>#N/A</v>
      </c>
      <c r="E939" s="9" t="e">
        <f>IF(C939=Lookup!$P$5,INDEX('view-code'!$P$3:$P$502,'group-code'!D939),"")</f>
        <v>#N/A</v>
      </c>
      <c r="F939" s="9" t="e">
        <f>IF(C939=Lookup!$P$6,INDEX('card-code'!$P$3:$P$502,'group-code'!D939),"")</f>
        <v>#N/A</v>
      </c>
      <c r="G939" s="9" t="str">
        <f t="shared" si="28"/>
        <v/>
      </c>
      <c r="H939" s="9" t="str">
        <f>_xlfn.IFNA(IF(C939=Lookup!$Q$6,"END",""),"")</f>
        <v/>
      </c>
    </row>
    <row r="940" spans="2:8" x14ac:dyDescent="0.45">
      <c r="B940" s="9">
        <f t="shared" si="29"/>
        <v>935</v>
      </c>
      <c r="C940" s="9" t="e">
        <f>IF(D939=VLOOKUP(C939,Lookup!$P$5:$R$6,3,0),VLOOKUP(C939,Lookup!$P$5:$Q$6,2,0),C939)</f>
        <v>#N/A</v>
      </c>
      <c r="D940" s="22" t="e">
        <f>IF(D939=VLOOKUP(C939,Lookup!$P$5:$R$6,3,0),1,D939+1)</f>
        <v>#N/A</v>
      </c>
      <c r="E940" s="9" t="e">
        <f>IF(C940=Lookup!$P$5,INDEX('view-code'!$P$3:$P$502,'group-code'!D940),"")</f>
        <v>#N/A</v>
      </c>
      <c r="F940" s="9" t="e">
        <f>IF(C940=Lookup!$P$6,INDEX('card-code'!$P$3:$P$502,'group-code'!D940),"")</f>
        <v>#N/A</v>
      </c>
      <c r="G940" s="9" t="str">
        <f t="shared" si="28"/>
        <v/>
      </c>
      <c r="H940" s="9" t="str">
        <f>_xlfn.IFNA(IF(C940=Lookup!$Q$6,"END",""),"")</f>
        <v/>
      </c>
    </row>
    <row r="941" spans="2:8" x14ac:dyDescent="0.45">
      <c r="B941" s="9">
        <f t="shared" si="29"/>
        <v>936</v>
      </c>
      <c r="C941" s="9" t="e">
        <f>IF(D940=VLOOKUP(C940,Lookup!$P$5:$R$6,3,0),VLOOKUP(C940,Lookup!$P$5:$Q$6,2,0),C940)</f>
        <v>#N/A</v>
      </c>
      <c r="D941" s="22" t="e">
        <f>IF(D940=VLOOKUP(C940,Lookup!$P$5:$R$6,3,0),1,D940+1)</f>
        <v>#N/A</v>
      </c>
      <c r="E941" s="9" t="e">
        <f>IF(C941=Lookup!$P$5,INDEX('view-code'!$P$3:$P$502,'group-code'!D941),"")</f>
        <v>#N/A</v>
      </c>
      <c r="F941" s="9" t="e">
        <f>IF(C941=Lookup!$P$6,INDEX('card-code'!$P$3:$P$502,'group-code'!D941),"")</f>
        <v>#N/A</v>
      </c>
      <c r="G941" s="9" t="str">
        <f t="shared" si="28"/>
        <v/>
      </c>
      <c r="H941" s="9" t="str">
        <f>_xlfn.IFNA(IF(C941=Lookup!$Q$6,"END",""),"")</f>
        <v/>
      </c>
    </row>
    <row r="942" spans="2:8" x14ac:dyDescent="0.45">
      <c r="B942" s="9">
        <f t="shared" si="29"/>
        <v>937</v>
      </c>
      <c r="C942" s="9" t="e">
        <f>IF(D941=VLOOKUP(C941,Lookup!$P$5:$R$6,3,0),VLOOKUP(C941,Lookup!$P$5:$Q$6,2,0),C941)</f>
        <v>#N/A</v>
      </c>
      <c r="D942" s="22" t="e">
        <f>IF(D941=VLOOKUP(C941,Lookup!$P$5:$R$6,3,0),1,D941+1)</f>
        <v>#N/A</v>
      </c>
      <c r="E942" s="9" t="e">
        <f>IF(C942=Lookup!$P$5,INDEX('view-code'!$P$3:$P$502,'group-code'!D942),"")</f>
        <v>#N/A</v>
      </c>
      <c r="F942" s="9" t="e">
        <f>IF(C942=Lookup!$P$6,INDEX('card-code'!$P$3:$P$502,'group-code'!D942),"")</f>
        <v>#N/A</v>
      </c>
      <c r="G942" s="9" t="str">
        <f t="shared" si="28"/>
        <v/>
      </c>
      <c r="H942" s="9" t="str">
        <f>_xlfn.IFNA(IF(C942=Lookup!$Q$6,"END",""),"")</f>
        <v/>
      </c>
    </row>
    <row r="943" spans="2:8" x14ac:dyDescent="0.45">
      <c r="B943" s="9">
        <f t="shared" si="29"/>
        <v>938</v>
      </c>
      <c r="C943" s="9" t="e">
        <f>IF(D942=VLOOKUP(C942,Lookup!$P$5:$R$6,3,0),VLOOKUP(C942,Lookup!$P$5:$Q$6,2,0),C942)</f>
        <v>#N/A</v>
      </c>
      <c r="D943" s="22" t="e">
        <f>IF(D942=VLOOKUP(C942,Lookup!$P$5:$R$6,3,0),1,D942+1)</f>
        <v>#N/A</v>
      </c>
      <c r="E943" s="9" t="e">
        <f>IF(C943=Lookup!$P$5,INDEX('view-code'!$P$3:$P$502,'group-code'!D943),"")</f>
        <v>#N/A</v>
      </c>
      <c r="F943" s="9" t="e">
        <f>IF(C943=Lookup!$P$6,INDEX('card-code'!$P$3:$P$502,'group-code'!D943),"")</f>
        <v>#N/A</v>
      </c>
      <c r="G943" s="9" t="str">
        <f t="shared" si="28"/>
        <v/>
      </c>
      <c r="H943" s="9" t="str">
        <f>_xlfn.IFNA(IF(C943=Lookup!$Q$6,"END",""),"")</f>
        <v/>
      </c>
    </row>
    <row r="944" spans="2:8" x14ac:dyDescent="0.45">
      <c r="B944" s="9">
        <f t="shared" si="29"/>
        <v>939</v>
      </c>
      <c r="C944" s="9" t="e">
        <f>IF(D943=VLOOKUP(C943,Lookup!$P$5:$R$6,3,0),VLOOKUP(C943,Lookup!$P$5:$Q$6,2,0),C943)</f>
        <v>#N/A</v>
      </c>
      <c r="D944" s="22" t="e">
        <f>IF(D943=VLOOKUP(C943,Lookup!$P$5:$R$6,3,0),1,D943+1)</f>
        <v>#N/A</v>
      </c>
      <c r="E944" s="9" t="e">
        <f>IF(C944=Lookup!$P$5,INDEX('view-code'!$P$3:$P$502,'group-code'!D944),"")</f>
        <v>#N/A</v>
      </c>
      <c r="F944" s="9" t="e">
        <f>IF(C944=Lookup!$P$6,INDEX('card-code'!$P$3:$P$502,'group-code'!D944),"")</f>
        <v>#N/A</v>
      </c>
      <c r="G944" s="9" t="str">
        <f t="shared" si="28"/>
        <v/>
      </c>
      <c r="H944" s="9" t="str">
        <f>_xlfn.IFNA(IF(C944=Lookup!$Q$6,"END",""),"")</f>
        <v/>
      </c>
    </row>
    <row r="945" spans="2:8" x14ac:dyDescent="0.45">
      <c r="B945" s="9">
        <f t="shared" si="29"/>
        <v>940</v>
      </c>
      <c r="C945" s="9" t="e">
        <f>IF(D944=VLOOKUP(C944,Lookup!$P$5:$R$6,3,0),VLOOKUP(C944,Lookup!$P$5:$Q$6,2,0),C944)</f>
        <v>#N/A</v>
      </c>
      <c r="D945" s="22" t="e">
        <f>IF(D944=VLOOKUP(C944,Lookup!$P$5:$R$6,3,0),1,D944+1)</f>
        <v>#N/A</v>
      </c>
      <c r="E945" s="9" t="e">
        <f>IF(C945=Lookup!$P$5,INDEX('view-code'!$P$3:$P$502,'group-code'!D945),"")</f>
        <v>#N/A</v>
      </c>
      <c r="F945" s="9" t="e">
        <f>IF(C945=Lookup!$P$6,INDEX('card-code'!$P$3:$P$502,'group-code'!D945),"")</f>
        <v>#N/A</v>
      </c>
      <c r="G945" s="9" t="str">
        <f t="shared" si="28"/>
        <v/>
      </c>
      <c r="H945" s="9" t="str">
        <f>_xlfn.IFNA(IF(C945=Lookup!$Q$6,"END",""),"")</f>
        <v/>
      </c>
    </row>
    <row r="946" spans="2:8" x14ac:dyDescent="0.45">
      <c r="B946" s="9">
        <f t="shared" si="29"/>
        <v>941</v>
      </c>
      <c r="C946" s="9" t="e">
        <f>IF(D945=VLOOKUP(C945,Lookup!$P$5:$R$6,3,0),VLOOKUP(C945,Lookup!$P$5:$Q$6,2,0),C945)</f>
        <v>#N/A</v>
      </c>
      <c r="D946" s="22" t="e">
        <f>IF(D945=VLOOKUP(C945,Lookup!$P$5:$R$6,3,0),1,D945+1)</f>
        <v>#N/A</v>
      </c>
      <c r="E946" s="9" t="e">
        <f>IF(C946=Lookup!$P$5,INDEX('view-code'!$P$3:$P$502,'group-code'!D946),"")</f>
        <v>#N/A</v>
      </c>
      <c r="F946" s="9" t="e">
        <f>IF(C946=Lookup!$P$6,INDEX('card-code'!$P$3:$P$502,'group-code'!D946),"")</f>
        <v>#N/A</v>
      </c>
      <c r="G946" s="9" t="str">
        <f t="shared" si="28"/>
        <v/>
      </c>
      <c r="H946" s="9" t="str">
        <f>_xlfn.IFNA(IF(C946=Lookup!$Q$6,"END",""),"")</f>
        <v/>
      </c>
    </row>
    <row r="947" spans="2:8" x14ac:dyDescent="0.45">
      <c r="B947" s="9">
        <f t="shared" si="29"/>
        <v>942</v>
      </c>
      <c r="C947" s="9" t="e">
        <f>IF(D946=VLOOKUP(C946,Lookup!$P$5:$R$6,3,0),VLOOKUP(C946,Lookup!$P$5:$Q$6,2,0),C946)</f>
        <v>#N/A</v>
      </c>
      <c r="D947" s="22" t="e">
        <f>IF(D946=VLOOKUP(C946,Lookup!$P$5:$R$6,3,0),1,D946+1)</f>
        <v>#N/A</v>
      </c>
      <c r="E947" s="9" t="e">
        <f>IF(C947=Lookup!$P$5,INDEX('view-code'!$P$3:$P$502,'group-code'!D947),"")</f>
        <v>#N/A</v>
      </c>
      <c r="F947" s="9" t="e">
        <f>IF(C947=Lookup!$P$6,INDEX('card-code'!$P$3:$P$502,'group-code'!D947),"")</f>
        <v>#N/A</v>
      </c>
      <c r="G947" s="9" t="str">
        <f t="shared" si="28"/>
        <v/>
      </c>
      <c r="H947" s="9" t="str">
        <f>_xlfn.IFNA(IF(C947=Lookup!$Q$6,"END",""),"")</f>
        <v/>
      </c>
    </row>
    <row r="948" spans="2:8" x14ac:dyDescent="0.45">
      <c r="B948" s="9">
        <f t="shared" si="29"/>
        <v>943</v>
      </c>
      <c r="C948" s="9" t="e">
        <f>IF(D947=VLOOKUP(C947,Lookup!$P$5:$R$6,3,0),VLOOKUP(C947,Lookup!$P$5:$Q$6,2,0),C947)</f>
        <v>#N/A</v>
      </c>
      <c r="D948" s="22" t="e">
        <f>IF(D947=VLOOKUP(C947,Lookup!$P$5:$R$6,3,0),1,D947+1)</f>
        <v>#N/A</v>
      </c>
      <c r="E948" s="9" t="e">
        <f>IF(C948=Lookup!$P$5,INDEX('view-code'!$P$3:$P$502,'group-code'!D948),"")</f>
        <v>#N/A</v>
      </c>
      <c r="F948" s="9" t="e">
        <f>IF(C948=Lookup!$P$6,INDEX('card-code'!$P$3:$P$502,'group-code'!D948),"")</f>
        <v>#N/A</v>
      </c>
      <c r="G948" s="9" t="str">
        <f t="shared" si="28"/>
        <v/>
      </c>
      <c r="H948" s="9" t="str">
        <f>_xlfn.IFNA(IF(C948=Lookup!$Q$6,"END",""),"")</f>
        <v/>
      </c>
    </row>
    <row r="949" spans="2:8" x14ac:dyDescent="0.45">
      <c r="B949" s="9">
        <f t="shared" si="29"/>
        <v>944</v>
      </c>
      <c r="C949" s="9" t="e">
        <f>IF(D948=VLOOKUP(C948,Lookup!$P$5:$R$6,3,0),VLOOKUP(C948,Lookup!$P$5:$Q$6,2,0),C948)</f>
        <v>#N/A</v>
      </c>
      <c r="D949" s="22" t="e">
        <f>IF(D948=VLOOKUP(C948,Lookup!$P$5:$R$6,3,0),1,D948+1)</f>
        <v>#N/A</v>
      </c>
      <c r="E949" s="9" t="e">
        <f>IF(C949=Lookup!$P$5,INDEX('view-code'!$P$3:$P$502,'group-code'!D949),"")</f>
        <v>#N/A</v>
      </c>
      <c r="F949" s="9" t="e">
        <f>IF(C949=Lookup!$P$6,INDEX('card-code'!$P$3:$P$502,'group-code'!D949),"")</f>
        <v>#N/A</v>
      </c>
      <c r="G949" s="9" t="str">
        <f t="shared" si="28"/>
        <v/>
      </c>
      <c r="H949" s="9" t="str">
        <f>_xlfn.IFNA(IF(C949=Lookup!$Q$6,"END",""),"")</f>
        <v/>
      </c>
    </row>
    <row r="950" spans="2:8" x14ac:dyDescent="0.45">
      <c r="B950" s="9">
        <f t="shared" si="29"/>
        <v>945</v>
      </c>
      <c r="C950" s="9" t="e">
        <f>IF(D949=VLOOKUP(C949,Lookup!$P$5:$R$6,3,0),VLOOKUP(C949,Lookup!$P$5:$Q$6,2,0),C949)</f>
        <v>#N/A</v>
      </c>
      <c r="D950" s="22" t="e">
        <f>IF(D949=VLOOKUP(C949,Lookup!$P$5:$R$6,3,0),1,D949+1)</f>
        <v>#N/A</v>
      </c>
      <c r="E950" s="9" t="e">
        <f>IF(C950=Lookup!$P$5,INDEX('view-code'!$P$3:$P$502,'group-code'!D950),"")</f>
        <v>#N/A</v>
      </c>
      <c r="F950" s="9" t="e">
        <f>IF(C950=Lookup!$P$6,INDEX('card-code'!$P$3:$P$502,'group-code'!D950),"")</f>
        <v>#N/A</v>
      </c>
      <c r="G950" s="9" t="str">
        <f t="shared" si="28"/>
        <v/>
      </c>
      <c r="H950" s="9" t="str">
        <f>_xlfn.IFNA(IF(C950=Lookup!$Q$6,"END",""),"")</f>
        <v/>
      </c>
    </row>
    <row r="951" spans="2:8" x14ac:dyDescent="0.45">
      <c r="B951" s="9">
        <f t="shared" si="29"/>
        <v>946</v>
      </c>
      <c r="C951" s="9" t="e">
        <f>IF(D950=VLOOKUP(C950,Lookup!$P$5:$R$6,3,0),VLOOKUP(C950,Lookup!$P$5:$Q$6,2,0),C950)</f>
        <v>#N/A</v>
      </c>
      <c r="D951" s="22" t="e">
        <f>IF(D950=VLOOKUP(C950,Lookup!$P$5:$R$6,3,0),1,D950+1)</f>
        <v>#N/A</v>
      </c>
      <c r="E951" s="9" t="e">
        <f>IF(C951=Lookup!$P$5,INDEX('view-code'!$P$3:$P$502,'group-code'!D951),"")</f>
        <v>#N/A</v>
      </c>
      <c r="F951" s="9" t="e">
        <f>IF(C951=Lookup!$P$6,INDEX('card-code'!$P$3:$P$502,'group-code'!D951),"")</f>
        <v>#N/A</v>
      </c>
      <c r="G951" s="9" t="str">
        <f t="shared" si="28"/>
        <v/>
      </c>
      <c r="H951" s="9" t="str">
        <f>_xlfn.IFNA(IF(C951=Lookup!$Q$6,"END",""),"")</f>
        <v/>
      </c>
    </row>
    <row r="952" spans="2:8" x14ac:dyDescent="0.45">
      <c r="B952" s="9">
        <f t="shared" si="29"/>
        <v>947</v>
      </c>
      <c r="C952" s="9" t="e">
        <f>IF(D951=VLOOKUP(C951,Lookup!$P$5:$R$6,3,0),VLOOKUP(C951,Lookup!$P$5:$Q$6,2,0),C951)</f>
        <v>#N/A</v>
      </c>
      <c r="D952" s="22" t="e">
        <f>IF(D951=VLOOKUP(C951,Lookup!$P$5:$R$6,3,0),1,D951+1)</f>
        <v>#N/A</v>
      </c>
      <c r="E952" s="9" t="e">
        <f>IF(C952=Lookup!$P$5,INDEX('view-code'!$P$3:$P$502,'group-code'!D952),"")</f>
        <v>#N/A</v>
      </c>
      <c r="F952" s="9" t="e">
        <f>IF(C952=Lookup!$P$6,INDEX('card-code'!$P$3:$P$502,'group-code'!D952),"")</f>
        <v>#N/A</v>
      </c>
      <c r="G952" s="9" t="str">
        <f t="shared" si="28"/>
        <v/>
      </c>
      <c r="H952" s="9" t="str">
        <f>_xlfn.IFNA(IF(C952=Lookup!$Q$6,"END",""),"")</f>
        <v/>
      </c>
    </row>
    <row r="953" spans="2:8" x14ac:dyDescent="0.45">
      <c r="B953" s="9">
        <f t="shared" si="29"/>
        <v>948</v>
      </c>
      <c r="C953" s="9" t="e">
        <f>IF(D952=VLOOKUP(C952,Lookup!$P$5:$R$6,3,0),VLOOKUP(C952,Lookup!$P$5:$Q$6,2,0),C952)</f>
        <v>#N/A</v>
      </c>
      <c r="D953" s="22" t="e">
        <f>IF(D952=VLOOKUP(C952,Lookup!$P$5:$R$6,3,0),1,D952+1)</f>
        <v>#N/A</v>
      </c>
      <c r="E953" s="9" t="e">
        <f>IF(C953=Lookup!$P$5,INDEX('view-code'!$P$3:$P$502,'group-code'!D953),"")</f>
        <v>#N/A</v>
      </c>
      <c r="F953" s="9" t="e">
        <f>IF(C953=Lookup!$P$6,INDEX('card-code'!$P$3:$P$502,'group-code'!D953),"")</f>
        <v>#N/A</v>
      </c>
      <c r="G953" s="9" t="str">
        <f t="shared" si="28"/>
        <v/>
      </c>
      <c r="H953" s="9" t="str">
        <f>_xlfn.IFNA(IF(C953=Lookup!$Q$6,"END",""),"")</f>
        <v/>
      </c>
    </row>
    <row r="954" spans="2:8" x14ac:dyDescent="0.45">
      <c r="B954" s="9">
        <f t="shared" si="29"/>
        <v>949</v>
      </c>
      <c r="C954" s="9" t="e">
        <f>IF(D953=VLOOKUP(C953,Lookup!$P$5:$R$6,3,0),VLOOKUP(C953,Lookup!$P$5:$Q$6,2,0),C953)</f>
        <v>#N/A</v>
      </c>
      <c r="D954" s="22" t="e">
        <f>IF(D953=VLOOKUP(C953,Lookup!$P$5:$R$6,3,0),1,D953+1)</f>
        <v>#N/A</v>
      </c>
      <c r="E954" s="9" t="e">
        <f>IF(C954=Lookup!$P$5,INDEX('view-code'!$P$3:$P$502,'group-code'!D954),"")</f>
        <v>#N/A</v>
      </c>
      <c r="F954" s="9" t="e">
        <f>IF(C954=Lookup!$P$6,INDEX('card-code'!$P$3:$P$502,'group-code'!D954),"")</f>
        <v>#N/A</v>
      </c>
      <c r="G954" s="9" t="str">
        <f t="shared" ref="G954:G1005" si="30">_xlfn.IFNA(  E954&amp;F954,  "")</f>
        <v/>
      </c>
      <c r="H954" s="9" t="str">
        <f>_xlfn.IFNA(IF(C954=Lookup!$Q$6,"END",""),"")</f>
        <v/>
      </c>
    </row>
    <row r="955" spans="2:8" x14ac:dyDescent="0.45">
      <c r="B955" s="9">
        <f t="shared" si="29"/>
        <v>950</v>
      </c>
      <c r="C955" s="9" t="e">
        <f>IF(D954=VLOOKUP(C954,Lookup!$P$5:$R$6,3,0),VLOOKUP(C954,Lookup!$P$5:$Q$6,2,0),C954)</f>
        <v>#N/A</v>
      </c>
      <c r="D955" s="22" t="e">
        <f>IF(D954=VLOOKUP(C954,Lookup!$P$5:$R$6,3,0),1,D954+1)</f>
        <v>#N/A</v>
      </c>
      <c r="E955" s="9" t="e">
        <f>IF(C955=Lookup!$P$5,INDEX('view-code'!$P$3:$P$502,'group-code'!D955),"")</f>
        <v>#N/A</v>
      </c>
      <c r="F955" s="9" t="e">
        <f>IF(C955=Lookup!$P$6,INDEX('card-code'!$P$3:$P$502,'group-code'!D955),"")</f>
        <v>#N/A</v>
      </c>
      <c r="G955" s="9" t="str">
        <f t="shared" si="30"/>
        <v/>
      </c>
      <c r="H955" s="9" t="str">
        <f>_xlfn.IFNA(IF(C955=Lookup!$Q$6,"END",""),"")</f>
        <v/>
      </c>
    </row>
    <row r="956" spans="2:8" x14ac:dyDescent="0.45">
      <c r="B956" s="9">
        <f t="shared" si="29"/>
        <v>951</v>
      </c>
      <c r="C956" s="9" t="e">
        <f>IF(D955=VLOOKUP(C955,Lookup!$P$5:$R$6,3,0),VLOOKUP(C955,Lookup!$P$5:$Q$6,2,0),C955)</f>
        <v>#N/A</v>
      </c>
      <c r="D956" s="22" t="e">
        <f>IF(D955=VLOOKUP(C955,Lookup!$P$5:$R$6,3,0),1,D955+1)</f>
        <v>#N/A</v>
      </c>
      <c r="E956" s="9" t="e">
        <f>IF(C956=Lookup!$P$5,INDEX('view-code'!$P$3:$P$502,'group-code'!D956),"")</f>
        <v>#N/A</v>
      </c>
      <c r="F956" s="9" t="e">
        <f>IF(C956=Lookup!$P$6,INDEX('card-code'!$P$3:$P$502,'group-code'!D956),"")</f>
        <v>#N/A</v>
      </c>
      <c r="G956" s="9" t="str">
        <f t="shared" si="30"/>
        <v/>
      </c>
      <c r="H956" s="9" t="str">
        <f>_xlfn.IFNA(IF(C956=Lookup!$Q$6,"END",""),"")</f>
        <v/>
      </c>
    </row>
    <row r="957" spans="2:8" x14ac:dyDescent="0.45">
      <c r="B957" s="9">
        <f t="shared" si="29"/>
        <v>952</v>
      </c>
      <c r="C957" s="9" t="e">
        <f>IF(D956=VLOOKUP(C956,Lookup!$P$5:$R$6,3,0),VLOOKUP(C956,Lookup!$P$5:$Q$6,2,0),C956)</f>
        <v>#N/A</v>
      </c>
      <c r="D957" s="22" t="e">
        <f>IF(D956=VLOOKUP(C956,Lookup!$P$5:$R$6,3,0),1,D956+1)</f>
        <v>#N/A</v>
      </c>
      <c r="E957" s="9" t="e">
        <f>IF(C957=Lookup!$P$5,INDEX('view-code'!$P$3:$P$502,'group-code'!D957),"")</f>
        <v>#N/A</v>
      </c>
      <c r="F957" s="9" t="e">
        <f>IF(C957=Lookup!$P$6,INDEX('card-code'!$P$3:$P$502,'group-code'!D957),"")</f>
        <v>#N/A</v>
      </c>
      <c r="G957" s="9" t="str">
        <f t="shared" si="30"/>
        <v/>
      </c>
      <c r="H957" s="9" t="str">
        <f>_xlfn.IFNA(IF(C957=Lookup!$Q$6,"END",""),"")</f>
        <v/>
      </c>
    </row>
    <row r="958" spans="2:8" x14ac:dyDescent="0.45">
      <c r="B958" s="9">
        <f t="shared" si="29"/>
        <v>953</v>
      </c>
      <c r="C958" s="9" t="e">
        <f>IF(D957=VLOOKUP(C957,Lookup!$P$5:$R$6,3,0),VLOOKUP(C957,Lookup!$P$5:$Q$6,2,0),C957)</f>
        <v>#N/A</v>
      </c>
      <c r="D958" s="22" t="e">
        <f>IF(D957=VLOOKUP(C957,Lookup!$P$5:$R$6,3,0),1,D957+1)</f>
        <v>#N/A</v>
      </c>
      <c r="E958" s="9" t="e">
        <f>IF(C958=Lookup!$P$5,INDEX('view-code'!$P$3:$P$502,'group-code'!D958),"")</f>
        <v>#N/A</v>
      </c>
      <c r="F958" s="9" t="e">
        <f>IF(C958=Lookup!$P$6,INDEX('card-code'!$P$3:$P$502,'group-code'!D958),"")</f>
        <v>#N/A</v>
      </c>
      <c r="G958" s="9" t="str">
        <f t="shared" si="30"/>
        <v/>
      </c>
      <c r="H958" s="9" t="str">
        <f>_xlfn.IFNA(IF(C958=Lookup!$Q$6,"END",""),"")</f>
        <v/>
      </c>
    </row>
    <row r="959" spans="2:8" x14ac:dyDescent="0.45">
      <c r="B959" s="9">
        <f t="shared" si="29"/>
        <v>954</v>
      </c>
      <c r="C959" s="9" t="e">
        <f>IF(D958=VLOOKUP(C958,Lookup!$P$5:$R$6,3,0),VLOOKUP(C958,Lookup!$P$5:$Q$6,2,0),C958)</f>
        <v>#N/A</v>
      </c>
      <c r="D959" s="22" t="e">
        <f>IF(D958=VLOOKUP(C958,Lookup!$P$5:$R$6,3,0),1,D958+1)</f>
        <v>#N/A</v>
      </c>
      <c r="E959" s="9" t="e">
        <f>IF(C959=Lookup!$P$5,INDEX('view-code'!$P$3:$P$502,'group-code'!D959),"")</f>
        <v>#N/A</v>
      </c>
      <c r="F959" s="9" t="e">
        <f>IF(C959=Lookup!$P$6,INDEX('card-code'!$P$3:$P$502,'group-code'!D959),"")</f>
        <v>#N/A</v>
      </c>
      <c r="G959" s="9" t="str">
        <f t="shared" si="30"/>
        <v/>
      </c>
      <c r="H959" s="9" t="str">
        <f>_xlfn.IFNA(IF(C959=Lookup!$Q$6,"END",""),"")</f>
        <v/>
      </c>
    </row>
    <row r="960" spans="2:8" x14ac:dyDescent="0.45">
      <c r="B960" s="9">
        <f t="shared" si="29"/>
        <v>955</v>
      </c>
      <c r="C960" s="9" t="e">
        <f>IF(D959=VLOOKUP(C959,Lookup!$P$5:$R$6,3,0),VLOOKUP(C959,Lookup!$P$5:$Q$6,2,0),C959)</f>
        <v>#N/A</v>
      </c>
      <c r="D960" s="22" t="e">
        <f>IF(D959=VLOOKUP(C959,Lookup!$P$5:$R$6,3,0),1,D959+1)</f>
        <v>#N/A</v>
      </c>
      <c r="E960" s="9" t="e">
        <f>IF(C960=Lookup!$P$5,INDEX('view-code'!$P$3:$P$502,'group-code'!D960),"")</f>
        <v>#N/A</v>
      </c>
      <c r="F960" s="9" t="e">
        <f>IF(C960=Lookup!$P$6,INDEX('card-code'!$P$3:$P$502,'group-code'!D960),"")</f>
        <v>#N/A</v>
      </c>
      <c r="G960" s="9" t="str">
        <f t="shared" si="30"/>
        <v/>
      </c>
      <c r="H960" s="9" t="str">
        <f>_xlfn.IFNA(IF(C960=Lookup!$Q$6,"END",""),"")</f>
        <v/>
      </c>
    </row>
    <row r="961" spans="2:8" x14ac:dyDescent="0.45">
      <c r="B961" s="9">
        <f t="shared" si="29"/>
        <v>956</v>
      </c>
      <c r="C961" s="9" t="e">
        <f>IF(D960=VLOOKUP(C960,Lookup!$P$5:$R$6,3,0),VLOOKUP(C960,Lookup!$P$5:$Q$6,2,0),C960)</f>
        <v>#N/A</v>
      </c>
      <c r="D961" s="22" t="e">
        <f>IF(D960=VLOOKUP(C960,Lookup!$P$5:$R$6,3,0),1,D960+1)</f>
        <v>#N/A</v>
      </c>
      <c r="E961" s="9" t="e">
        <f>IF(C961=Lookup!$P$5,INDEX('view-code'!$P$3:$P$502,'group-code'!D961),"")</f>
        <v>#N/A</v>
      </c>
      <c r="F961" s="9" t="e">
        <f>IF(C961=Lookup!$P$6,INDEX('card-code'!$P$3:$P$502,'group-code'!D961),"")</f>
        <v>#N/A</v>
      </c>
      <c r="G961" s="9" t="str">
        <f t="shared" si="30"/>
        <v/>
      </c>
      <c r="H961" s="9" t="str">
        <f>_xlfn.IFNA(IF(C961=Lookup!$Q$6,"END",""),"")</f>
        <v/>
      </c>
    </row>
    <row r="962" spans="2:8" x14ac:dyDescent="0.45">
      <c r="B962" s="9">
        <f t="shared" si="29"/>
        <v>957</v>
      </c>
      <c r="C962" s="9" t="e">
        <f>IF(D961=VLOOKUP(C961,Lookup!$P$5:$R$6,3,0),VLOOKUP(C961,Lookup!$P$5:$Q$6,2,0),C961)</f>
        <v>#N/A</v>
      </c>
      <c r="D962" s="22" t="e">
        <f>IF(D961=VLOOKUP(C961,Lookup!$P$5:$R$6,3,0),1,D961+1)</f>
        <v>#N/A</v>
      </c>
      <c r="E962" s="9" t="e">
        <f>IF(C962=Lookup!$P$5,INDEX('view-code'!$P$3:$P$502,'group-code'!D962),"")</f>
        <v>#N/A</v>
      </c>
      <c r="F962" s="9" t="e">
        <f>IF(C962=Lookup!$P$6,INDEX('card-code'!$P$3:$P$502,'group-code'!D962),"")</f>
        <v>#N/A</v>
      </c>
      <c r="G962" s="9" t="str">
        <f t="shared" si="30"/>
        <v/>
      </c>
      <c r="H962" s="9" t="str">
        <f>_xlfn.IFNA(IF(C962=Lookup!$Q$6,"END",""),"")</f>
        <v/>
      </c>
    </row>
    <row r="963" spans="2:8" x14ac:dyDescent="0.45">
      <c r="B963" s="9">
        <f t="shared" si="29"/>
        <v>958</v>
      </c>
      <c r="C963" s="9" t="e">
        <f>IF(D962=VLOOKUP(C962,Lookup!$P$5:$R$6,3,0),VLOOKUP(C962,Lookup!$P$5:$Q$6,2,0),C962)</f>
        <v>#N/A</v>
      </c>
      <c r="D963" s="22" t="e">
        <f>IF(D962=VLOOKUP(C962,Lookup!$P$5:$R$6,3,0),1,D962+1)</f>
        <v>#N/A</v>
      </c>
      <c r="E963" s="9" t="e">
        <f>IF(C963=Lookup!$P$5,INDEX('view-code'!$P$3:$P$502,'group-code'!D963),"")</f>
        <v>#N/A</v>
      </c>
      <c r="F963" s="9" t="e">
        <f>IF(C963=Lookup!$P$6,INDEX('card-code'!$P$3:$P$502,'group-code'!D963),"")</f>
        <v>#N/A</v>
      </c>
      <c r="G963" s="9" t="str">
        <f t="shared" si="30"/>
        <v/>
      </c>
      <c r="H963" s="9" t="str">
        <f>_xlfn.IFNA(IF(C963=Lookup!$Q$6,"END",""),"")</f>
        <v/>
      </c>
    </row>
    <row r="964" spans="2:8" x14ac:dyDescent="0.45">
      <c r="B964" s="9">
        <f t="shared" si="29"/>
        <v>959</v>
      </c>
      <c r="C964" s="9" t="e">
        <f>IF(D963=VLOOKUP(C963,Lookup!$P$5:$R$6,3,0),VLOOKUP(C963,Lookup!$P$5:$Q$6,2,0),C963)</f>
        <v>#N/A</v>
      </c>
      <c r="D964" s="22" t="e">
        <f>IF(D963=VLOOKUP(C963,Lookup!$P$5:$R$6,3,0),1,D963+1)</f>
        <v>#N/A</v>
      </c>
      <c r="E964" s="9" t="e">
        <f>IF(C964=Lookup!$P$5,INDEX('view-code'!$P$3:$P$502,'group-code'!D964),"")</f>
        <v>#N/A</v>
      </c>
      <c r="F964" s="9" t="e">
        <f>IF(C964=Lookup!$P$6,INDEX('card-code'!$P$3:$P$502,'group-code'!D964),"")</f>
        <v>#N/A</v>
      </c>
      <c r="G964" s="9" t="str">
        <f t="shared" si="30"/>
        <v/>
      </c>
      <c r="H964" s="9" t="str">
        <f>_xlfn.IFNA(IF(C964=Lookup!$Q$6,"END",""),"")</f>
        <v/>
      </c>
    </row>
    <row r="965" spans="2:8" x14ac:dyDescent="0.45">
      <c r="B965" s="9">
        <f t="shared" si="29"/>
        <v>960</v>
      </c>
      <c r="C965" s="9" t="e">
        <f>IF(D964=VLOOKUP(C964,Lookup!$P$5:$R$6,3,0),VLOOKUP(C964,Lookup!$P$5:$Q$6,2,0),C964)</f>
        <v>#N/A</v>
      </c>
      <c r="D965" s="22" t="e">
        <f>IF(D964=VLOOKUP(C964,Lookup!$P$5:$R$6,3,0),1,D964+1)</f>
        <v>#N/A</v>
      </c>
      <c r="E965" s="9" t="e">
        <f>IF(C965=Lookup!$P$5,INDEX('view-code'!$P$3:$P$502,'group-code'!D965),"")</f>
        <v>#N/A</v>
      </c>
      <c r="F965" s="9" t="e">
        <f>IF(C965=Lookup!$P$6,INDEX('card-code'!$P$3:$P$502,'group-code'!D965),"")</f>
        <v>#N/A</v>
      </c>
      <c r="G965" s="9" t="str">
        <f t="shared" si="30"/>
        <v/>
      </c>
      <c r="H965" s="9" t="str">
        <f>_xlfn.IFNA(IF(C965=Lookup!$Q$6,"END",""),"")</f>
        <v/>
      </c>
    </row>
    <row r="966" spans="2:8" x14ac:dyDescent="0.45">
      <c r="B966" s="9">
        <f t="shared" si="29"/>
        <v>961</v>
      </c>
      <c r="C966" s="9" t="e">
        <f>IF(D965=VLOOKUP(C965,Lookup!$P$5:$R$6,3,0),VLOOKUP(C965,Lookup!$P$5:$Q$6,2,0),C965)</f>
        <v>#N/A</v>
      </c>
      <c r="D966" s="22" t="e">
        <f>IF(D965=VLOOKUP(C965,Lookup!$P$5:$R$6,3,0),1,D965+1)</f>
        <v>#N/A</v>
      </c>
      <c r="E966" s="9" t="e">
        <f>IF(C966=Lookup!$P$5,INDEX('view-code'!$P$3:$P$502,'group-code'!D966),"")</f>
        <v>#N/A</v>
      </c>
      <c r="F966" s="9" t="e">
        <f>IF(C966=Lookup!$P$6,INDEX('card-code'!$P$3:$P$502,'group-code'!D966),"")</f>
        <v>#N/A</v>
      </c>
      <c r="G966" s="9" t="str">
        <f t="shared" si="30"/>
        <v/>
      </c>
      <c r="H966" s="9" t="str">
        <f>_xlfn.IFNA(IF(C966=Lookup!$Q$6,"END",""),"")</f>
        <v/>
      </c>
    </row>
    <row r="967" spans="2:8" x14ac:dyDescent="0.45">
      <c r="B967" s="9">
        <f t="shared" si="29"/>
        <v>962</v>
      </c>
      <c r="C967" s="9" t="e">
        <f>IF(D966=VLOOKUP(C966,Lookup!$P$5:$R$6,3,0),VLOOKUP(C966,Lookup!$P$5:$Q$6,2,0),C966)</f>
        <v>#N/A</v>
      </c>
      <c r="D967" s="22" t="e">
        <f>IF(D966=VLOOKUP(C966,Lookup!$P$5:$R$6,3,0),1,D966+1)</f>
        <v>#N/A</v>
      </c>
      <c r="E967" s="9" t="e">
        <f>IF(C967=Lookup!$P$5,INDEX('view-code'!$P$3:$P$502,'group-code'!D967),"")</f>
        <v>#N/A</v>
      </c>
      <c r="F967" s="9" t="e">
        <f>IF(C967=Lookup!$P$6,INDEX('card-code'!$P$3:$P$502,'group-code'!D967),"")</f>
        <v>#N/A</v>
      </c>
      <c r="G967" s="9" t="str">
        <f t="shared" si="30"/>
        <v/>
      </c>
      <c r="H967" s="9" t="str">
        <f>_xlfn.IFNA(IF(C967=Lookup!$Q$6,"END",""),"")</f>
        <v/>
      </c>
    </row>
    <row r="968" spans="2:8" x14ac:dyDescent="0.45">
      <c r="B968" s="9">
        <f t="shared" ref="B968:B1005" si="31">B967+1</f>
        <v>963</v>
      </c>
      <c r="C968" s="9" t="e">
        <f>IF(D967=VLOOKUP(C967,Lookup!$P$5:$R$6,3,0),VLOOKUP(C967,Lookup!$P$5:$Q$6,2,0),C967)</f>
        <v>#N/A</v>
      </c>
      <c r="D968" s="22" t="e">
        <f>IF(D967=VLOOKUP(C967,Lookup!$P$5:$R$6,3,0),1,D967+1)</f>
        <v>#N/A</v>
      </c>
      <c r="E968" s="9" t="e">
        <f>IF(C968=Lookup!$P$5,INDEX('view-code'!$P$3:$P$502,'group-code'!D968),"")</f>
        <v>#N/A</v>
      </c>
      <c r="F968" s="9" t="e">
        <f>IF(C968=Lookup!$P$6,INDEX('card-code'!$P$3:$P$502,'group-code'!D968),"")</f>
        <v>#N/A</v>
      </c>
      <c r="G968" s="9" t="str">
        <f t="shared" si="30"/>
        <v/>
      </c>
      <c r="H968" s="9" t="str">
        <f>_xlfn.IFNA(IF(C968=Lookup!$Q$6,"END",""),"")</f>
        <v/>
      </c>
    </row>
    <row r="969" spans="2:8" x14ac:dyDescent="0.45">
      <c r="B969" s="9">
        <f t="shared" si="31"/>
        <v>964</v>
      </c>
      <c r="C969" s="9" t="e">
        <f>IF(D968=VLOOKUP(C968,Lookup!$P$5:$R$6,3,0),VLOOKUP(C968,Lookup!$P$5:$Q$6,2,0),C968)</f>
        <v>#N/A</v>
      </c>
      <c r="D969" s="22" t="e">
        <f>IF(D968=VLOOKUP(C968,Lookup!$P$5:$R$6,3,0),1,D968+1)</f>
        <v>#N/A</v>
      </c>
      <c r="E969" s="9" t="e">
        <f>IF(C969=Lookup!$P$5,INDEX('view-code'!$P$3:$P$502,'group-code'!D969),"")</f>
        <v>#N/A</v>
      </c>
      <c r="F969" s="9" t="e">
        <f>IF(C969=Lookup!$P$6,INDEX('card-code'!$P$3:$P$502,'group-code'!D969),"")</f>
        <v>#N/A</v>
      </c>
      <c r="G969" s="9" t="str">
        <f t="shared" si="30"/>
        <v/>
      </c>
      <c r="H969" s="9" t="str">
        <f>_xlfn.IFNA(IF(C969=Lookup!$Q$6,"END",""),"")</f>
        <v/>
      </c>
    </row>
    <row r="970" spans="2:8" x14ac:dyDescent="0.45">
      <c r="B970" s="9">
        <f t="shared" si="31"/>
        <v>965</v>
      </c>
      <c r="C970" s="9" t="e">
        <f>IF(D969=VLOOKUP(C969,Lookup!$P$5:$R$6,3,0),VLOOKUP(C969,Lookup!$P$5:$Q$6,2,0),C969)</f>
        <v>#N/A</v>
      </c>
      <c r="D970" s="22" t="e">
        <f>IF(D969=VLOOKUP(C969,Lookup!$P$5:$R$6,3,0),1,D969+1)</f>
        <v>#N/A</v>
      </c>
      <c r="E970" s="9" t="e">
        <f>IF(C970=Lookup!$P$5,INDEX('view-code'!$P$3:$P$502,'group-code'!D970),"")</f>
        <v>#N/A</v>
      </c>
      <c r="F970" s="9" t="e">
        <f>IF(C970=Lookup!$P$6,INDEX('card-code'!$P$3:$P$502,'group-code'!D970),"")</f>
        <v>#N/A</v>
      </c>
      <c r="G970" s="9" t="str">
        <f t="shared" si="30"/>
        <v/>
      </c>
      <c r="H970" s="9" t="str">
        <f>_xlfn.IFNA(IF(C970=Lookup!$Q$6,"END",""),"")</f>
        <v/>
      </c>
    </row>
    <row r="971" spans="2:8" x14ac:dyDescent="0.45">
      <c r="B971" s="9">
        <f t="shared" si="31"/>
        <v>966</v>
      </c>
      <c r="C971" s="9" t="e">
        <f>IF(D970=VLOOKUP(C970,Lookup!$P$5:$R$6,3,0),VLOOKUP(C970,Lookup!$P$5:$Q$6,2,0),C970)</f>
        <v>#N/A</v>
      </c>
      <c r="D971" s="22" t="e">
        <f>IF(D970=VLOOKUP(C970,Lookup!$P$5:$R$6,3,0),1,D970+1)</f>
        <v>#N/A</v>
      </c>
      <c r="E971" s="9" t="e">
        <f>IF(C971=Lookup!$P$5,INDEX('view-code'!$P$3:$P$502,'group-code'!D971),"")</f>
        <v>#N/A</v>
      </c>
      <c r="F971" s="9" t="e">
        <f>IF(C971=Lookup!$P$6,INDEX('card-code'!$P$3:$P$502,'group-code'!D971),"")</f>
        <v>#N/A</v>
      </c>
      <c r="G971" s="9" t="str">
        <f t="shared" si="30"/>
        <v/>
      </c>
      <c r="H971" s="9" t="str">
        <f>_xlfn.IFNA(IF(C971=Lookup!$Q$6,"END",""),"")</f>
        <v/>
      </c>
    </row>
    <row r="972" spans="2:8" x14ac:dyDescent="0.45">
      <c r="B972" s="9">
        <f t="shared" si="31"/>
        <v>967</v>
      </c>
      <c r="C972" s="9" t="e">
        <f>IF(D971=VLOOKUP(C971,Lookup!$P$5:$R$6,3,0),VLOOKUP(C971,Lookup!$P$5:$Q$6,2,0),C971)</f>
        <v>#N/A</v>
      </c>
      <c r="D972" s="22" t="e">
        <f>IF(D971=VLOOKUP(C971,Lookup!$P$5:$R$6,3,0),1,D971+1)</f>
        <v>#N/A</v>
      </c>
      <c r="E972" s="9" t="e">
        <f>IF(C972=Lookup!$P$5,INDEX('view-code'!$P$3:$P$502,'group-code'!D972),"")</f>
        <v>#N/A</v>
      </c>
      <c r="F972" s="9" t="e">
        <f>IF(C972=Lookup!$P$6,INDEX('card-code'!$P$3:$P$502,'group-code'!D972),"")</f>
        <v>#N/A</v>
      </c>
      <c r="G972" s="9" t="str">
        <f t="shared" si="30"/>
        <v/>
      </c>
      <c r="H972" s="9" t="str">
        <f>_xlfn.IFNA(IF(C972=Lookup!$Q$6,"END",""),"")</f>
        <v/>
      </c>
    </row>
    <row r="973" spans="2:8" x14ac:dyDescent="0.45">
      <c r="B973" s="9">
        <f t="shared" si="31"/>
        <v>968</v>
      </c>
      <c r="C973" s="9" t="e">
        <f>IF(D972=VLOOKUP(C972,Lookup!$P$5:$R$6,3,0),VLOOKUP(C972,Lookup!$P$5:$Q$6,2,0),C972)</f>
        <v>#N/A</v>
      </c>
      <c r="D973" s="22" t="e">
        <f>IF(D972=VLOOKUP(C972,Lookup!$P$5:$R$6,3,0),1,D972+1)</f>
        <v>#N/A</v>
      </c>
      <c r="E973" s="9" t="e">
        <f>IF(C973=Lookup!$P$5,INDEX('view-code'!$P$3:$P$502,'group-code'!D973),"")</f>
        <v>#N/A</v>
      </c>
      <c r="F973" s="9" t="e">
        <f>IF(C973=Lookup!$P$6,INDEX('card-code'!$P$3:$P$502,'group-code'!D973),"")</f>
        <v>#N/A</v>
      </c>
      <c r="G973" s="9" t="str">
        <f t="shared" si="30"/>
        <v/>
      </c>
      <c r="H973" s="9" t="str">
        <f>_xlfn.IFNA(IF(C973=Lookup!$Q$6,"END",""),"")</f>
        <v/>
      </c>
    </row>
    <row r="974" spans="2:8" x14ac:dyDescent="0.45">
      <c r="B974" s="9">
        <f t="shared" si="31"/>
        <v>969</v>
      </c>
      <c r="C974" s="9" t="e">
        <f>IF(D973=VLOOKUP(C973,Lookup!$P$5:$R$6,3,0),VLOOKUP(C973,Lookup!$P$5:$Q$6,2,0),C973)</f>
        <v>#N/A</v>
      </c>
      <c r="D974" s="22" t="e">
        <f>IF(D973=VLOOKUP(C973,Lookup!$P$5:$R$6,3,0),1,D973+1)</f>
        <v>#N/A</v>
      </c>
      <c r="E974" s="9" t="e">
        <f>IF(C974=Lookup!$P$5,INDEX('view-code'!$P$3:$P$502,'group-code'!D974),"")</f>
        <v>#N/A</v>
      </c>
      <c r="F974" s="9" t="e">
        <f>IF(C974=Lookup!$P$6,INDEX('card-code'!$P$3:$P$502,'group-code'!D974),"")</f>
        <v>#N/A</v>
      </c>
      <c r="G974" s="9" t="str">
        <f t="shared" si="30"/>
        <v/>
      </c>
      <c r="H974" s="9" t="str">
        <f>_xlfn.IFNA(IF(C974=Lookup!$Q$6,"END",""),"")</f>
        <v/>
      </c>
    </row>
    <row r="975" spans="2:8" x14ac:dyDescent="0.45">
      <c r="B975" s="9">
        <f t="shared" si="31"/>
        <v>970</v>
      </c>
      <c r="C975" s="9" t="e">
        <f>IF(D974=VLOOKUP(C974,Lookup!$P$5:$R$6,3,0),VLOOKUP(C974,Lookup!$P$5:$Q$6,2,0),C974)</f>
        <v>#N/A</v>
      </c>
      <c r="D975" s="22" t="e">
        <f>IF(D974=VLOOKUP(C974,Lookup!$P$5:$R$6,3,0),1,D974+1)</f>
        <v>#N/A</v>
      </c>
      <c r="E975" s="9" t="e">
        <f>IF(C975=Lookup!$P$5,INDEX('view-code'!$P$3:$P$502,'group-code'!D975),"")</f>
        <v>#N/A</v>
      </c>
      <c r="F975" s="9" t="e">
        <f>IF(C975=Lookup!$P$6,INDEX('card-code'!$P$3:$P$502,'group-code'!D975),"")</f>
        <v>#N/A</v>
      </c>
      <c r="G975" s="9" t="str">
        <f t="shared" si="30"/>
        <v/>
      </c>
      <c r="H975" s="9" t="str">
        <f>_xlfn.IFNA(IF(C975=Lookup!$Q$6,"END",""),"")</f>
        <v/>
      </c>
    </row>
    <row r="976" spans="2:8" x14ac:dyDescent="0.45">
      <c r="B976" s="9">
        <f t="shared" si="31"/>
        <v>971</v>
      </c>
      <c r="C976" s="9" t="e">
        <f>IF(D975=VLOOKUP(C975,Lookup!$P$5:$R$6,3,0),VLOOKUP(C975,Lookup!$P$5:$Q$6,2,0),C975)</f>
        <v>#N/A</v>
      </c>
      <c r="D976" s="22" t="e">
        <f>IF(D975=VLOOKUP(C975,Lookup!$P$5:$R$6,3,0),1,D975+1)</f>
        <v>#N/A</v>
      </c>
      <c r="E976" s="9" t="e">
        <f>IF(C976=Lookup!$P$5,INDEX('view-code'!$P$3:$P$502,'group-code'!D976),"")</f>
        <v>#N/A</v>
      </c>
      <c r="F976" s="9" t="e">
        <f>IF(C976=Lookup!$P$6,INDEX('card-code'!$P$3:$P$502,'group-code'!D976),"")</f>
        <v>#N/A</v>
      </c>
      <c r="G976" s="9" t="str">
        <f t="shared" si="30"/>
        <v/>
      </c>
      <c r="H976" s="9" t="str">
        <f>_xlfn.IFNA(IF(C976=Lookup!$Q$6,"END",""),"")</f>
        <v/>
      </c>
    </row>
    <row r="977" spans="2:8" x14ac:dyDescent="0.45">
      <c r="B977" s="9">
        <f t="shared" si="31"/>
        <v>972</v>
      </c>
      <c r="C977" s="9" t="e">
        <f>IF(D976=VLOOKUP(C976,Lookup!$P$5:$R$6,3,0),VLOOKUP(C976,Lookup!$P$5:$Q$6,2,0),C976)</f>
        <v>#N/A</v>
      </c>
      <c r="D977" s="22" t="e">
        <f>IF(D976=VLOOKUP(C976,Lookup!$P$5:$R$6,3,0),1,D976+1)</f>
        <v>#N/A</v>
      </c>
      <c r="E977" s="9" t="e">
        <f>IF(C977=Lookup!$P$5,INDEX('view-code'!$P$3:$P$502,'group-code'!D977),"")</f>
        <v>#N/A</v>
      </c>
      <c r="F977" s="9" t="e">
        <f>IF(C977=Lookup!$P$6,INDEX('card-code'!$P$3:$P$502,'group-code'!D977),"")</f>
        <v>#N/A</v>
      </c>
      <c r="G977" s="9" t="str">
        <f t="shared" si="30"/>
        <v/>
      </c>
      <c r="H977" s="9" t="str">
        <f>_xlfn.IFNA(IF(C977=Lookup!$Q$6,"END",""),"")</f>
        <v/>
      </c>
    </row>
    <row r="978" spans="2:8" x14ac:dyDescent="0.45">
      <c r="B978" s="9">
        <f t="shared" si="31"/>
        <v>973</v>
      </c>
      <c r="C978" s="9" t="e">
        <f>IF(D977=VLOOKUP(C977,Lookup!$P$5:$R$6,3,0),VLOOKUP(C977,Lookup!$P$5:$Q$6,2,0),C977)</f>
        <v>#N/A</v>
      </c>
      <c r="D978" s="22" t="e">
        <f>IF(D977=VLOOKUP(C977,Lookup!$P$5:$R$6,3,0),1,D977+1)</f>
        <v>#N/A</v>
      </c>
      <c r="E978" s="9" t="e">
        <f>IF(C978=Lookup!$P$5,INDEX('view-code'!$P$3:$P$502,'group-code'!D978),"")</f>
        <v>#N/A</v>
      </c>
      <c r="F978" s="9" t="e">
        <f>IF(C978=Lookup!$P$6,INDEX('card-code'!$P$3:$P$502,'group-code'!D978),"")</f>
        <v>#N/A</v>
      </c>
      <c r="G978" s="9" t="str">
        <f t="shared" si="30"/>
        <v/>
      </c>
      <c r="H978" s="9" t="str">
        <f>_xlfn.IFNA(IF(C978=Lookup!$Q$6,"END",""),"")</f>
        <v/>
      </c>
    </row>
    <row r="979" spans="2:8" x14ac:dyDescent="0.45">
      <c r="B979" s="9">
        <f t="shared" si="31"/>
        <v>974</v>
      </c>
      <c r="C979" s="9" t="e">
        <f>IF(D978=VLOOKUP(C978,Lookup!$P$5:$R$6,3,0),VLOOKUP(C978,Lookup!$P$5:$Q$6,2,0),C978)</f>
        <v>#N/A</v>
      </c>
      <c r="D979" s="22" t="e">
        <f>IF(D978=VLOOKUP(C978,Lookup!$P$5:$R$6,3,0),1,D978+1)</f>
        <v>#N/A</v>
      </c>
      <c r="E979" s="9" t="e">
        <f>IF(C979=Lookup!$P$5,INDEX('view-code'!$P$3:$P$502,'group-code'!D979),"")</f>
        <v>#N/A</v>
      </c>
      <c r="F979" s="9" t="e">
        <f>IF(C979=Lookup!$P$6,INDEX('card-code'!$P$3:$P$502,'group-code'!D979),"")</f>
        <v>#N/A</v>
      </c>
      <c r="G979" s="9" t="str">
        <f t="shared" si="30"/>
        <v/>
      </c>
      <c r="H979" s="9" t="str">
        <f>_xlfn.IFNA(IF(C979=Lookup!$Q$6,"END",""),"")</f>
        <v/>
      </c>
    </row>
    <row r="980" spans="2:8" x14ac:dyDescent="0.45">
      <c r="B980" s="9">
        <f t="shared" si="31"/>
        <v>975</v>
      </c>
      <c r="C980" s="9" t="e">
        <f>IF(D979=VLOOKUP(C979,Lookup!$P$5:$R$6,3,0),VLOOKUP(C979,Lookup!$P$5:$Q$6,2,0),C979)</f>
        <v>#N/A</v>
      </c>
      <c r="D980" s="22" t="e">
        <f>IF(D979=VLOOKUP(C979,Lookup!$P$5:$R$6,3,0),1,D979+1)</f>
        <v>#N/A</v>
      </c>
      <c r="E980" s="9" t="e">
        <f>IF(C980=Lookup!$P$5,INDEX('view-code'!$P$3:$P$502,'group-code'!D980),"")</f>
        <v>#N/A</v>
      </c>
      <c r="F980" s="9" t="e">
        <f>IF(C980=Lookup!$P$6,INDEX('card-code'!$P$3:$P$502,'group-code'!D980),"")</f>
        <v>#N/A</v>
      </c>
      <c r="G980" s="9" t="str">
        <f t="shared" si="30"/>
        <v/>
      </c>
      <c r="H980" s="9" t="str">
        <f>_xlfn.IFNA(IF(C980=Lookup!$Q$6,"END",""),"")</f>
        <v/>
      </c>
    </row>
    <row r="981" spans="2:8" x14ac:dyDescent="0.45">
      <c r="B981" s="9">
        <f t="shared" si="31"/>
        <v>976</v>
      </c>
      <c r="C981" s="9" t="e">
        <f>IF(D980=VLOOKUP(C980,Lookup!$P$5:$R$6,3,0),VLOOKUP(C980,Lookup!$P$5:$Q$6,2,0),C980)</f>
        <v>#N/A</v>
      </c>
      <c r="D981" s="22" t="e">
        <f>IF(D980=VLOOKUP(C980,Lookup!$P$5:$R$6,3,0),1,D980+1)</f>
        <v>#N/A</v>
      </c>
      <c r="E981" s="9" t="e">
        <f>IF(C981=Lookup!$P$5,INDEX('view-code'!$P$3:$P$502,'group-code'!D981),"")</f>
        <v>#N/A</v>
      </c>
      <c r="F981" s="9" t="e">
        <f>IF(C981=Lookup!$P$6,INDEX('card-code'!$P$3:$P$502,'group-code'!D981),"")</f>
        <v>#N/A</v>
      </c>
      <c r="G981" s="9" t="str">
        <f t="shared" si="30"/>
        <v/>
      </c>
      <c r="H981" s="9" t="str">
        <f>_xlfn.IFNA(IF(C981=Lookup!$Q$6,"END",""),"")</f>
        <v/>
      </c>
    </row>
    <row r="982" spans="2:8" x14ac:dyDescent="0.45">
      <c r="B982" s="9">
        <f t="shared" si="31"/>
        <v>977</v>
      </c>
      <c r="C982" s="9" t="e">
        <f>IF(D981=VLOOKUP(C981,Lookup!$P$5:$R$6,3,0),VLOOKUP(C981,Lookup!$P$5:$Q$6,2,0),C981)</f>
        <v>#N/A</v>
      </c>
      <c r="D982" s="22" t="e">
        <f>IF(D981=VLOOKUP(C981,Lookup!$P$5:$R$6,3,0),1,D981+1)</f>
        <v>#N/A</v>
      </c>
      <c r="E982" s="9" t="e">
        <f>IF(C982=Lookup!$P$5,INDEX('view-code'!$P$3:$P$502,'group-code'!D982),"")</f>
        <v>#N/A</v>
      </c>
      <c r="F982" s="9" t="e">
        <f>IF(C982=Lookup!$P$6,INDEX('card-code'!$P$3:$P$502,'group-code'!D982),"")</f>
        <v>#N/A</v>
      </c>
      <c r="G982" s="9" t="str">
        <f t="shared" si="30"/>
        <v/>
      </c>
      <c r="H982" s="9" t="str">
        <f>_xlfn.IFNA(IF(C982=Lookup!$Q$6,"END",""),"")</f>
        <v/>
      </c>
    </row>
    <row r="983" spans="2:8" x14ac:dyDescent="0.45">
      <c r="B983" s="9">
        <f t="shared" si="31"/>
        <v>978</v>
      </c>
      <c r="C983" s="9" t="e">
        <f>IF(D982=VLOOKUP(C982,Lookup!$P$5:$R$6,3,0),VLOOKUP(C982,Lookup!$P$5:$Q$6,2,0),C982)</f>
        <v>#N/A</v>
      </c>
      <c r="D983" s="22" t="e">
        <f>IF(D982=VLOOKUP(C982,Lookup!$P$5:$R$6,3,0),1,D982+1)</f>
        <v>#N/A</v>
      </c>
      <c r="E983" s="9" t="e">
        <f>IF(C983=Lookup!$P$5,INDEX('view-code'!$P$3:$P$502,'group-code'!D983),"")</f>
        <v>#N/A</v>
      </c>
      <c r="F983" s="9" t="e">
        <f>IF(C983=Lookup!$P$6,INDEX('card-code'!$P$3:$P$502,'group-code'!D983),"")</f>
        <v>#N/A</v>
      </c>
      <c r="G983" s="9" t="str">
        <f t="shared" si="30"/>
        <v/>
      </c>
      <c r="H983" s="9" t="str">
        <f>_xlfn.IFNA(IF(C983=Lookup!$Q$6,"END",""),"")</f>
        <v/>
      </c>
    </row>
    <row r="984" spans="2:8" x14ac:dyDescent="0.45">
      <c r="B984" s="9">
        <f t="shared" si="31"/>
        <v>979</v>
      </c>
      <c r="C984" s="9" t="e">
        <f>IF(D983=VLOOKUP(C983,Lookup!$P$5:$R$6,3,0),VLOOKUP(C983,Lookup!$P$5:$Q$6,2,0),C983)</f>
        <v>#N/A</v>
      </c>
      <c r="D984" s="22" t="e">
        <f>IF(D983=VLOOKUP(C983,Lookup!$P$5:$R$6,3,0),1,D983+1)</f>
        <v>#N/A</v>
      </c>
      <c r="E984" s="9" t="e">
        <f>IF(C984=Lookup!$P$5,INDEX('view-code'!$P$3:$P$502,'group-code'!D984),"")</f>
        <v>#N/A</v>
      </c>
      <c r="F984" s="9" t="e">
        <f>IF(C984=Lookup!$P$6,INDEX('card-code'!$P$3:$P$502,'group-code'!D984),"")</f>
        <v>#N/A</v>
      </c>
      <c r="G984" s="9" t="str">
        <f t="shared" si="30"/>
        <v/>
      </c>
      <c r="H984" s="9" t="str">
        <f>_xlfn.IFNA(IF(C984=Lookup!$Q$6,"END",""),"")</f>
        <v/>
      </c>
    </row>
    <row r="985" spans="2:8" x14ac:dyDescent="0.45">
      <c r="B985" s="9">
        <f t="shared" si="31"/>
        <v>980</v>
      </c>
      <c r="C985" s="9" t="e">
        <f>IF(D984=VLOOKUP(C984,Lookup!$P$5:$R$6,3,0),VLOOKUP(C984,Lookup!$P$5:$Q$6,2,0),C984)</f>
        <v>#N/A</v>
      </c>
      <c r="D985" s="22" t="e">
        <f>IF(D984=VLOOKUP(C984,Lookup!$P$5:$R$6,3,0),1,D984+1)</f>
        <v>#N/A</v>
      </c>
      <c r="E985" s="9" t="e">
        <f>IF(C985=Lookup!$P$5,INDEX('view-code'!$P$3:$P$502,'group-code'!D985),"")</f>
        <v>#N/A</v>
      </c>
      <c r="F985" s="9" t="e">
        <f>IF(C985=Lookup!$P$6,INDEX('card-code'!$P$3:$P$502,'group-code'!D985),"")</f>
        <v>#N/A</v>
      </c>
      <c r="G985" s="9" t="str">
        <f t="shared" si="30"/>
        <v/>
      </c>
      <c r="H985" s="9" t="str">
        <f>_xlfn.IFNA(IF(C985=Lookup!$Q$6,"END",""),"")</f>
        <v/>
      </c>
    </row>
    <row r="986" spans="2:8" x14ac:dyDescent="0.45">
      <c r="B986" s="9">
        <f t="shared" si="31"/>
        <v>981</v>
      </c>
      <c r="C986" s="9" t="e">
        <f>IF(D985=VLOOKUP(C985,Lookup!$P$5:$R$6,3,0),VLOOKUP(C985,Lookup!$P$5:$Q$6,2,0),C985)</f>
        <v>#N/A</v>
      </c>
      <c r="D986" s="22" t="e">
        <f>IF(D985=VLOOKUP(C985,Lookup!$P$5:$R$6,3,0),1,D985+1)</f>
        <v>#N/A</v>
      </c>
      <c r="E986" s="9" t="e">
        <f>IF(C986=Lookup!$P$5,INDEX('view-code'!$P$3:$P$502,'group-code'!D986),"")</f>
        <v>#N/A</v>
      </c>
      <c r="F986" s="9" t="e">
        <f>IF(C986=Lookup!$P$6,INDEX('card-code'!$P$3:$P$502,'group-code'!D986),"")</f>
        <v>#N/A</v>
      </c>
      <c r="G986" s="9" t="str">
        <f t="shared" si="30"/>
        <v/>
      </c>
      <c r="H986" s="9" t="str">
        <f>_xlfn.IFNA(IF(C986=Lookup!$Q$6,"END",""),"")</f>
        <v/>
      </c>
    </row>
    <row r="987" spans="2:8" x14ac:dyDescent="0.45">
      <c r="B987" s="9">
        <f t="shared" si="31"/>
        <v>982</v>
      </c>
      <c r="C987" s="9" t="e">
        <f>IF(D986=VLOOKUP(C986,Lookup!$P$5:$R$6,3,0),VLOOKUP(C986,Lookup!$P$5:$Q$6,2,0),C986)</f>
        <v>#N/A</v>
      </c>
      <c r="D987" s="22" t="e">
        <f>IF(D986=VLOOKUP(C986,Lookup!$P$5:$R$6,3,0),1,D986+1)</f>
        <v>#N/A</v>
      </c>
      <c r="E987" s="9" t="e">
        <f>IF(C987=Lookup!$P$5,INDEX('view-code'!$P$3:$P$502,'group-code'!D987),"")</f>
        <v>#N/A</v>
      </c>
      <c r="F987" s="9" t="e">
        <f>IF(C987=Lookup!$P$6,INDEX('card-code'!$P$3:$P$502,'group-code'!D987),"")</f>
        <v>#N/A</v>
      </c>
      <c r="G987" s="9" t="str">
        <f t="shared" si="30"/>
        <v/>
      </c>
      <c r="H987" s="9" t="str">
        <f>_xlfn.IFNA(IF(C987=Lookup!$Q$6,"END",""),"")</f>
        <v/>
      </c>
    </row>
    <row r="988" spans="2:8" x14ac:dyDescent="0.45">
      <c r="B988" s="9">
        <f t="shared" si="31"/>
        <v>983</v>
      </c>
      <c r="C988" s="9" t="e">
        <f>IF(D987=VLOOKUP(C987,Lookup!$P$5:$R$6,3,0),VLOOKUP(C987,Lookup!$P$5:$Q$6,2,0),C987)</f>
        <v>#N/A</v>
      </c>
      <c r="D988" s="22" t="e">
        <f>IF(D987=VLOOKUP(C987,Lookup!$P$5:$R$6,3,0),1,D987+1)</f>
        <v>#N/A</v>
      </c>
      <c r="E988" s="9" t="e">
        <f>IF(C988=Lookup!$P$5,INDEX('view-code'!$P$3:$P$502,'group-code'!D988),"")</f>
        <v>#N/A</v>
      </c>
      <c r="F988" s="9" t="e">
        <f>IF(C988=Lookup!$P$6,INDEX('card-code'!$P$3:$P$502,'group-code'!D988),"")</f>
        <v>#N/A</v>
      </c>
      <c r="G988" s="9" t="str">
        <f t="shared" si="30"/>
        <v/>
      </c>
      <c r="H988" s="9" t="str">
        <f>_xlfn.IFNA(IF(C988=Lookup!$Q$6,"END",""),"")</f>
        <v/>
      </c>
    </row>
    <row r="989" spans="2:8" x14ac:dyDescent="0.45">
      <c r="B989" s="9">
        <f t="shared" si="31"/>
        <v>984</v>
      </c>
      <c r="C989" s="9" t="e">
        <f>IF(D988=VLOOKUP(C988,Lookup!$P$5:$R$6,3,0),VLOOKUP(C988,Lookup!$P$5:$Q$6,2,0),C988)</f>
        <v>#N/A</v>
      </c>
      <c r="D989" s="22" t="e">
        <f>IF(D988=VLOOKUP(C988,Lookup!$P$5:$R$6,3,0),1,D988+1)</f>
        <v>#N/A</v>
      </c>
      <c r="E989" s="9" t="e">
        <f>IF(C989=Lookup!$P$5,INDEX('view-code'!$P$3:$P$502,'group-code'!D989),"")</f>
        <v>#N/A</v>
      </c>
      <c r="F989" s="9" t="e">
        <f>IF(C989=Lookup!$P$6,INDEX('card-code'!$P$3:$P$502,'group-code'!D989),"")</f>
        <v>#N/A</v>
      </c>
      <c r="G989" s="9" t="str">
        <f t="shared" si="30"/>
        <v/>
      </c>
      <c r="H989" s="9" t="str">
        <f>_xlfn.IFNA(IF(C989=Lookup!$Q$6,"END",""),"")</f>
        <v/>
      </c>
    </row>
    <row r="990" spans="2:8" x14ac:dyDescent="0.45">
      <c r="B990" s="9">
        <f t="shared" si="31"/>
        <v>985</v>
      </c>
      <c r="C990" s="9" t="e">
        <f>IF(D989=VLOOKUP(C989,Lookup!$P$5:$R$6,3,0),VLOOKUP(C989,Lookup!$P$5:$Q$6,2,0),C989)</f>
        <v>#N/A</v>
      </c>
      <c r="D990" s="22" t="e">
        <f>IF(D989=VLOOKUP(C989,Lookup!$P$5:$R$6,3,0),1,D989+1)</f>
        <v>#N/A</v>
      </c>
      <c r="E990" s="9" t="e">
        <f>IF(C990=Lookup!$P$5,INDEX('view-code'!$P$3:$P$502,'group-code'!D990),"")</f>
        <v>#N/A</v>
      </c>
      <c r="F990" s="9" t="e">
        <f>IF(C990=Lookup!$P$6,INDEX('card-code'!$P$3:$P$502,'group-code'!D990),"")</f>
        <v>#N/A</v>
      </c>
      <c r="G990" s="9" t="str">
        <f t="shared" si="30"/>
        <v/>
      </c>
      <c r="H990" s="9" t="str">
        <f>_xlfn.IFNA(IF(C990=Lookup!$Q$6,"END",""),"")</f>
        <v/>
      </c>
    </row>
    <row r="991" spans="2:8" x14ac:dyDescent="0.45">
      <c r="B991" s="9">
        <f t="shared" si="31"/>
        <v>986</v>
      </c>
      <c r="C991" s="9" t="e">
        <f>IF(D990=VLOOKUP(C990,Lookup!$P$5:$R$6,3,0),VLOOKUP(C990,Lookup!$P$5:$Q$6,2,0),C990)</f>
        <v>#N/A</v>
      </c>
      <c r="D991" s="22" t="e">
        <f>IF(D990=VLOOKUP(C990,Lookup!$P$5:$R$6,3,0),1,D990+1)</f>
        <v>#N/A</v>
      </c>
      <c r="E991" s="9" t="e">
        <f>IF(C991=Lookup!$P$5,INDEX('view-code'!$P$3:$P$502,'group-code'!D991),"")</f>
        <v>#N/A</v>
      </c>
      <c r="F991" s="9" t="e">
        <f>IF(C991=Lookup!$P$6,INDEX('card-code'!$P$3:$P$502,'group-code'!D991),"")</f>
        <v>#N/A</v>
      </c>
      <c r="G991" s="9" t="str">
        <f t="shared" si="30"/>
        <v/>
      </c>
      <c r="H991" s="9" t="str">
        <f>_xlfn.IFNA(IF(C991=Lookup!$Q$6,"END",""),"")</f>
        <v/>
      </c>
    </row>
    <row r="992" spans="2:8" x14ac:dyDescent="0.45">
      <c r="B992" s="9">
        <f t="shared" si="31"/>
        <v>987</v>
      </c>
      <c r="C992" s="9" t="e">
        <f>IF(D991=VLOOKUP(C991,Lookup!$P$5:$R$6,3,0),VLOOKUP(C991,Lookup!$P$5:$Q$6,2,0),C991)</f>
        <v>#N/A</v>
      </c>
      <c r="D992" s="22" t="e">
        <f>IF(D991=VLOOKUP(C991,Lookup!$P$5:$R$6,3,0),1,D991+1)</f>
        <v>#N/A</v>
      </c>
      <c r="E992" s="9" t="e">
        <f>IF(C992=Lookup!$P$5,INDEX('view-code'!$P$3:$P$502,'group-code'!D992),"")</f>
        <v>#N/A</v>
      </c>
      <c r="F992" s="9" t="e">
        <f>IF(C992=Lookup!$P$6,INDEX('card-code'!$P$3:$P$502,'group-code'!D992),"")</f>
        <v>#N/A</v>
      </c>
      <c r="G992" s="9" t="str">
        <f t="shared" si="30"/>
        <v/>
      </c>
      <c r="H992" s="9" t="str">
        <f>_xlfn.IFNA(IF(C992=Lookup!$Q$6,"END",""),"")</f>
        <v/>
      </c>
    </row>
    <row r="993" spans="2:8" x14ac:dyDescent="0.45">
      <c r="B993" s="9">
        <f t="shared" si="31"/>
        <v>988</v>
      </c>
      <c r="C993" s="9" t="e">
        <f>IF(D992=VLOOKUP(C992,Lookup!$P$5:$R$6,3,0),VLOOKUP(C992,Lookup!$P$5:$Q$6,2,0),C992)</f>
        <v>#N/A</v>
      </c>
      <c r="D993" s="22" t="e">
        <f>IF(D992=VLOOKUP(C992,Lookup!$P$5:$R$6,3,0),1,D992+1)</f>
        <v>#N/A</v>
      </c>
      <c r="E993" s="9" t="e">
        <f>IF(C993=Lookup!$P$5,INDEX('view-code'!$P$3:$P$502,'group-code'!D993),"")</f>
        <v>#N/A</v>
      </c>
      <c r="F993" s="9" t="e">
        <f>IF(C993=Lookup!$P$6,INDEX('card-code'!$P$3:$P$502,'group-code'!D993),"")</f>
        <v>#N/A</v>
      </c>
      <c r="G993" s="9" t="str">
        <f t="shared" si="30"/>
        <v/>
      </c>
      <c r="H993" s="9" t="str">
        <f>_xlfn.IFNA(IF(C993=Lookup!$Q$6,"END",""),"")</f>
        <v/>
      </c>
    </row>
    <row r="994" spans="2:8" x14ac:dyDescent="0.45">
      <c r="B994" s="9">
        <f t="shared" si="31"/>
        <v>989</v>
      </c>
      <c r="C994" s="9" t="e">
        <f>IF(D993=VLOOKUP(C993,Lookup!$P$5:$R$6,3,0),VLOOKUP(C993,Lookup!$P$5:$Q$6,2,0),C993)</f>
        <v>#N/A</v>
      </c>
      <c r="D994" s="22" t="e">
        <f>IF(D993=VLOOKUP(C993,Lookup!$P$5:$R$6,3,0),1,D993+1)</f>
        <v>#N/A</v>
      </c>
      <c r="E994" s="9" t="e">
        <f>IF(C994=Lookup!$P$5,INDEX('view-code'!$P$3:$P$502,'group-code'!D994),"")</f>
        <v>#N/A</v>
      </c>
      <c r="F994" s="9" t="e">
        <f>IF(C994=Lookup!$P$6,INDEX('card-code'!$P$3:$P$502,'group-code'!D994),"")</f>
        <v>#N/A</v>
      </c>
      <c r="G994" s="9" t="str">
        <f t="shared" si="30"/>
        <v/>
      </c>
      <c r="H994" s="9" t="str">
        <f>_xlfn.IFNA(IF(C994=Lookup!$Q$6,"END",""),"")</f>
        <v/>
      </c>
    </row>
    <row r="995" spans="2:8" x14ac:dyDescent="0.45">
      <c r="B995" s="9">
        <f t="shared" si="31"/>
        <v>990</v>
      </c>
      <c r="C995" s="9" t="e">
        <f>IF(D994=VLOOKUP(C994,Lookup!$P$5:$R$6,3,0),VLOOKUP(C994,Lookup!$P$5:$Q$6,2,0),C994)</f>
        <v>#N/A</v>
      </c>
      <c r="D995" s="22" t="e">
        <f>IF(D994=VLOOKUP(C994,Lookup!$P$5:$R$6,3,0),1,D994+1)</f>
        <v>#N/A</v>
      </c>
      <c r="E995" s="9" t="e">
        <f>IF(C995=Lookup!$P$5,INDEX('view-code'!$P$3:$P$502,'group-code'!D995),"")</f>
        <v>#N/A</v>
      </c>
      <c r="F995" s="9" t="e">
        <f>IF(C995=Lookup!$P$6,INDEX('card-code'!$P$3:$P$502,'group-code'!D995),"")</f>
        <v>#N/A</v>
      </c>
      <c r="G995" s="9" t="str">
        <f t="shared" si="30"/>
        <v/>
      </c>
      <c r="H995" s="9" t="str">
        <f>_xlfn.IFNA(IF(C995=Lookup!$Q$6,"END",""),"")</f>
        <v/>
      </c>
    </row>
    <row r="996" spans="2:8" x14ac:dyDescent="0.45">
      <c r="B996" s="9">
        <f t="shared" si="31"/>
        <v>991</v>
      </c>
      <c r="C996" s="9" t="e">
        <f>IF(D995=VLOOKUP(C995,Lookup!$P$5:$R$6,3,0),VLOOKUP(C995,Lookup!$P$5:$Q$6,2,0),C995)</f>
        <v>#N/A</v>
      </c>
      <c r="D996" s="22" t="e">
        <f>IF(D995=VLOOKUP(C995,Lookup!$P$5:$R$6,3,0),1,D995+1)</f>
        <v>#N/A</v>
      </c>
      <c r="E996" s="9" t="e">
        <f>IF(C996=Lookup!$P$5,INDEX('view-code'!$P$3:$P$502,'group-code'!D996),"")</f>
        <v>#N/A</v>
      </c>
      <c r="F996" s="9" t="e">
        <f>IF(C996=Lookup!$P$6,INDEX('card-code'!$P$3:$P$502,'group-code'!D996),"")</f>
        <v>#N/A</v>
      </c>
      <c r="G996" s="9" t="str">
        <f t="shared" si="30"/>
        <v/>
      </c>
      <c r="H996" s="9" t="str">
        <f>_xlfn.IFNA(IF(C996=Lookup!$Q$6,"END",""),"")</f>
        <v/>
      </c>
    </row>
    <row r="997" spans="2:8" x14ac:dyDescent="0.45">
      <c r="B997" s="9">
        <f t="shared" si="31"/>
        <v>992</v>
      </c>
      <c r="C997" s="9" t="e">
        <f>IF(D996=VLOOKUP(C996,Lookup!$P$5:$R$6,3,0),VLOOKUP(C996,Lookup!$P$5:$Q$6,2,0),C996)</f>
        <v>#N/A</v>
      </c>
      <c r="D997" s="22" t="e">
        <f>IF(D996=VLOOKUP(C996,Lookup!$P$5:$R$6,3,0),1,D996+1)</f>
        <v>#N/A</v>
      </c>
      <c r="E997" s="9" t="e">
        <f>IF(C997=Lookup!$P$5,INDEX('view-code'!$P$3:$P$502,'group-code'!D997),"")</f>
        <v>#N/A</v>
      </c>
      <c r="F997" s="9" t="e">
        <f>IF(C997=Lookup!$P$6,INDEX('card-code'!$P$3:$P$502,'group-code'!D997),"")</f>
        <v>#N/A</v>
      </c>
      <c r="G997" s="9" t="str">
        <f t="shared" si="30"/>
        <v/>
      </c>
      <c r="H997" s="9" t="str">
        <f>_xlfn.IFNA(IF(C997=Lookup!$Q$6,"END",""),"")</f>
        <v/>
      </c>
    </row>
    <row r="998" spans="2:8" x14ac:dyDescent="0.45">
      <c r="B998" s="9">
        <f t="shared" si="31"/>
        <v>993</v>
      </c>
      <c r="C998" s="9" t="e">
        <f>IF(D997=VLOOKUP(C997,Lookup!$P$5:$R$6,3,0),VLOOKUP(C997,Lookup!$P$5:$Q$6,2,0),C997)</f>
        <v>#N/A</v>
      </c>
      <c r="D998" s="22" t="e">
        <f>IF(D997=VLOOKUP(C997,Lookup!$P$5:$R$6,3,0),1,D997+1)</f>
        <v>#N/A</v>
      </c>
      <c r="E998" s="9" t="e">
        <f>IF(C998=Lookup!$P$5,INDEX('view-code'!$P$3:$P$502,'group-code'!D998),"")</f>
        <v>#N/A</v>
      </c>
      <c r="F998" s="9" t="e">
        <f>IF(C998=Lookup!$P$6,INDEX('card-code'!$P$3:$P$502,'group-code'!D998),"")</f>
        <v>#N/A</v>
      </c>
      <c r="G998" s="9" t="str">
        <f t="shared" si="30"/>
        <v/>
      </c>
      <c r="H998" s="9" t="str">
        <f>_xlfn.IFNA(IF(C998=Lookup!$Q$6,"END",""),"")</f>
        <v/>
      </c>
    </row>
    <row r="999" spans="2:8" x14ac:dyDescent="0.45">
      <c r="B999" s="9">
        <f t="shared" si="31"/>
        <v>994</v>
      </c>
      <c r="C999" s="9" t="e">
        <f>IF(D998=VLOOKUP(C998,Lookup!$P$5:$R$6,3,0),VLOOKUP(C998,Lookup!$P$5:$Q$6,2,0),C998)</f>
        <v>#N/A</v>
      </c>
      <c r="D999" s="22" t="e">
        <f>IF(D998=VLOOKUP(C998,Lookup!$P$5:$R$6,3,0),1,D998+1)</f>
        <v>#N/A</v>
      </c>
      <c r="E999" s="9" t="e">
        <f>IF(C999=Lookup!$P$5,INDEX('view-code'!$P$3:$P$502,'group-code'!D999),"")</f>
        <v>#N/A</v>
      </c>
      <c r="F999" s="9" t="e">
        <f>IF(C999=Lookup!$P$6,INDEX('card-code'!$P$3:$P$502,'group-code'!D999),"")</f>
        <v>#N/A</v>
      </c>
      <c r="G999" s="9" t="str">
        <f t="shared" si="30"/>
        <v/>
      </c>
      <c r="H999" s="9" t="str">
        <f>_xlfn.IFNA(IF(C999=Lookup!$Q$6,"END",""),"")</f>
        <v/>
      </c>
    </row>
    <row r="1000" spans="2:8" x14ac:dyDescent="0.45">
      <c r="B1000" s="9">
        <f t="shared" si="31"/>
        <v>995</v>
      </c>
      <c r="C1000" s="9" t="e">
        <f>IF(D999=VLOOKUP(C999,Lookup!$P$5:$R$6,3,0),VLOOKUP(C999,Lookup!$P$5:$Q$6,2,0),C999)</f>
        <v>#N/A</v>
      </c>
      <c r="D1000" s="22" t="e">
        <f>IF(D999=VLOOKUP(C999,Lookup!$P$5:$R$6,3,0),1,D999+1)</f>
        <v>#N/A</v>
      </c>
      <c r="E1000" s="9" t="e">
        <f>IF(C1000=Lookup!$P$5,INDEX('view-code'!$P$3:$P$502,'group-code'!D1000),"")</f>
        <v>#N/A</v>
      </c>
      <c r="F1000" s="9" t="e">
        <f>IF(C1000=Lookup!$P$6,INDEX('card-code'!$P$3:$P$502,'group-code'!D1000),"")</f>
        <v>#N/A</v>
      </c>
      <c r="G1000" s="9" t="str">
        <f t="shared" si="30"/>
        <v/>
      </c>
      <c r="H1000" s="9" t="str">
        <f>_xlfn.IFNA(IF(C1000=Lookup!$Q$6,"END",""),"")</f>
        <v/>
      </c>
    </row>
    <row r="1001" spans="2:8" x14ac:dyDescent="0.45">
      <c r="B1001" s="9">
        <f t="shared" si="31"/>
        <v>996</v>
      </c>
      <c r="C1001" s="9" t="e">
        <f>IF(D1000=VLOOKUP(C1000,Lookup!$P$5:$R$6,3,0),VLOOKUP(C1000,Lookup!$P$5:$Q$6,2,0),C1000)</f>
        <v>#N/A</v>
      </c>
      <c r="D1001" s="22" t="e">
        <f>IF(D1000=VLOOKUP(C1000,Lookup!$P$5:$R$6,3,0),1,D1000+1)</f>
        <v>#N/A</v>
      </c>
      <c r="E1001" s="9" t="e">
        <f>IF(C1001=Lookup!$P$5,INDEX('view-code'!$P$3:$P$502,'group-code'!D1001),"")</f>
        <v>#N/A</v>
      </c>
      <c r="F1001" s="9" t="e">
        <f>IF(C1001=Lookup!$P$6,INDEX('card-code'!$P$3:$P$502,'group-code'!D1001),"")</f>
        <v>#N/A</v>
      </c>
      <c r="G1001" s="9" t="str">
        <f t="shared" si="30"/>
        <v/>
      </c>
      <c r="H1001" s="9" t="str">
        <f>_xlfn.IFNA(IF(C1001=Lookup!$Q$6,"END",""),"")</f>
        <v/>
      </c>
    </row>
    <row r="1002" spans="2:8" x14ac:dyDescent="0.45">
      <c r="B1002" s="9">
        <f t="shared" si="31"/>
        <v>997</v>
      </c>
      <c r="C1002" s="9" t="e">
        <f>IF(D1001=VLOOKUP(C1001,Lookup!$P$5:$R$6,3,0),VLOOKUP(C1001,Lookup!$P$5:$Q$6,2,0),C1001)</f>
        <v>#N/A</v>
      </c>
      <c r="D1002" s="22" t="e">
        <f>IF(D1001=VLOOKUP(C1001,Lookup!$P$5:$R$6,3,0),1,D1001+1)</f>
        <v>#N/A</v>
      </c>
      <c r="E1002" s="9" t="e">
        <f>IF(C1002=Lookup!$P$5,INDEX('view-code'!$P$3:$P$502,'group-code'!D1002),"")</f>
        <v>#N/A</v>
      </c>
      <c r="F1002" s="9" t="e">
        <f>IF(C1002=Lookup!$P$6,INDEX('card-code'!$P$3:$P$502,'group-code'!D1002),"")</f>
        <v>#N/A</v>
      </c>
      <c r="G1002" s="9" t="str">
        <f t="shared" si="30"/>
        <v/>
      </c>
      <c r="H1002" s="9" t="str">
        <f>_xlfn.IFNA(IF(C1002=Lookup!$Q$6,"END",""),"")</f>
        <v/>
      </c>
    </row>
    <row r="1003" spans="2:8" x14ac:dyDescent="0.45">
      <c r="B1003" s="9">
        <f t="shared" si="31"/>
        <v>998</v>
      </c>
      <c r="C1003" s="9" t="e">
        <f>IF(D1002=VLOOKUP(C1002,Lookup!$P$5:$R$6,3,0),VLOOKUP(C1002,Lookup!$P$5:$Q$6,2,0),C1002)</f>
        <v>#N/A</v>
      </c>
      <c r="D1003" s="22" t="e">
        <f>IF(D1002=VLOOKUP(C1002,Lookup!$P$5:$R$6,3,0),1,D1002+1)</f>
        <v>#N/A</v>
      </c>
      <c r="E1003" s="9" t="e">
        <f>IF(C1003=Lookup!$P$5,INDEX('view-code'!$P$3:$P$502,'group-code'!D1003),"")</f>
        <v>#N/A</v>
      </c>
      <c r="F1003" s="9" t="e">
        <f>IF(C1003=Lookup!$P$6,INDEX('card-code'!$P$3:$P$502,'group-code'!D1003),"")</f>
        <v>#N/A</v>
      </c>
      <c r="G1003" s="9" t="str">
        <f t="shared" si="30"/>
        <v/>
      </c>
      <c r="H1003" s="9" t="str">
        <f>_xlfn.IFNA(IF(C1003=Lookup!$Q$6,"END",""),"")</f>
        <v/>
      </c>
    </row>
    <row r="1004" spans="2:8" x14ac:dyDescent="0.45">
      <c r="B1004" s="9">
        <f t="shared" si="31"/>
        <v>999</v>
      </c>
      <c r="C1004" s="9" t="e">
        <f>IF(D1003=VLOOKUP(C1003,Lookup!$P$5:$R$6,3,0),VLOOKUP(C1003,Lookup!$P$5:$Q$6,2,0),C1003)</f>
        <v>#N/A</v>
      </c>
      <c r="D1004" s="22" t="e">
        <f>IF(D1003=VLOOKUP(C1003,Lookup!$P$5:$R$6,3,0),1,D1003+1)</f>
        <v>#N/A</v>
      </c>
      <c r="E1004" s="9" t="e">
        <f>IF(C1004=Lookup!$P$5,INDEX('view-code'!$P$3:$P$502,'group-code'!D1004),"")</f>
        <v>#N/A</v>
      </c>
      <c r="F1004" s="9" t="e">
        <f>IF(C1004=Lookup!$P$6,INDEX('card-code'!$P$3:$P$502,'group-code'!D1004),"")</f>
        <v>#N/A</v>
      </c>
      <c r="G1004" s="9" t="str">
        <f t="shared" si="30"/>
        <v/>
      </c>
      <c r="H1004" s="9" t="str">
        <f>_xlfn.IFNA(IF(C1004=Lookup!$Q$6,"END",""),"")</f>
        <v/>
      </c>
    </row>
    <row r="1005" spans="2:8" x14ac:dyDescent="0.45">
      <c r="B1005" s="9">
        <f t="shared" si="31"/>
        <v>1000</v>
      </c>
      <c r="C1005" s="9" t="e">
        <f>IF(D1004=VLOOKUP(C1004,Lookup!$P$5:$R$6,3,0),VLOOKUP(C1004,Lookup!$P$5:$Q$6,2,0),C1004)</f>
        <v>#N/A</v>
      </c>
      <c r="D1005" s="22" t="e">
        <f>IF(D1004=VLOOKUP(C1004,Lookup!$P$5:$R$6,3,0),1,D1004+1)</f>
        <v>#N/A</v>
      </c>
      <c r="E1005" s="9" t="e">
        <f>IF(C1005=Lookup!$P$5,INDEX('view-code'!$P$3:$P$502,'group-code'!D1005),"")</f>
        <v>#N/A</v>
      </c>
      <c r="F1005" s="9" t="e">
        <f>IF(C1005=Lookup!$P$6,INDEX('card-code'!$P$3:$P$502,'group-code'!D1005),"")</f>
        <v>#N/A</v>
      </c>
      <c r="G1005" s="9" t="str">
        <f t="shared" si="30"/>
        <v/>
      </c>
      <c r="H1005" s="9" t="str">
        <f>_xlfn.IFNA(IF(C1005=Lookup!$Q$6,"END",""),"")</f>
        <v/>
      </c>
    </row>
  </sheetData>
  <conditionalFormatting sqref="G6:G1005">
    <cfRule type="expression" dxfId="11" priority="1">
      <formula>NOT(ISNA(C6))</formula>
    </cfRule>
  </conditionalFormatting>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2" sqref="K42"/>
    </sheetView>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H12"/>
  <sheetViews>
    <sheetView workbookViewId="0">
      <selection activeCell="B6" sqref="B6"/>
    </sheetView>
  </sheetViews>
  <sheetFormatPr defaultRowHeight="14.25" x14ac:dyDescent="0.45"/>
  <cols>
    <col min="1" max="1" width="2.3984375" customWidth="1"/>
    <col min="2" max="2" width="14.73046875" bestFit="1" customWidth="1"/>
    <col min="3" max="3" width="14.1328125" bestFit="1" customWidth="1"/>
    <col min="4" max="4" width="19.59765625" bestFit="1" customWidth="1"/>
    <col min="5" max="5" width="22.1328125" bestFit="1" customWidth="1"/>
    <col min="6" max="6" width="27.265625" bestFit="1" customWidth="1"/>
    <col min="7" max="7" width="7.59765625" bestFit="1" customWidth="1"/>
  </cols>
  <sheetData>
    <row r="2" spans="2:8" x14ac:dyDescent="0.45">
      <c r="B2" s="2" t="s">
        <v>38</v>
      </c>
      <c r="C2" s="2" t="s">
        <v>39</v>
      </c>
      <c r="D2" t="s">
        <v>37</v>
      </c>
      <c r="E2" t="s">
        <v>40</v>
      </c>
      <c r="F2" t="s">
        <v>41</v>
      </c>
      <c r="G2" t="s">
        <v>58</v>
      </c>
      <c r="H2" t="s">
        <v>63</v>
      </c>
    </row>
    <row r="3" spans="2:8" x14ac:dyDescent="0.45">
      <c r="B3" t="s">
        <v>36</v>
      </c>
      <c r="C3" t="s">
        <v>30</v>
      </c>
      <c r="D3" t="str">
        <f t="shared" ref="D3:D12" si="0">LOWER(SUBSTITUTE(B3," ","-"))&amp;".yaml"</f>
        <v>alarm-clock.yaml</v>
      </c>
      <c r="E3" t="str">
        <f>"automation_"&amp;automation_categories[[#This Row],[Cat Short]]</f>
        <v>automation_almclk</v>
      </c>
      <c r="F3" t="str">
        <f>"Automation - "&amp;automation_categories[[#This Row],[Category]]</f>
        <v>Automation - Alarm Clock</v>
      </c>
      <c r="G3">
        <f>COUNTIF(automation_categories[Cat Short],"&lt;="&amp;automation_categories[[#This Row],[Cat Short]])</f>
        <v>2</v>
      </c>
      <c r="H3">
        <f>COUNTIF(automations[Category],automation_categories[[#This Row],[Category]])</f>
        <v>1</v>
      </c>
    </row>
    <row r="4" spans="2:8" x14ac:dyDescent="0.45">
      <c r="B4" t="s">
        <v>843</v>
      </c>
      <c r="C4" t="s">
        <v>842</v>
      </c>
      <c r="D4" t="str">
        <f t="shared" si="0"/>
        <v>alert.yaml</v>
      </c>
      <c r="E4" t="str">
        <f>"automation_"&amp;automation_categories[[#This Row],[Cat Short]]</f>
        <v>automation_alert</v>
      </c>
      <c r="F4" t="str">
        <f>"Automation - "&amp;automation_categories[[#This Row],[Category]]</f>
        <v>Automation - Alert</v>
      </c>
      <c r="G4">
        <f>COUNTIF(automation_categories[Cat Short],"&lt;="&amp;automation_categories[[#This Row],[Cat Short]])</f>
        <v>1</v>
      </c>
      <c r="H4">
        <f>COUNTIF(automations[Category],automation_categories[[#This Row],[Category]])</f>
        <v>0</v>
      </c>
    </row>
    <row r="5" spans="2:8" x14ac:dyDescent="0.45">
      <c r="B5" t="s">
        <v>48</v>
      </c>
      <c r="C5" t="s">
        <v>29</v>
      </c>
      <c r="D5" t="str">
        <f t="shared" si="0"/>
        <v>away.yaml</v>
      </c>
      <c r="E5" t="str">
        <f>"automation_"&amp;automation_categories[[#This Row],[Cat Short]]</f>
        <v>automation_loc-away</v>
      </c>
      <c r="F5" t="str">
        <f>"Automation - "&amp;automation_categories[[#This Row],[Category]]</f>
        <v>Automation - Away</v>
      </c>
      <c r="G5">
        <f>COUNTIF(automation_categories[Cat Short],"&lt;="&amp;automation_categories[[#This Row],[Cat Short]])</f>
        <v>3</v>
      </c>
      <c r="H5">
        <f>COUNTIF(automations[Category],automation_categories[[#This Row],[Category]])</f>
        <v>3</v>
      </c>
    </row>
    <row r="6" spans="2:8" x14ac:dyDescent="0.45">
      <c r="B6" t="s">
        <v>49</v>
      </c>
      <c r="C6" t="s">
        <v>35</v>
      </c>
      <c r="D6" t="str">
        <f t="shared" si="0"/>
        <v>notifications.yaml</v>
      </c>
      <c r="E6" t="str">
        <f>"automation_"&amp;automation_categories[[#This Row],[Cat Short]]</f>
        <v>automation_not</v>
      </c>
      <c r="F6" t="str">
        <f>"Automation - "&amp;automation_categories[[#This Row],[Category]]</f>
        <v>Automation - Notifications</v>
      </c>
      <c r="G6">
        <f>COUNTIF(automation_categories[Cat Short],"&lt;="&amp;automation_categories[[#This Row],[Cat Short]])</f>
        <v>4</v>
      </c>
      <c r="H6">
        <f>COUNTIF(automations[Category],automation_categories[[#This Row],[Category]])</f>
        <v>4</v>
      </c>
    </row>
    <row r="7" spans="2:8" x14ac:dyDescent="0.45">
      <c r="B7" t="s">
        <v>42</v>
      </c>
      <c r="C7" t="s">
        <v>28</v>
      </c>
      <c r="D7" t="str">
        <f t="shared" si="0"/>
        <v>bedroom.yaml</v>
      </c>
      <c r="E7" t="str">
        <f>"automation_"&amp;automation_categories[[#This Row],[Cat Short]]</f>
        <v>automation_rm-bd</v>
      </c>
      <c r="F7" t="str">
        <f>"Automation - "&amp;automation_categories[[#This Row],[Category]]</f>
        <v>Automation - Bedroom</v>
      </c>
      <c r="G7">
        <f>COUNTIF(automation_categories[Cat Short],"&lt;="&amp;automation_categories[[#This Row],[Cat Short]])</f>
        <v>5</v>
      </c>
      <c r="H7">
        <f>COUNTIF(automations[Category],automation_categories[[#This Row],[Category]])</f>
        <v>3</v>
      </c>
    </row>
    <row r="8" spans="2:8" x14ac:dyDescent="0.45">
      <c r="B8" t="s">
        <v>43</v>
      </c>
      <c r="C8" t="s">
        <v>27</v>
      </c>
      <c r="D8" t="str">
        <f t="shared" si="0"/>
        <v>living-room.yaml</v>
      </c>
      <c r="E8" t="str">
        <f>"automation_"&amp;automation_categories[[#This Row],[Cat Short]]</f>
        <v>automation_rm-lv</v>
      </c>
      <c r="F8" t="str">
        <f>"Automation - "&amp;automation_categories[[#This Row],[Category]]</f>
        <v>Automation - Living Room</v>
      </c>
      <c r="G8">
        <f>COUNTIF(automation_categories[Cat Short],"&lt;="&amp;automation_categories[[#This Row],[Cat Short]])</f>
        <v>6</v>
      </c>
      <c r="H8">
        <f>COUNTIF(automations[Category],automation_categories[[#This Row],[Category]])</f>
        <v>2</v>
      </c>
    </row>
    <row r="9" spans="2:8" x14ac:dyDescent="0.45">
      <c r="B9" t="s">
        <v>44</v>
      </c>
      <c r="C9" t="s">
        <v>33</v>
      </c>
      <c r="D9" t="str">
        <f t="shared" si="0"/>
        <v>living-room-tv.yaml</v>
      </c>
      <c r="E9" t="str">
        <f>"automation_"&amp;automation_categories[[#This Row],[Cat Short]]</f>
        <v>automation_rm-lv-tv</v>
      </c>
      <c r="F9" t="str">
        <f>"Automation - "&amp;automation_categories[[#This Row],[Category]]</f>
        <v>Automation - Living Room TV</v>
      </c>
      <c r="G9">
        <f>COUNTIF(automation_categories[Cat Short],"&lt;="&amp;automation_categories[[#This Row],[Cat Short]])</f>
        <v>7</v>
      </c>
      <c r="H9">
        <f>COUNTIF(automations[Category],automation_categories[[#This Row],[Category]])</f>
        <v>6</v>
      </c>
    </row>
    <row r="10" spans="2:8" x14ac:dyDescent="0.45">
      <c r="B10" t="s">
        <v>47</v>
      </c>
      <c r="C10" t="s">
        <v>31</v>
      </c>
      <c r="D10" t="str">
        <f t="shared" si="0"/>
        <v>friend-status.yaml</v>
      </c>
      <c r="E10" t="str">
        <f>"automation_"&amp;automation_categories[[#This Row],[Cat Short]]</f>
        <v>automation_stat-friend</v>
      </c>
      <c r="F10" t="str">
        <f>"Automation - "&amp;automation_categories[[#This Row],[Category]]</f>
        <v>Automation - Friend Status</v>
      </c>
      <c r="G10">
        <f>COUNTIF(automation_categories[Cat Short],"&lt;="&amp;automation_categories[[#This Row],[Cat Short]])</f>
        <v>8</v>
      </c>
      <c r="H10">
        <f>COUNTIF(automations[Category],automation_categories[[#This Row],[Category]])</f>
        <v>2</v>
      </c>
    </row>
    <row r="11" spans="2:8" x14ac:dyDescent="0.45">
      <c r="B11" t="s">
        <v>45</v>
      </c>
      <c r="C11" t="s">
        <v>32</v>
      </c>
      <c r="D11" t="str">
        <f t="shared" si="0"/>
        <v>ron-status.yaml</v>
      </c>
      <c r="E11" t="str">
        <f>"automation_"&amp;automation_categories[[#This Row],[Cat Short]]</f>
        <v>automation_stat-ron</v>
      </c>
      <c r="F11" t="str">
        <f>"Automation - "&amp;automation_categories[[#This Row],[Category]]</f>
        <v>Automation - Ron Status</v>
      </c>
      <c r="G11">
        <f>COUNTIF(automation_categories[Cat Short],"&lt;="&amp;automation_categories[[#This Row],[Cat Short]])</f>
        <v>9</v>
      </c>
      <c r="H11">
        <f>COUNTIF(automations[Category],automation_categories[[#This Row],[Category]])</f>
        <v>6</v>
      </c>
    </row>
    <row r="12" spans="2:8" x14ac:dyDescent="0.45">
      <c r="B12" t="s">
        <v>46</v>
      </c>
      <c r="C12" t="s">
        <v>34</v>
      </c>
      <c r="D12" t="str">
        <f t="shared" si="0"/>
        <v>vacation-status.yaml</v>
      </c>
      <c r="E12" t="str">
        <f>"automation_"&amp;automation_categories[[#This Row],[Cat Short]]</f>
        <v>automation_stat-vac</v>
      </c>
      <c r="F12" t="str">
        <f>"Automation - "&amp;automation_categories[[#This Row],[Category]]</f>
        <v>Automation - Vacation Status</v>
      </c>
      <c r="G12">
        <f>COUNTIF(automation_categories[Cat Short],"&lt;="&amp;automation_categories[[#This Row],[Cat Short]])</f>
        <v>10</v>
      </c>
      <c r="H12">
        <f>COUNTIF(automations[Category],automation_categories[[#This Row],[Category]])</f>
        <v>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3"/>
  <sheetViews>
    <sheetView workbookViewId="0"/>
  </sheetViews>
  <sheetFormatPr defaultRowHeight="14.25" x14ac:dyDescent="0.45"/>
  <cols>
    <col min="1" max="1" width="2.3984375" customWidth="1"/>
    <col min="2" max="2" width="14.73046875" bestFit="1" customWidth="1"/>
    <col min="3" max="3" width="42.73046875" bestFit="1" customWidth="1"/>
    <col min="4" max="4" width="42.73046875" customWidth="1"/>
    <col min="5" max="5" width="51.86328125" bestFit="1" customWidth="1"/>
    <col min="6" max="6" width="51.86328125" customWidth="1"/>
    <col min="7" max="7" width="9" bestFit="1" customWidth="1"/>
    <col min="8" max="8" width="9" customWidth="1"/>
    <col min="9" max="9" width="12.265625" bestFit="1" customWidth="1"/>
    <col min="10" max="10" width="12.265625" customWidth="1"/>
  </cols>
  <sheetData>
    <row r="1" spans="1:10" ht="21" x14ac:dyDescent="0.65">
      <c r="A1" s="1" t="s">
        <v>0</v>
      </c>
    </row>
    <row r="3" spans="1:10" x14ac:dyDescent="0.45">
      <c r="B3" s="2" t="s">
        <v>38</v>
      </c>
      <c r="C3" s="2" t="s">
        <v>1</v>
      </c>
      <c r="D3" t="s">
        <v>380</v>
      </c>
      <c r="E3" t="s">
        <v>6</v>
      </c>
      <c r="F3" t="s">
        <v>61</v>
      </c>
      <c r="G3" t="s">
        <v>59</v>
      </c>
      <c r="H3" t="s">
        <v>58</v>
      </c>
      <c r="I3" t="s">
        <v>60</v>
      </c>
      <c r="J3" t="s">
        <v>69</v>
      </c>
    </row>
    <row r="4" spans="1:10" x14ac:dyDescent="0.45">
      <c r="B4" t="s">
        <v>36</v>
      </c>
      <c r="C4" t="s">
        <v>26</v>
      </c>
      <c r="D4" t="str">
        <f>IF(COUNTIFS(Table4[domain],"automation",Table4[object_id],automations[[#This Row],[alias]]),"OK","Error")</f>
        <v>OK</v>
      </c>
      <c r="E4" t="str">
        <f>SUBSTITUTE(INDEX(automation_categories[Cat Short],MATCH(automations[[#This Row],[Category]],automation_categories[Category],0))&amp;"_"&amp;LOWER(SUBSTITUTE(automations[[#This Row],[name]]," ","_")),"-","")</f>
        <v>almclk_wake_up_script_triggered_by_alarm_clock</v>
      </c>
      <c r="F4" t="str">
        <f>INDEX(automation_categories[Cat Short],MATCH(automations[[#This Row],[Category]],automation_categories[Category],0))</f>
        <v>almclk</v>
      </c>
      <c r="G4">
        <f>COUNTIF(automations[alias],"&lt;="&amp;automations[[#This Row],[alias]])</f>
        <v>1</v>
      </c>
      <c r="H4">
        <f>INDEX(automation_categories[Cat '#],MATCH(automations[[#This Row],[Category]],automation_categories[Category],0))</f>
        <v>2</v>
      </c>
      <c r="I4">
        <f>COUNTIFS(automations[alias],"&lt;="&amp;automations[[#This Row],[alias]],automations[Short Cat],automations[[#This Row],[Short Cat]])</f>
        <v>1</v>
      </c>
      <c r="J4" s="6" t="str">
        <f>automations[[#This Row],[Cat '#]]&amp;"-"&amp;automations[[#This Row],[Cat Auto '#]]</f>
        <v>2-1</v>
      </c>
    </row>
    <row r="5" spans="1:10" x14ac:dyDescent="0.45">
      <c r="B5" t="s">
        <v>49</v>
      </c>
      <c r="C5" t="s">
        <v>22</v>
      </c>
      <c r="D5" t="str">
        <f>IF(COUNTIFS(Table4[domain],"automation",Table4[object_id],automations[[#This Row],[alias]]),"OK","Error")</f>
        <v>OK</v>
      </c>
      <c r="E5" t="str">
        <f>SUBSTITUTE(INDEX(automation_categories[Cat Short],MATCH(automations[[#This Row],[Category]],automation_categories[Category],0))&amp;"_"&amp;LOWER(SUBSTITUTE(automations[[#This Row],[name]]," ","_")),"-","")</f>
        <v>not_speed_test_record</v>
      </c>
      <c r="F5" t="str">
        <f>INDEX(automation_categories[Cat Short],MATCH(automations[[#This Row],[Category]],automation_categories[Category],0))</f>
        <v>not</v>
      </c>
      <c r="G5">
        <f>COUNTIF(automations[alias],"&lt;="&amp;automations[[#This Row],[alias]])</f>
        <v>8</v>
      </c>
      <c r="H5">
        <f>INDEX(automation_categories[Cat '#],MATCH(automations[[#This Row],[Category]],automation_categories[Category],0))</f>
        <v>4</v>
      </c>
      <c r="I5">
        <f>COUNTIFS(automations[alias],"&lt;="&amp;automations[[#This Row],[alias]],automations[Short Cat],automations[[#This Row],[Short Cat]])</f>
        <v>4</v>
      </c>
      <c r="J5" s="6" t="str">
        <f>automations[[#This Row],[Cat '#]]&amp;"-"&amp;automations[[#This Row],[Cat Auto '#]]</f>
        <v>4-4</v>
      </c>
    </row>
    <row r="6" spans="1:10" x14ac:dyDescent="0.45">
      <c r="B6" t="s">
        <v>48</v>
      </c>
      <c r="C6" t="s">
        <v>12</v>
      </c>
      <c r="D6" t="str">
        <f>IF(COUNTIFS(Table4[domain],"automation",Table4[object_id],automations[[#This Row],[alias]]),"OK","Error")</f>
        <v>OK</v>
      </c>
      <c r="E6" t="str">
        <f>SUBSTITUTE(INDEX(automation_categories[Cat Short],MATCH(automations[[#This Row],[Category]],automation_categories[Category],0))&amp;"_"&amp;LOWER(SUBSTITUTE(automations[[#This Row],[name]]," ","_")),"-","")</f>
        <v>locaway_devices_in_bedroom_off_when_at_the_computer</v>
      </c>
      <c r="F6" t="str">
        <f>INDEX(automation_categories[Cat Short],MATCH(automations[[#This Row],[Category]],automation_categories[Category],0))</f>
        <v>loc-away</v>
      </c>
      <c r="G6">
        <f>COUNTIF(automations[alias],"&lt;="&amp;automations[[#This Row],[alias]])</f>
        <v>2</v>
      </c>
      <c r="H6">
        <f>INDEX(automation_categories[Cat '#],MATCH(automations[[#This Row],[Category]],automation_categories[Category],0))</f>
        <v>3</v>
      </c>
      <c r="I6">
        <f>COUNTIFS(automations[alias],"&lt;="&amp;automations[[#This Row],[alias]],automations[Short Cat],automations[[#This Row],[Short Cat]])</f>
        <v>1</v>
      </c>
      <c r="J6" s="6" t="str">
        <f>automations[[#This Row],[Cat '#]]&amp;"-"&amp;automations[[#This Row],[Cat Auto '#]]</f>
        <v>3-1</v>
      </c>
    </row>
    <row r="7" spans="1:10" x14ac:dyDescent="0.45">
      <c r="B7" t="s">
        <v>48</v>
      </c>
      <c r="C7" t="s">
        <v>13</v>
      </c>
      <c r="D7" t="str">
        <f>IF(COUNTIFS(Table4[domain],"automation",Table4[object_id],automations[[#This Row],[alias]]),"OK","Error")</f>
        <v>OK</v>
      </c>
      <c r="E7" t="str">
        <f>SUBSTITUTE(INDEX(automation_categories[Cat Short],MATCH(automations[[#This Row],[Category]],automation_categories[Category],0))&amp;"_"&amp;LOWER(SUBSTITUTE(automations[[#This Row],[name]]," ","_")),"-","")</f>
        <v>locaway_devices_off_when_away</v>
      </c>
      <c r="F7" t="str">
        <f>INDEX(automation_categories[Cat Short],MATCH(automations[[#This Row],[Category]],automation_categories[Category],0))</f>
        <v>loc-away</v>
      </c>
      <c r="G7">
        <f>COUNTIF(automations[alias],"&lt;="&amp;automations[[#This Row],[alias]])</f>
        <v>3</v>
      </c>
      <c r="H7">
        <f>INDEX(automation_categories[Cat '#],MATCH(automations[[#This Row],[Category]],automation_categories[Category],0))</f>
        <v>3</v>
      </c>
      <c r="I7">
        <f>COUNTIFS(automations[alias],"&lt;="&amp;automations[[#This Row],[alias]],automations[Short Cat],automations[[#This Row],[Short Cat]])</f>
        <v>2</v>
      </c>
      <c r="J7" s="6" t="str">
        <f>automations[[#This Row],[Cat '#]]&amp;"-"&amp;automations[[#This Row],[Cat Auto '#]]</f>
        <v>3-2</v>
      </c>
    </row>
    <row r="8" spans="1:10" x14ac:dyDescent="0.45">
      <c r="B8" t="s">
        <v>48</v>
      </c>
      <c r="C8" t="s">
        <v>14</v>
      </c>
      <c r="D8" t="str">
        <f>IF(COUNTIFS(Table4[domain],"automation",Table4[object_id],automations[[#This Row],[alias]]),"OK","Error")</f>
        <v>OK</v>
      </c>
      <c r="E8" t="str">
        <f>SUBSTITUTE(INDEX(automation_categories[Cat Short],MATCH(automations[[#This Row],[Category]],automation_categories[Category],0))&amp;"_"&amp;LOWER(SUBSTITUTE(automations[[#This Row],[name]]," ","_")),"-","")</f>
        <v>locaway_devices_on_desk_off_when_leave_the_computer</v>
      </c>
      <c r="F8" t="str">
        <f>INDEX(automation_categories[Cat Short],MATCH(automations[[#This Row],[Category]],automation_categories[Category],0))</f>
        <v>loc-away</v>
      </c>
      <c r="G8">
        <f>COUNTIF(automations[alias],"&lt;="&amp;automations[[#This Row],[alias]])</f>
        <v>4</v>
      </c>
      <c r="H8">
        <f>INDEX(automation_categories[Cat '#],MATCH(automations[[#This Row],[Category]],automation_categories[Category],0))</f>
        <v>3</v>
      </c>
      <c r="I8">
        <f>COUNTIFS(automations[alias],"&lt;="&amp;automations[[#This Row],[alias]],automations[Short Cat],automations[[#This Row],[Short Cat]])</f>
        <v>3</v>
      </c>
      <c r="J8" s="6" t="str">
        <f>automations[[#This Row],[Cat '#]]&amp;"-"&amp;automations[[#This Row],[Cat Auto '#]]</f>
        <v>3-3</v>
      </c>
    </row>
    <row r="9" spans="1:10" x14ac:dyDescent="0.45">
      <c r="B9" t="s">
        <v>49</v>
      </c>
      <c r="C9" t="s">
        <v>18</v>
      </c>
      <c r="D9" t="str">
        <f>IF(COUNTIFS(Table4[domain],"automation",Table4[object_id],automations[[#This Row],[alias]]),"OK","Error")</f>
        <v>OK</v>
      </c>
      <c r="E9" t="str">
        <f>SUBSTITUTE(INDEX(automation_categories[Cat Short],MATCH(automations[[#This Row],[Category]],automation_categories[Category],0))&amp;"_"&amp;LOWER(SUBSTITUTE(automations[[#This Row],[name]]," ","_")),"-","")</f>
        <v>not_notification_when_multisensor_battery_is_low</v>
      </c>
      <c r="F9" t="str">
        <f>INDEX(automation_categories[Cat Short],MATCH(automations[[#This Row],[Category]],automation_categories[Category],0))</f>
        <v>not</v>
      </c>
      <c r="G9">
        <f>COUNTIF(automations[alias],"&lt;="&amp;automations[[#This Row],[alias]])</f>
        <v>6</v>
      </c>
      <c r="H9">
        <f>INDEX(automation_categories[Cat '#],MATCH(automations[[#This Row],[Category]],automation_categories[Category],0))</f>
        <v>4</v>
      </c>
      <c r="I9">
        <f>COUNTIFS(automations[alias],"&lt;="&amp;automations[[#This Row],[alias]],automations[Short Cat],automations[[#This Row],[Short Cat]])</f>
        <v>2</v>
      </c>
      <c r="J9" s="6" t="str">
        <f>automations[[#This Row],[Cat '#]]&amp;"-"&amp;automations[[#This Row],[Cat Auto '#]]</f>
        <v>4-2</v>
      </c>
    </row>
    <row r="10" spans="1:10" x14ac:dyDescent="0.45">
      <c r="B10" t="s">
        <v>49</v>
      </c>
      <c r="C10" t="s">
        <v>19</v>
      </c>
      <c r="D10" t="str">
        <f>IF(COUNTIFS(Table4[domain],"automation",Table4[object_id],automations[[#This Row],[alias]]),"OK","Error")</f>
        <v>OK</v>
      </c>
      <c r="E10" t="str">
        <f>SUBSTITUTE(INDEX(automation_categories[Cat Short],MATCH(automations[[#This Row],[Category]],automation_categories[Category],0))&amp;"_"&amp;LOWER(SUBSTITUTE(automations[[#This Row],[name]]," ","_")),"-","")</f>
        <v>not_notification_when_tank_turns_off</v>
      </c>
      <c r="F10" t="str">
        <f>INDEX(automation_categories[Cat Short],MATCH(automations[[#This Row],[Category]],automation_categories[Category],0))</f>
        <v>not</v>
      </c>
      <c r="G10">
        <f>COUNTIF(automations[alias],"&lt;="&amp;automations[[#This Row],[alias]])</f>
        <v>7</v>
      </c>
      <c r="H10">
        <f>INDEX(automation_categories[Cat '#],MATCH(automations[[#This Row],[Category]],automation_categories[Category],0))</f>
        <v>4</v>
      </c>
      <c r="I10">
        <f>COUNTIFS(automations[alias],"&lt;="&amp;automations[[#This Row],[alias]],automations[Short Cat],automations[[#This Row],[Short Cat]])</f>
        <v>3</v>
      </c>
      <c r="J10" s="6" t="str">
        <f>automations[[#This Row],[Cat '#]]&amp;"-"&amp;automations[[#This Row],[Cat Auto '#]]</f>
        <v>4-3</v>
      </c>
    </row>
    <row r="11" spans="1:10" x14ac:dyDescent="0.45">
      <c r="B11" t="s">
        <v>49</v>
      </c>
      <c r="C11" t="s">
        <v>845</v>
      </c>
      <c r="D11" s="6" t="str">
        <f>IF(COUNTIFS(Table4[domain],"automation",Table4[object_id],automations[[#This Row],[alias]]),"OK","Error")</f>
        <v>OK</v>
      </c>
      <c r="E11" s="6" t="str">
        <f>SUBSTITUTE(INDEX(automation_categories[Cat Short],MATCH(automations[[#This Row],[Category]],automation_categories[Category],0))&amp;"_"&amp;LOWER(SUBSTITUTE(automations[[#This Row],[name]]," ","_")),"-","")</f>
        <v>not_notification_when_humvee_left_on</v>
      </c>
      <c r="F11" s="6" t="str">
        <f>INDEX(automation_categories[Cat Short],MATCH(automations[[#This Row],[Category]],automation_categories[Category],0))</f>
        <v>not</v>
      </c>
      <c r="G11" s="6">
        <f>COUNTIF(automations[alias],"&lt;="&amp;automations[[#This Row],[alias]])</f>
        <v>5</v>
      </c>
      <c r="H11" s="6">
        <f>INDEX(automation_categories[Cat '#],MATCH(automations[[#This Row],[Category]],automation_categories[Category],0))</f>
        <v>4</v>
      </c>
      <c r="I11" s="6">
        <f>COUNTIFS(automations[alias],"&lt;="&amp;automations[[#This Row],[alias]],automations[Short Cat],automations[[#This Row],[Short Cat]])</f>
        <v>1</v>
      </c>
      <c r="J11" s="6" t="str">
        <f>automations[[#This Row],[Cat '#]]&amp;"-"&amp;automations[[#This Row],[Cat Auto '#]]</f>
        <v>4-1</v>
      </c>
    </row>
    <row r="12" spans="1:10" x14ac:dyDescent="0.45">
      <c r="B12" t="s">
        <v>42</v>
      </c>
      <c r="C12" t="s">
        <v>15</v>
      </c>
      <c r="D12" t="str">
        <f>IF(COUNTIFS(Table4[domain],"automation",Table4[object_id],automations[[#This Row],[alias]]),"OK","Error")</f>
        <v>OK</v>
      </c>
      <c r="E12" t="str">
        <f>SUBSTITUTE(INDEX(automation_categories[Cat Short],MATCH(automations[[#This Row],[Category]],automation_categories[Category],0))&amp;"_"&amp;LOWER(SUBSTITUTE(automations[[#This Row],[name]]," ","_")),"-","")</f>
        <v>rmbd_fan_off_at_12_pm</v>
      </c>
      <c r="F12" t="str">
        <f>INDEX(automation_categories[Cat Short],MATCH(automations[[#This Row],[Category]],automation_categories[Category],0))</f>
        <v>rm-bd</v>
      </c>
      <c r="G12">
        <f>COUNTIF(automations[alias],"&lt;="&amp;automations[[#This Row],[alias]])</f>
        <v>9</v>
      </c>
      <c r="H12">
        <f>INDEX(automation_categories[Cat '#],MATCH(automations[[#This Row],[Category]],automation_categories[Category],0))</f>
        <v>5</v>
      </c>
      <c r="I12">
        <f>COUNTIFS(automations[alias],"&lt;="&amp;automations[[#This Row],[alias]],automations[Short Cat],automations[[#This Row],[Short Cat]])</f>
        <v>1</v>
      </c>
      <c r="J12" s="6" t="str">
        <f>automations[[#This Row],[Cat '#]]&amp;"-"&amp;automations[[#This Row],[Cat Auto '#]]</f>
        <v>5-1</v>
      </c>
    </row>
    <row r="13" spans="1:10" x14ac:dyDescent="0.45">
      <c r="B13" t="s">
        <v>42</v>
      </c>
      <c r="C13" t="s">
        <v>20</v>
      </c>
      <c r="D13" t="str">
        <f>IF(COUNTIFS(Table4[domain],"automation",Table4[object_id],automations[[#This Row],[alias]]),"OK","Error")</f>
        <v>OK</v>
      </c>
      <c r="E13" t="str">
        <f>SUBSTITUTE(INDEX(automation_categories[Cat Short],MATCH(automations[[#This Row],[Category]],automation_categories[Category],0))&amp;"_"&amp;LOWER(SUBSTITUTE(automations[[#This Row],[name]]," ","_")),"-","")</f>
        <v>rmbd_one_bulb_off_at_sunset</v>
      </c>
      <c r="F13" t="str">
        <f>INDEX(automation_categories[Cat Short],MATCH(automations[[#This Row],[Category]],automation_categories[Category],0))</f>
        <v>rm-bd</v>
      </c>
      <c r="G13">
        <f>COUNTIF(automations[alias],"&lt;="&amp;automations[[#This Row],[alias]])</f>
        <v>10</v>
      </c>
      <c r="H13">
        <f>INDEX(automation_categories[Cat '#],MATCH(automations[[#This Row],[Category]],automation_categories[Category],0))</f>
        <v>5</v>
      </c>
      <c r="I13">
        <f>COUNTIFS(automations[alias],"&lt;="&amp;automations[[#This Row],[alias]],automations[Short Cat],automations[[#This Row],[Short Cat]])</f>
        <v>2</v>
      </c>
      <c r="J13" s="6" t="str">
        <f>automations[[#This Row],[Cat '#]]&amp;"-"&amp;automations[[#This Row],[Cat Auto '#]]</f>
        <v>5-2</v>
      </c>
    </row>
    <row r="14" spans="1:10" x14ac:dyDescent="0.45">
      <c r="B14" t="s">
        <v>42</v>
      </c>
      <c r="C14" t="s">
        <v>21</v>
      </c>
      <c r="D14" t="str">
        <f>IF(COUNTIFS(Table4[domain],"automation",Table4[object_id],automations[[#This Row],[alias]]),"OK","Error")</f>
        <v>OK</v>
      </c>
      <c r="E14" t="str">
        <f>SUBSTITUTE(INDEX(automation_categories[Cat Short],MATCH(automations[[#This Row],[Category]],automation_categories[Category],0))&amp;"_"&amp;LOWER(SUBSTITUTE(automations[[#This Row],[name]]," ","_")),"-","")</f>
        <v>rmbd_one_bulb_on_with_switch_at_night</v>
      </c>
      <c r="F14" t="str">
        <f>INDEX(automation_categories[Cat Short],MATCH(automations[[#This Row],[Category]],automation_categories[Category],0))</f>
        <v>rm-bd</v>
      </c>
      <c r="G14">
        <f>COUNTIF(automations[alias],"&lt;="&amp;automations[[#This Row],[alias]])</f>
        <v>11</v>
      </c>
      <c r="H14">
        <f>INDEX(automation_categories[Cat '#],MATCH(automations[[#This Row],[Category]],automation_categories[Category],0))</f>
        <v>5</v>
      </c>
      <c r="I14">
        <f>COUNTIFS(automations[alias],"&lt;="&amp;automations[[#This Row],[alias]],automations[Short Cat],automations[[#This Row],[Short Cat]])</f>
        <v>3</v>
      </c>
      <c r="J14" s="6" t="str">
        <f>automations[[#This Row],[Cat '#]]&amp;"-"&amp;automations[[#This Row],[Cat Auto '#]]</f>
        <v>5-3</v>
      </c>
    </row>
    <row r="15" spans="1:10" x14ac:dyDescent="0.45">
      <c r="B15" t="s">
        <v>43</v>
      </c>
      <c r="C15" t="s">
        <v>9</v>
      </c>
      <c r="D15" t="str">
        <f>IF(COUNTIFS(Table4[domain],"automation",Table4[object_id],automations[[#This Row],[alias]]),"OK","Error")</f>
        <v>OK</v>
      </c>
      <c r="E15" t="str">
        <f>SUBSTITUTE(INDEX(automation_categories[Cat Short],MATCH(automations[[#This Row],[Category]],automation_categories[Category],0))&amp;"_"&amp;LOWER(SUBSTITUTE(automations[[#This Row],[name]]," ","_")),"-","")</f>
        <v>rmlv_amp_off_at_3_am</v>
      </c>
      <c r="F15" t="str">
        <f>INDEX(automation_categories[Cat Short],MATCH(automations[[#This Row],[Category]],automation_categories[Category],0))</f>
        <v>rm-lv</v>
      </c>
      <c r="G15">
        <f>COUNTIF(automations[alias],"&lt;="&amp;automations[[#This Row],[alias]])</f>
        <v>12</v>
      </c>
      <c r="H15">
        <f>INDEX(automation_categories[Cat '#],MATCH(automations[[#This Row],[Category]],automation_categories[Category],0))</f>
        <v>6</v>
      </c>
      <c r="I15">
        <f>COUNTIFS(automations[alias],"&lt;="&amp;automations[[#This Row],[alias]],automations[Short Cat],automations[[#This Row],[Short Cat]])</f>
        <v>1</v>
      </c>
      <c r="J15" s="6" t="str">
        <f>automations[[#This Row],[Cat '#]]&amp;"-"&amp;automations[[#This Row],[Cat Auto '#]]</f>
        <v>6-1</v>
      </c>
    </row>
    <row r="16" spans="1:10" x14ac:dyDescent="0.45">
      <c r="B16" t="s">
        <v>43</v>
      </c>
      <c r="C16" t="s">
        <v>10</v>
      </c>
      <c r="D16" t="str">
        <f>IF(COUNTIFS(Table4[domain],"automation",Table4[object_id],automations[[#This Row],[alias]]),"OK","Error")</f>
        <v>OK</v>
      </c>
      <c r="E16" t="str">
        <f>SUBSTITUTE(INDEX(automation_categories[Cat Short],MATCH(automations[[#This Row],[Category]],automation_categories[Category],0))&amp;"_"&amp;LOWER(SUBSTITUTE(automations[[#This Row],[name]]," ","_")),"-","")</f>
        <v>rmlv_amp_off_with_humvee</v>
      </c>
      <c r="F16" t="str">
        <f>INDEX(automation_categories[Cat Short],MATCH(automations[[#This Row],[Category]],automation_categories[Category],0))</f>
        <v>rm-lv</v>
      </c>
      <c r="G16">
        <f>COUNTIF(automations[alias],"&lt;="&amp;automations[[#This Row],[alias]])</f>
        <v>13</v>
      </c>
      <c r="H16">
        <f>INDEX(automation_categories[Cat '#],MATCH(automations[[#This Row],[Category]],automation_categories[Category],0))</f>
        <v>6</v>
      </c>
      <c r="I16">
        <f>COUNTIFS(automations[alias],"&lt;="&amp;automations[[#This Row],[alias]],automations[Short Cat],automations[[#This Row],[Short Cat]])</f>
        <v>2</v>
      </c>
      <c r="J16" s="6" t="str">
        <f>automations[[#This Row],[Cat '#]]&amp;"-"&amp;automations[[#This Row],[Cat Auto '#]]</f>
        <v>6-2</v>
      </c>
    </row>
    <row r="17" spans="2:10" x14ac:dyDescent="0.45">
      <c r="B17" t="s">
        <v>44</v>
      </c>
      <c r="C17" t="s">
        <v>11</v>
      </c>
      <c r="D17" t="str">
        <f>IF(COUNTIFS(Table4[domain],"automation",Table4[object_id],automations[[#This Row],[alias]]),"OK","Error")</f>
        <v>OK</v>
      </c>
      <c r="E17" t="str">
        <f>SUBSTITUTE(INDEX(automation_categories[Cat Short],MATCH(automations[[#This Row],[Category]],automation_categories[Category],0))&amp;"_"&amp;LOWER(SUBSTITUTE(automations[[#This Row],[name]]," ","_")),"-","")</f>
        <v>rmlvtv_chromecast_volume_to_4_on_start</v>
      </c>
      <c r="F17" t="str">
        <f>INDEX(automation_categories[Cat Short],MATCH(automations[[#This Row],[Category]],automation_categories[Category],0))</f>
        <v>rm-lv-tv</v>
      </c>
      <c r="G17">
        <f>COUNTIF(automations[alias],"&lt;="&amp;automations[[#This Row],[alias]])</f>
        <v>14</v>
      </c>
      <c r="H17">
        <f>INDEX(automation_categories[Cat '#],MATCH(automations[[#This Row],[Category]],automation_categories[Category],0))</f>
        <v>7</v>
      </c>
      <c r="I17">
        <f>COUNTIFS(automations[alias],"&lt;="&amp;automations[[#This Row],[alias]],automations[Short Cat],automations[[#This Row],[Short Cat]])</f>
        <v>1</v>
      </c>
      <c r="J17" s="6" t="str">
        <f>automations[[#This Row],[Cat '#]]&amp;"-"&amp;automations[[#This Row],[Cat Auto '#]]</f>
        <v>7-1</v>
      </c>
    </row>
    <row r="18" spans="2:10" x14ac:dyDescent="0.45">
      <c r="B18" t="s">
        <v>44</v>
      </c>
      <c r="C18" t="s">
        <v>792</v>
      </c>
      <c r="D18" t="str">
        <f>IF(COUNTIFS(Table4[domain],"automation",Table4[object_id],automations[[#This Row],[alias]]),"OK","Error")</f>
        <v>OK</v>
      </c>
      <c r="E18" t="str">
        <f>SUBSTITUTE(INDEX(automation_categories[Cat Short],MATCH(automations[[#This Row],[Category]],automation_categories[Category],0))&amp;"_"&amp;LOWER(SUBSTITUTE(automations[[#This Row],[name]]," ","_")),"-","")</f>
        <v>rmlvtv_tv_off_with_chromecast_from_playing</v>
      </c>
      <c r="F18" t="str">
        <f>INDEX(automation_categories[Cat Short],MATCH(automations[[#This Row],[Category]],automation_categories[Category],0))</f>
        <v>rm-lv-tv</v>
      </c>
      <c r="G18">
        <f>COUNTIF(automations[alias],"&lt;="&amp;automations[[#This Row],[alias]])</f>
        <v>18</v>
      </c>
      <c r="H18">
        <f>INDEX(automation_categories[Cat '#],MATCH(automations[[#This Row],[Category]],automation_categories[Category],0))</f>
        <v>7</v>
      </c>
      <c r="I18">
        <f>COUNTIFS(automations[alias],"&lt;="&amp;automations[[#This Row],[alias]],automations[Short Cat],automations[[#This Row],[Short Cat]])</f>
        <v>5</v>
      </c>
      <c r="J18" s="6" t="str">
        <f>automations[[#This Row],[Cat '#]]&amp;"-"&amp;automations[[#This Row],[Cat Auto '#]]</f>
        <v>7-5</v>
      </c>
    </row>
    <row r="19" spans="2:10" x14ac:dyDescent="0.45">
      <c r="B19" t="s">
        <v>44</v>
      </c>
      <c r="C19" t="s">
        <v>793</v>
      </c>
      <c r="D19" t="str">
        <f>IF(COUNTIFS(Table4[domain],"automation",Table4[object_id],automations[[#This Row],[alias]]),"OK","Error")</f>
        <v>OK</v>
      </c>
      <c r="E19" t="str">
        <f>SUBSTITUTE(INDEX(automation_categories[Cat Short],MATCH(automations[[#This Row],[Category]],automation_categories[Category],0))&amp;"_"&amp;LOWER(SUBSTITUTE(automations[[#This Row],[name]]," ","_")),"-","")</f>
        <v>rmlvtv_tv_off_with_chromecast_from_idle</v>
      </c>
      <c r="F19" t="str">
        <f>INDEX(automation_categories[Cat Short],MATCH(automations[[#This Row],[Category]],automation_categories[Category],0))</f>
        <v>rm-lv-tv</v>
      </c>
      <c r="G19">
        <f>COUNTIF(automations[alias],"&lt;="&amp;automations[[#This Row],[alias]])</f>
        <v>16</v>
      </c>
      <c r="H19">
        <f>INDEX(automation_categories[Cat '#],MATCH(automations[[#This Row],[Category]],automation_categories[Category],0))</f>
        <v>7</v>
      </c>
      <c r="I19">
        <f>COUNTIFS(automations[alias],"&lt;="&amp;automations[[#This Row],[alias]],automations[Short Cat],automations[[#This Row],[Short Cat]])</f>
        <v>3</v>
      </c>
      <c r="J19" s="6" t="str">
        <f>automations[[#This Row],[Cat '#]]&amp;"-"&amp;automations[[#This Row],[Cat Auto '#]]</f>
        <v>7-3</v>
      </c>
    </row>
    <row r="20" spans="2:10" x14ac:dyDescent="0.45">
      <c r="B20" t="s">
        <v>44</v>
      </c>
      <c r="C20" t="s">
        <v>794</v>
      </c>
      <c r="D20" t="str">
        <f>IF(COUNTIFS(Table4[domain],"automation",Table4[object_id],automations[[#This Row],[alias]]),"OK","Error")</f>
        <v>OK</v>
      </c>
      <c r="E20" t="str">
        <f>SUBSTITUTE(INDEX(automation_categories[Cat Short],MATCH(automations[[#This Row],[Category]],automation_categories[Category],0))&amp;"_"&amp;LOWER(SUBSTITUTE(automations[[#This Row],[name]]," ","_")),"-","")</f>
        <v>rmlvtv_tv_off_with_chromecast_from_paused</v>
      </c>
      <c r="F20" t="str">
        <f>INDEX(automation_categories[Cat Short],MATCH(automations[[#This Row],[Category]],automation_categories[Category],0))</f>
        <v>rm-lv-tv</v>
      </c>
      <c r="G20">
        <f>COUNTIF(automations[alias],"&lt;="&amp;automations[[#This Row],[alias]])</f>
        <v>17</v>
      </c>
      <c r="H20">
        <f>INDEX(automation_categories[Cat '#],MATCH(automations[[#This Row],[Category]],automation_categories[Category],0))</f>
        <v>7</v>
      </c>
      <c r="I20">
        <f>COUNTIFS(automations[alias],"&lt;="&amp;automations[[#This Row],[alias]],automations[Short Cat],automations[[#This Row],[Short Cat]])</f>
        <v>4</v>
      </c>
      <c r="J20" s="6" t="str">
        <f>automations[[#This Row],[Cat '#]]&amp;"-"&amp;automations[[#This Row],[Cat Auto '#]]</f>
        <v>7-4</v>
      </c>
    </row>
    <row r="21" spans="2:10" x14ac:dyDescent="0.45">
      <c r="B21" t="s">
        <v>44</v>
      </c>
      <c r="C21" t="s">
        <v>23</v>
      </c>
      <c r="D21" t="str">
        <f>IF(COUNTIFS(Table4[domain],"automation",Table4[object_id],automations[[#This Row],[alias]]),"OK","Error")</f>
        <v>OK</v>
      </c>
      <c r="E21" t="str">
        <f>SUBSTITUTE(INDEX(automation_categories[Cat Short],MATCH(automations[[#This Row],[Category]],automation_categories[Category],0))&amp;"_"&amp;LOWER(SUBSTITUTE(automations[[#This Row],[name]]," ","_")),"-","")</f>
        <v>rmlvtv_tv_on_with_chromecast</v>
      </c>
      <c r="F21" t="str">
        <f>INDEX(automation_categories[Cat Short],MATCH(automations[[#This Row],[Category]],automation_categories[Category],0))</f>
        <v>rm-lv-tv</v>
      </c>
      <c r="G21">
        <f>COUNTIF(automations[alias],"&lt;="&amp;automations[[#This Row],[alias]])</f>
        <v>19</v>
      </c>
      <c r="H21">
        <f>INDEX(automation_categories[Cat '#],MATCH(automations[[#This Row],[Category]],automation_categories[Category],0))</f>
        <v>7</v>
      </c>
      <c r="I21">
        <f>COUNTIFS(automations[alias],"&lt;="&amp;automations[[#This Row],[alias]],automations[Short Cat],automations[[#This Row],[Short Cat]])</f>
        <v>6</v>
      </c>
      <c r="J21" s="6" t="str">
        <f>automations[[#This Row],[Cat '#]]&amp;"-"&amp;automations[[#This Row],[Cat Auto '#]]</f>
        <v>7-6</v>
      </c>
    </row>
    <row r="22" spans="2:10" x14ac:dyDescent="0.45">
      <c r="B22" t="s">
        <v>44</v>
      </c>
      <c r="C22" t="s">
        <v>844</v>
      </c>
      <c r="D22" s="6" t="str">
        <f>IF(COUNTIFS(Table4[domain],"automation",Table4[object_id],automations[[#This Row],[alias]]),"OK","Error")</f>
        <v>OK</v>
      </c>
      <c r="E22" s="6" t="str">
        <f>SUBSTITUTE(INDEX(automation_categories[Cat Short],MATCH(automations[[#This Row],[Category]],automation_categories[Category],0))&amp;"_"&amp;LOWER(SUBSTITUTE(automations[[#This Row],[name]]," ","_")),"-","")</f>
        <v>rmlvtv_turn_off_tv_if_chromecast_off</v>
      </c>
      <c r="F22" s="6" t="str">
        <f>INDEX(automation_categories[Cat Short],MATCH(automations[[#This Row],[Category]],automation_categories[Category],0))</f>
        <v>rm-lv-tv</v>
      </c>
      <c r="G22" s="6">
        <f>COUNTIF(automations[alias],"&lt;="&amp;automations[[#This Row],[alias]])</f>
        <v>15</v>
      </c>
      <c r="H22" s="6">
        <f>INDEX(automation_categories[Cat '#],MATCH(automations[[#This Row],[Category]],automation_categories[Category],0))</f>
        <v>7</v>
      </c>
      <c r="I22" s="6">
        <f>COUNTIFS(automations[alias],"&lt;="&amp;automations[[#This Row],[alias]],automations[Short Cat],automations[[#This Row],[Short Cat]])</f>
        <v>2</v>
      </c>
      <c r="J22" s="6" t="str">
        <f>automations[[#This Row],[Cat '#]]&amp;"-"&amp;automations[[#This Row],[Cat Auto '#]]</f>
        <v>7-2</v>
      </c>
    </row>
    <row r="23" spans="2:10" x14ac:dyDescent="0.45">
      <c r="B23" t="s">
        <v>47</v>
      </c>
      <c r="C23" t="s">
        <v>16</v>
      </c>
      <c r="D23" t="str">
        <f>IF(COUNTIFS(Table4[domain],"automation",Table4[object_id],automations[[#This Row],[alias]]),"OK","Error")</f>
        <v>OK</v>
      </c>
      <c r="E23" t="str">
        <f>SUBSTITUTE(INDEX(automation_categories[Cat Short],MATCH(automations[[#This Row],[Category]],automation_categories[Category],0))&amp;"_"&amp;LOWER(SUBSTITUTE(automations[[#This Row],[name]]," ","_")),"-","")</f>
        <v>statfriend_friend_visiting_off_from_device_tracker</v>
      </c>
      <c r="F23" t="str">
        <f>INDEX(automation_categories[Cat Short],MATCH(automations[[#This Row],[Category]],automation_categories[Category],0))</f>
        <v>stat-friend</v>
      </c>
      <c r="G23">
        <f>COUNTIF(automations[alias],"&lt;="&amp;automations[[#This Row],[alias]])</f>
        <v>20</v>
      </c>
      <c r="H23">
        <f>INDEX(automation_categories[Cat '#],MATCH(automations[[#This Row],[Category]],automation_categories[Category],0))</f>
        <v>8</v>
      </c>
      <c r="I23">
        <f>COUNTIFS(automations[alias],"&lt;="&amp;automations[[#This Row],[alias]],automations[Short Cat],automations[[#This Row],[Short Cat]])</f>
        <v>1</v>
      </c>
      <c r="J23" s="6" t="str">
        <f>automations[[#This Row],[Cat '#]]&amp;"-"&amp;automations[[#This Row],[Cat Auto '#]]</f>
        <v>8-1</v>
      </c>
    </row>
    <row r="24" spans="2:10" x14ac:dyDescent="0.45">
      <c r="B24" t="s">
        <v>47</v>
      </c>
      <c r="C24" t="s">
        <v>17</v>
      </c>
      <c r="D24" t="str">
        <f>IF(COUNTIFS(Table4[domain],"automation",Table4[object_id],automations[[#This Row],[alias]]),"OK","Error")</f>
        <v>OK</v>
      </c>
      <c r="E24" t="str">
        <f>SUBSTITUTE(INDEX(automation_categories[Cat Short],MATCH(automations[[#This Row],[Category]],automation_categories[Category],0))&amp;"_"&amp;LOWER(SUBSTITUTE(automations[[#This Row],[name]]," ","_")),"-","")</f>
        <v>statfriend_friend_visiting_on_from_device_tracker</v>
      </c>
      <c r="F24" t="str">
        <f>INDEX(automation_categories[Cat Short],MATCH(automations[[#This Row],[Category]],automation_categories[Category],0))</f>
        <v>stat-friend</v>
      </c>
      <c r="G24">
        <f>COUNTIF(automations[alias],"&lt;="&amp;automations[[#This Row],[alias]])</f>
        <v>21</v>
      </c>
      <c r="H24">
        <f>INDEX(automation_categories[Cat '#],MATCH(automations[[#This Row],[Category]],automation_categories[Category],0))</f>
        <v>8</v>
      </c>
      <c r="I24">
        <f>COUNTIFS(automations[alias],"&lt;="&amp;automations[[#This Row],[alias]],automations[Short Cat],automations[[#This Row],[Short Cat]])</f>
        <v>2</v>
      </c>
      <c r="J24" s="6" t="str">
        <f>automations[[#This Row],[Cat '#]]&amp;"-"&amp;automations[[#This Row],[Cat Auto '#]]</f>
        <v>8-2</v>
      </c>
    </row>
    <row r="25" spans="2:10" x14ac:dyDescent="0.45">
      <c r="B25" t="s">
        <v>45</v>
      </c>
      <c r="C25" t="s">
        <v>3</v>
      </c>
      <c r="D25" t="str">
        <f>IF(COUNTIFS(Table4[domain],"automation",Table4[object_id],automations[[#This Row],[alias]]),"OK","Error")</f>
        <v>OK</v>
      </c>
      <c r="E25" t="str">
        <f>SUBSTITUTE(INDEX(automation_categories[Cat Short],MATCH(automations[[#This Row],[Category]],automation_categories[Category],0))&amp;"_"&amp;LOWER(SUBSTITUTE(automations[[#This Row],[name]]," ","_")),"-","")</f>
        <v>statron_away_status_from_device_tracker</v>
      </c>
      <c r="F25" t="str">
        <f>INDEX(automation_categories[Cat Short],MATCH(automations[[#This Row],[Category]],automation_categories[Category],0))</f>
        <v>stat-ron</v>
      </c>
      <c r="G25">
        <f>COUNTIF(automations[alias],"&lt;="&amp;automations[[#This Row],[alias]])</f>
        <v>22</v>
      </c>
      <c r="H25">
        <f>INDEX(automation_categories[Cat '#],MATCH(automations[[#This Row],[Category]],automation_categories[Category],0))</f>
        <v>9</v>
      </c>
      <c r="I25">
        <f>COUNTIFS(automations[alias],"&lt;="&amp;automations[[#This Row],[alias]],automations[Short Cat],automations[[#This Row],[Short Cat]])</f>
        <v>1</v>
      </c>
      <c r="J25" s="6" t="str">
        <f>automations[[#This Row],[Cat '#]]&amp;"-"&amp;automations[[#This Row],[Cat Auto '#]]</f>
        <v>9-1</v>
      </c>
    </row>
    <row r="26" spans="2:10" x14ac:dyDescent="0.45">
      <c r="B26" t="s">
        <v>45</v>
      </c>
      <c r="C26" t="s">
        <v>4</v>
      </c>
      <c r="D26" t="str">
        <f>IF(COUNTIFS(Table4[domain],"automation",Table4[object_id],automations[[#This Row],[alias]]),"OK","Error")</f>
        <v>OK</v>
      </c>
      <c r="E26" t="str">
        <f>SUBSTITUTE(INDEX(automation_categories[Cat Short],MATCH(automations[[#This Row],[Category]],automation_categories[Category],0))&amp;"_"&amp;LOWER(SUBSTITUTE(automations[[#This Row],[name]]," ","_")),"-","")</f>
        <v>statron_computer_status_from_monitor_status</v>
      </c>
      <c r="F26" t="str">
        <f>INDEX(automation_categories[Cat Short],MATCH(automations[[#This Row],[Category]],automation_categories[Category],0))</f>
        <v>stat-ron</v>
      </c>
      <c r="G26">
        <f>COUNTIF(automations[alias],"&lt;="&amp;automations[[#This Row],[alias]])</f>
        <v>23</v>
      </c>
      <c r="H26">
        <f>INDEX(automation_categories[Cat '#],MATCH(automations[[#This Row],[Category]],automation_categories[Category],0))</f>
        <v>9</v>
      </c>
      <c r="I26">
        <f>COUNTIFS(automations[alias],"&lt;="&amp;automations[[#This Row],[alias]],automations[Short Cat],automations[[#This Row],[Short Cat]])</f>
        <v>2</v>
      </c>
      <c r="J26" s="6" t="str">
        <f>automations[[#This Row],[Cat '#]]&amp;"-"&amp;automations[[#This Row],[Cat Auto '#]]</f>
        <v>9-2</v>
      </c>
    </row>
    <row r="27" spans="2:10" x14ac:dyDescent="0.45">
      <c r="B27" t="s">
        <v>45</v>
      </c>
      <c r="C27" t="s">
        <v>2</v>
      </c>
      <c r="D27" t="str">
        <f>IF(COUNTIFS(Table4[domain],"automation",Table4[object_id],automations[[#This Row],[alias]]),"OK","Error")</f>
        <v>OK</v>
      </c>
      <c r="E27" t="str">
        <f>SUBSTITUTE(INDEX(automation_categories[Cat Short],MATCH(automations[[#This Row],[Category]],automation_categories[Category],0))&amp;"_"&amp;LOWER(SUBSTITUTE(automations[[#This Row],[name]]," ","_")),"-","")</f>
        <v>statron_home_status_from_device_tracker</v>
      </c>
      <c r="F27" t="str">
        <f>INDEX(automation_categories[Cat Short],MATCH(automations[[#This Row],[Category]],automation_categories[Category],0))</f>
        <v>stat-ron</v>
      </c>
      <c r="G27">
        <f>COUNTIF(automations[alias],"&lt;="&amp;automations[[#This Row],[alias]])</f>
        <v>24</v>
      </c>
      <c r="H27">
        <f>INDEX(automation_categories[Cat '#],MATCH(automations[[#This Row],[Category]],automation_categories[Category],0))</f>
        <v>9</v>
      </c>
      <c r="I27">
        <f>COUNTIFS(automations[alias],"&lt;="&amp;automations[[#This Row],[alias]],automations[Short Cat],automations[[#This Row],[Short Cat]])</f>
        <v>3</v>
      </c>
      <c r="J27" s="6" t="str">
        <f>automations[[#This Row],[Cat '#]]&amp;"-"&amp;automations[[#This Row],[Cat Auto '#]]</f>
        <v>9-3</v>
      </c>
    </row>
    <row r="28" spans="2:10" x14ac:dyDescent="0.45">
      <c r="B28" t="s">
        <v>45</v>
      </c>
      <c r="C28" t="s">
        <v>5</v>
      </c>
      <c r="D28" t="str">
        <f>IF(COUNTIFS(Table4[domain],"automation",Table4[object_id],automations[[#This Row],[alias]]),"OK","Error")</f>
        <v>OK</v>
      </c>
      <c r="E28" t="str">
        <f>SUBSTITUTE(INDEX(automation_categories[Cat Short],MATCH(automations[[#This Row],[Category]],automation_categories[Category],0))&amp;"_"&amp;LOWER(SUBSTITUTE(automations[[#This Row],[name]]," ","_")),"-","")</f>
        <v>statron_home_status_from_monitor_status</v>
      </c>
      <c r="F28" t="str">
        <f>INDEX(automation_categories[Cat Short],MATCH(automations[[#This Row],[Category]],automation_categories[Category],0))</f>
        <v>stat-ron</v>
      </c>
      <c r="G28">
        <f>COUNTIF(automations[alias],"&lt;="&amp;automations[[#This Row],[alias]])</f>
        <v>25</v>
      </c>
      <c r="H28">
        <f>INDEX(automation_categories[Cat '#],MATCH(automations[[#This Row],[Category]],automation_categories[Category],0))</f>
        <v>9</v>
      </c>
      <c r="I28">
        <f>COUNTIFS(automations[alias],"&lt;="&amp;automations[[#This Row],[alias]],automations[Short Cat],automations[[#This Row],[Short Cat]])</f>
        <v>4</v>
      </c>
      <c r="J28" s="6" t="str">
        <f>automations[[#This Row],[Cat '#]]&amp;"-"&amp;automations[[#This Row],[Cat Auto '#]]</f>
        <v>9-4</v>
      </c>
    </row>
    <row r="29" spans="2:10" x14ac:dyDescent="0.45">
      <c r="B29" t="s">
        <v>45</v>
      </c>
      <c r="C29" t="s">
        <v>770</v>
      </c>
      <c r="D29" t="str">
        <f>IF(COUNTIFS(Table4[domain],"automation",Table4[object_id],automations[[#This Row],[alias]]),"OK","Error")</f>
        <v>OK</v>
      </c>
      <c r="E29" t="str">
        <f>SUBSTITUTE(INDEX(automation_categories[Cat Short],MATCH(automations[[#This Row],[Category]],automation_categories[Category],0))&amp;"_"&amp;LOWER(SUBSTITUTE(automations[[#This Row],[name]]," ","_")),"-","")</f>
        <v>statron_tv_status_from_chromecast</v>
      </c>
      <c r="F29" t="str">
        <f>INDEX(automation_categories[Cat Short],MATCH(automations[[#This Row],[Category]],automation_categories[Category],0))</f>
        <v>stat-ron</v>
      </c>
      <c r="G29">
        <f>COUNTIF(automations[alias],"&lt;="&amp;automations[[#This Row],[alias]])</f>
        <v>27</v>
      </c>
      <c r="H29">
        <f>INDEX(automation_categories[Cat '#],MATCH(automations[[#This Row],[Category]],automation_categories[Category],0))</f>
        <v>9</v>
      </c>
      <c r="I29">
        <f>COUNTIFS(automations[alias],"&lt;="&amp;automations[[#This Row],[alias]],automations[Short Cat],automations[[#This Row],[Short Cat]])</f>
        <v>6</v>
      </c>
      <c r="J29" s="6" t="str">
        <f>automations[[#This Row],[Cat '#]]&amp;"-"&amp;automations[[#This Row],[Cat Auto '#]]</f>
        <v>9-6</v>
      </c>
    </row>
    <row r="30" spans="2:10" x14ac:dyDescent="0.45">
      <c r="B30" t="s">
        <v>46</v>
      </c>
      <c r="C30" t="s">
        <v>24</v>
      </c>
      <c r="D30" t="str">
        <f>IF(COUNTIFS(Table4[domain],"automation",Table4[object_id],automations[[#This Row],[alias]]),"OK","Error")</f>
        <v>OK</v>
      </c>
      <c r="E30" t="str">
        <f>SUBSTITUTE(INDEX(automation_categories[Cat Short],MATCH(automations[[#This Row],[Category]],automation_categories[Category],0))&amp;"_"&amp;LOWER(SUBSTITUTE(automations[[#This Row],[name]]," ","_")),"-","")</f>
        <v>statvac_vacation_mode_off_when_home</v>
      </c>
      <c r="F30" t="str">
        <f>INDEX(automation_categories[Cat Short],MATCH(automations[[#This Row],[Category]],automation_categories[Category],0))</f>
        <v>stat-vac</v>
      </c>
      <c r="G30">
        <f>COUNTIF(automations[alias],"&lt;="&amp;automations[[#This Row],[alias]])</f>
        <v>29</v>
      </c>
      <c r="H30">
        <f>INDEX(automation_categories[Cat '#],MATCH(automations[[#This Row],[Category]],automation_categories[Category],0))</f>
        <v>10</v>
      </c>
      <c r="I30">
        <f>COUNTIFS(automations[alias],"&lt;="&amp;automations[[#This Row],[alias]],automations[Short Cat],automations[[#This Row],[Short Cat]])</f>
        <v>2</v>
      </c>
      <c r="J30" s="6" t="str">
        <f>automations[[#This Row],[Cat '#]]&amp;"-"&amp;automations[[#This Row],[Cat Auto '#]]</f>
        <v>10-2</v>
      </c>
    </row>
    <row r="31" spans="2:10" x14ac:dyDescent="0.45">
      <c r="B31" t="s">
        <v>46</v>
      </c>
      <c r="C31" t="s">
        <v>25</v>
      </c>
      <c r="D31" t="str">
        <f>IF(COUNTIFS(Table4[domain],"automation",Table4[object_id],automations[[#This Row],[alias]]),"OK","Error")</f>
        <v>OK</v>
      </c>
      <c r="E31" t="str">
        <f>SUBSTITUTE(INDEX(automation_categories[Cat Short],MATCH(automations[[#This Row],[Category]],automation_categories[Category],0))&amp;"_"&amp;LOWER(SUBSTITUTE(automations[[#This Row],[name]]," ","_")),"-","")</f>
        <v>statvac_vacation_mode_on_when_gone_24_hours</v>
      </c>
      <c r="F31" t="str">
        <f>INDEX(automation_categories[Cat Short],MATCH(automations[[#This Row],[Category]],automation_categories[Category],0))</f>
        <v>stat-vac</v>
      </c>
      <c r="G31">
        <f>COUNTIF(automations[alias],"&lt;="&amp;automations[[#This Row],[alias]])</f>
        <v>30</v>
      </c>
      <c r="H31">
        <f>INDEX(automation_categories[Cat '#],MATCH(automations[[#This Row],[Category]],automation_categories[Category],0))</f>
        <v>10</v>
      </c>
      <c r="I31">
        <f>COUNTIFS(automations[alias],"&lt;="&amp;automations[[#This Row],[alias]],automations[Short Cat],automations[[#This Row],[Short Cat]])</f>
        <v>3</v>
      </c>
      <c r="J31" s="6" t="str">
        <f>automations[[#This Row],[Cat '#]]&amp;"-"&amp;automations[[#This Row],[Cat Auto '#]]</f>
        <v>10-3</v>
      </c>
    </row>
    <row r="32" spans="2:10" x14ac:dyDescent="0.45">
      <c r="B32" t="s">
        <v>45</v>
      </c>
      <c r="C32" t="s">
        <v>770</v>
      </c>
      <c r="D32" s="6" t="str">
        <f>IF(COUNTIFS(Table4[domain],"automation",Table4[object_id],automations[[#This Row],[alias]]),"OK","Error")</f>
        <v>OK</v>
      </c>
      <c r="E32" s="6" t="str">
        <f>SUBSTITUTE(INDEX(automation_categories[Cat Short],MATCH(automations[[#This Row],[Category]],automation_categories[Category],0))&amp;"_"&amp;LOWER(SUBSTITUTE(automations[[#This Row],[name]]," ","_")),"-","")</f>
        <v>statron_tv_status_from_chromecast</v>
      </c>
      <c r="F32" s="6" t="str">
        <f>INDEX(automation_categories[Cat Short],MATCH(automations[[#This Row],[Category]],automation_categories[Category],0))</f>
        <v>stat-ron</v>
      </c>
      <c r="G32" s="6">
        <f>COUNTIF(automations[alias],"&lt;="&amp;automations[[#This Row],[alias]])</f>
        <v>27</v>
      </c>
      <c r="H32" s="6">
        <f>INDEX(automation_categories[Cat '#],MATCH(automations[[#This Row],[Category]],automation_categories[Category],0))</f>
        <v>9</v>
      </c>
      <c r="I32" s="6">
        <f>COUNTIFS(automations[alias],"&lt;="&amp;automations[[#This Row],[alias]],automations[Short Cat],automations[[#This Row],[Short Cat]])</f>
        <v>6</v>
      </c>
      <c r="J32" s="6" t="str">
        <f>automations[[#This Row],[Cat '#]]&amp;"-"&amp;automations[[#This Row],[Cat Auto '#]]</f>
        <v>9-6</v>
      </c>
    </row>
    <row r="33" spans="2:10" x14ac:dyDescent="0.45">
      <c r="B33" t="s">
        <v>46</v>
      </c>
      <c r="C33" t="s">
        <v>826</v>
      </c>
      <c r="D33" s="6" t="str">
        <f>IF(COUNTIFS(Table4[domain],"automation",Table4[object_id],automations[[#This Row],[alias]]),"OK","Error")</f>
        <v>OK</v>
      </c>
      <c r="E33" s="6" t="str">
        <f>SUBSTITUTE(INDEX(automation_categories[Cat Short],MATCH(automations[[#This Row],[Category]],automation_categories[Category],0))&amp;"_"&amp;LOWER(SUBSTITUTE(automations[[#This Row],[name]]," ","_")),"-","")</f>
        <v>statvac_vacation_lights_at_sunset_when_vacation_mode_on</v>
      </c>
      <c r="F33" s="6" t="str">
        <f>INDEX(automation_categories[Cat Short],MATCH(automations[[#This Row],[Category]],automation_categories[Category],0))</f>
        <v>stat-vac</v>
      </c>
      <c r="G33" s="6">
        <f>COUNTIF(automations[alias],"&lt;="&amp;automations[[#This Row],[alias]])</f>
        <v>28</v>
      </c>
      <c r="H33" s="6">
        <f>INDEX(automation_categories[Cat '#],MATCH(automations[[#This Row],[Category]],automation_categories[Category],0))</f>
        <v>10</v>
      </c>
      <c r="I33" s="6">
        <f>COUNTIFS(automations[alias],"&lt;="&amp;automations[[#This Row],[alias]],automations[Short Cat],automations[[#This Row],[Short Cat]])</f>
        <v>1</v>
      </c>
      <c r="J33" s="6" t="str">
        <f>automations[[#This Row],[Cat '#]]&amp;"-"&amp;automations[[#This Row],[Cat Auto '#]]</f>
        <v>10-1</v>
      </c>
    </row>
  </sheetData>
  <pageMargins left="0.7" right="0.7" top="0.75" bottom="0.75" header="0.3" footer="0.3"/>
  <pageSetup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M17" sqref="M17"/>
    </sheetView>
  </sheetViews>
  <sheetFormatPr defaultRowHeight="14.25" x14ac:dyDescent="0.45"/>
  <cols>
    <col min="1" max="1" width="2.3984375" customWidth="1"/>
    <col min="2" max="2" width="14.73046875" bestFit="1" customWidth="1"/>
    <col min="3" max="3" width="21.3984375" bestFit="1" customWidth="1"/>
    <col min="4" max="4" width="22.265625" bestFit="1" customWidth="1"/>
    <col min="5" max="6" width="2.3984375" customWidth="1"/>
    <col min="7" max="7" width="14.73046875" bestFit="1" customWidth="1"/>
    <col min="8" max="8" width="15" bestFit="1" customWidth="1"/>
    <col min="9" max="9" width="9.265625" bestFit="1" customWidth="1"/>
    <col min="10" max="10" width="2.3984375" customWidth="1"/>
    <col min="11" max="11" width="10.73046875" bestFit="1" customWidth="1"/>
    <col min="12" max="12" width="14.73046875" bestFit="1" customWidth="1"/>
    <col min="13" max="13" width="15" bestFit="1" customWidth="1"/>
    <col min="14" max="14" width="9.265625" bestFit="1" customWidth="1"/>
    <col min="15" max="15" width="2.3984375" customWidth="1"/>
    <col min="16" max="16" width="10.73046875" customWidth="1"/>
    <col min="17" max="17" width="16.3984375" bestFit="1" customWidth="1"/>
    <col min="18" max="18" width="5.265625" bestFit="1" customWidth="1"/>
  </cols>
  <sheetData>
    <row r="1" spans="1:18" ht="21" x14ac:dyDescent="0.65">
      <c r="A1" s="1" t="s">
        <v>702</v>
      </c>
    </row>
    <row r="3" spans="1:18" x14ac:dyDescent="0.45">
      <c r="B3" s="27" t="s">
        <v>697</v>
      </c>
      <c r="C3" s="28"/>
      <c r="D3" s="28"/>
      <c r="F3" s="27" t="s">
        <v>699</v>
      </c>
      <c r="G3" s="27"/>
      <c r="H3" s="27"/>
      <c r="I3" s="27"/>
      <c r="K3" s="27" t="s">
        <v>700</v>
      </c>
      <c r="L3" s="27"/>
      <c r="M3" s="27"/>
      <c r="N3" s="27"/>
      <c r="P3" s="27" t="s">
        <v>701</v>
      </c>
      <c r="Q3" s="27"/>
      <c r="R3" s="27"/>
    </row>
    <row r="4" spans="1:18" x14ac:dyDescent="0.45">
      <c r="B4" s="12" t="s">
        <v>350</v>
      </c>
      <c r="C4" s="12" t="s">
        <v>355</v>
      </c>
      <c r="D4" s="12" t="s">
        <v>356</v>
      </c>
      <c r="F4" s="12" t="s">
        <v>742</v>
      </c>
      <c r="G4" s="12" t="s">
        <v>54</v>
      </c>
      <c r="H4" s="12" t="s">
        <v>57</v>
      </c>
      <c r="I4" s="12" t="s">
        <v>65</v>
      </c>
      <c r="K4" s="12" t="s">
        <v>742</v>
      </c>
      <c r="L4" s="12" t="s">
        <v>54</v>
      </c>
      <c r="M4" s="12" t="s">
        <v>57</v>
      </c>
      <c r="N4" s="12" t="s">
        <v>65</v>
      </c>
      <c r="P4" s="12" t="s">
        <v>682</v>
      </c>
      <c r="Q4" s="12" t="s">
        <v>685</v>
      </c>
      <c r="R4" s="12" t="s">
        <v>684</v>
      </c>
    </row>
    <row r="5" spans="1:18" x14ac:dyDescent="0.45">
      <c r="B5" s="9">
        <v>1</v>
      </c>
      <c r="C5" s="9" t="s">
        <v>204</v>
      </c>
      <c r="D5" s="10" t="s">
        <v>358</v>
      </c>
      <c r="F5" s="9">
        <v>1</v>
      </c>
      <c r="G5" s="9" t="s">
        <v>53</v>
      </c>
      <c r="H5" s="10" t="s">
        <v>55</v>
      </c>
      <c r="I5" s="10" t="s">
        <v>55</v>
      </c>
      <c r="K5" s="9">
        <v>1</v>
      </c>
      <c r="L5" s="9" t="s">
        <v>53</v>
      </c>
      <c r="M5" s="10" t="s">
        <v>55</v>
      </c>
      <c r="N5" s="10" t="s">
        <v>55</v>
      </c>
      <c r="P5" s="9" t="s">
        <v>403</v>
      </c>
      <c r="Q5" s="9" t="s">
        <v>50</v>
      </c>
      <c r="R5" s="25">
        <f>MATCH("END",'view-code'!$O$3:$O$502,0)-1</f>
        <v>48</v>
      </c>
    </row>
    <row r="6" spans="1:18" x14ac:dyDescent="0.45">
      <c r="B6" s="9">
        <v>2</v>
      </c>
      <c r="C6" s="9" t="s">
        <v>8</v>
      </c>
      <c r="D6" s="9" t="s">
        <v>359</v>
      </c>
      <c r="F6" s="9">
        <v>2</v>
      </c>
      <c r="G6" s="9" t="s">
        <v>50</v>
      </c>
      <c r="H6" s="10" t="s">
        <v>55</v>
      </c>
      <c r="I6" s="10" t="s">
        <v>66</v>
      </c>
      <c r="K6" s="9">
        <v>2</v>
      </c>
      <c r="L6" s="9" t="s">
        <v>50</v>
      </c>
      <c r="M6" s="10" t="s">
        <v>55</v>
      </c>
      <c r="N6" s="10" t="s">
        <v>66</v>
      </c>
      <c r="P6" s="9" t="s">
        <v>50</v>
      </c>
      <c r="Q6" s="9" t="s">
        <v>686</v>
      </c>
      <c r="R6" s="25">
        <f>MATCH("END",'card-code'!$O$3:$O$502,0)-1</f>
        <v>194</v>
      </c>
    </row>
    <row r="7" spans="1:18" x14ac:dyDescent="0.45">
      <c r="B7" s="9">
        <v>3</v>
      </c>
      <c r="C7" s="9" t="s">
        <v>338</v>
      </c>
      <c r="D7" s="9" t="s">
        <v>360</v>
      </c>
      <c r="F7" s="9">
        <v>3</v>
      </c>
      <c r="G7" s="9" t="s">
        <v>1</v>
      </c>
      <c r="H7" s="10" t="s">
        <v>64</v>
      </c>
      <c r="I7" s="10" t="s">
        <v>67</v>
      </c>
      <c r="K7" s="9">
        <v>3</v>
      </c>
      <c r="L7" s="9" t="s">
        <v>403</v>
      </c>
      <c r="M7" s="10" t="s">
        <v>439</v>
      </c>
      <c r="N7" s="10"/>
      <c r="P7" s="26" t="s">
        <v>698</v>
      </c>
    </row>
    <row r="8" spans="1:18" x14ac:dyDescent="0.45">
      <c r="B8" s="9">
        <v>4</v>
      </c>
      <c r="C8" s="9" t="s">
        <v>335</v>
      </c>
      <c r="D8" s="9" t="s">
        <v>357</v>
      </c>
      <c r="F8" s="9">
        <v>4</v>
      </c>
      <c r="G8" s="9" t="s">
        <v>205</v>
      </c>
      <c r="H8" s="10" t="s">
        <v>361</v>
      </c>
      <c r="I8" s="10"/>
      <c r="K8" s="9">
        <v>4</v>
      </c>
      <c r="L8" s="9" t="s">
        <v>1</v>
      </c>
      <c r="M8" s="10" t="s">
        <v>64</v>
      </c>
      <c r="N8" s="10" t="s">
        <v>67</v>
      </c>
    </row>
    <row r="9" spans="1:18" x14ac:dyDescent="0.45">
      <c r="B9" s="9">
        <v>5</v>
      </c>
      <c r="C9" s="9" t="s">
        <v>205</v>
      </c>
      <c r="D9" s="9" t="s">
        <v>361</v>
      </c>
      <c r="F9" s="9">
        <v>5</v>
      </c>
      <c r="G9" s="9" t="s">
        <v>676</v>
      </c>
      <c r="H9" s="10" t="s">
        <v>56</v>
      </c>
      <c r="I9" s="10" t="s">
        <v>55</v>
      </c>
      <c r="K9" s="9">
        <v>5</v>
      </c>
      <c r="L9" s="9" t="s">
        <v>205</v>
      </c>
      <c r="M9" s="10" t="s">
        <v>361</v>
      </c>
      <c r="N9" s="10"/>
    </row>
    <row r="10" spans="1:18" x14ac:dyDescent="0.45">
      <c r="F10" s="9">
        <v>6</v>
      </c>
      <c r="G10" s="9" t="s">
        <v>51</v>
      </c>
      <c r="H10" s="10" t="s">
        <v>675</v>
      </c>
      <c r="I10" s="10" t="s">
        <v>55</v>
      </c>
      <c r="K10" s="9">
        <v>6</v>
      </c>
      <c r="L10" s="9" t="s">
        <v>676</v>
      </c>
      <c r="M10" s="10" t="s">
        <v>56</v>
      </c>
      <c r="N10" s="10" t="s">
        <v>55</v>
      </c>
    </row>
    <row r="11" spans="1:18" x14ac:dyDescent="0.45">
      <c r="F11" s="9">
        <v>7</v>
      </c>
      <c r="G11" s="9" t="s">
        <v>677</v>
      </c>
      <c r="H11" s="10" t="s">
        <v>675</v>
      </c>
      <c r="I11" s="10" t="s">
        <v>55</v>
      </c>
      <c r="K11" s="9">
        <v>7</v>
      </c>
      <c r="L11" s="9" t="s">
        <v>51</v>
      </c>
      <c r="M11" s="10" t="s">
        <v>675</v>
      </c>
      <c r="N11" s="10" t="s">
        <v>55</v>
      </c>
    </row>
    <row r="12" spans="1:18" x14ac:dyDescent="0.45">
      <c r="K12" s="9">
        <v>8</v>
      </c>
      <c r="L12" s="9" t="s">
        <v>677</v>
      </c>
      <c r="M12" s="10" t="s">
        <v>675</v>
      </c>
      <c r="N12" s="10" t="s">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2"/>
  <sheetViews>
    <sheetView topLeftCell="K1" workbookViewId="0">
      <selection activeCell="S90" sqref="S90"/>
    </sheetView>
  </sheetViews>
  <sheetFormatPr defaultRowHeight="14.25" x14ac:dyDescent="0.45"/>
  <cols>
    <col min="1" max="1" width="2.3984375" customWidth="1"/>
    <col min="4" max="4" width="15.265625" bestFit="1" customWidth="1"/>
    <col min="7" max="7" width="10" bestFit="1" customWidth="1"/>
    <col min="8" max="15" width="10" customWidth="1"/>
    <col min="20" max="21" width="15.265625" bestFit="1" customWidth="1"/>
  </cols>
  <sheetData>
    <row r="1" spans="2:16" x14ac:dyDescent="0.45">
      <c r="H1" s="11" t="s">
        <v>744</v>
      </c>
      <c r="K1" s="11" t="s">
        <v>68</v>
      </c>
    </row>
    <row r="2" spans="2:16" x14ac:dyDescent="0.45">
      <c r="B2" s="11" t="s">
        <v>62</v>
      </c>
      <c r="C2" s="11" t="s">
        <v>745</v>
      </c>
      <c r="D2" s="11" t="s">
        <v>674</v>
      </c>
      <c r="E2" s="11" t="s">
        <v>671</v>
      </c>
      <c r="F2" s="11" t="s">
        <v>672</v>
      </c>
      <c r="G2" s="11" t="s">
        <v>673</v>
      </c>
      <c r="H2" s="11" t="s">
        <v>743</v>
      </c>
      <c r="I2" s="11" t="s">
        <v>740</v>
      </c>
      <c r="J2" s="11" t="s">
        <v>741</v>
      </c>
      <c r="K2" s="11" t="s">
        <v>50</v>
      </c>
      <c r="L2" s="11" t="s">
        <v>1</v>
      </c>
      <c r="M2" s="11" t="s">
        <v>205</v>
      </c>
      <c r="N2" s="11" t="s">
        <v>747</v>
      </c>
      <c r="O2" s="11" t="s">
        <v>678</v>
      </c>
      <c r="P2" s="11" t="s">
        <v>679</v>
      </c>
    </row>
    <row r="3" spans="2:16" x14ac:dyDescent="0.45">
      <c r="B3" s="5">
        <v>1</v>
      </c>
      <c r="C3" s="5"/>
      <c r="P3" s="20" t="s">
        <v>55</v>
      </c>
    </row>
    <row r="4" spans="2:16" x14ac:dyDescent="0.45">
      <c r="B4">
        <f>B3+1</f>
        <v>2</v>
      </c>
      <c r="P4" s="7" t="s">
        <v>691</v>
      </c>
    </row>
    <row r="5" spans="2:16" x14ac:dyDescent="0.45">
      <c r="B5">
        <f t="shared" ref="B5:B68" si="0">B4+1</f>
        <v>3</v>
      </c>
      <c r="C5" s="5">
        <v>1</v>
      </c>
      <c r="D5" s="5" t="s">
        <v>53</v>
      </c>
      <c r="E5" s="5">
        <v>1</v>
      </c>
      <c r="F5" s="3">
        <f>INDEX(cards[Entities count],MATCH('card-code'!E5,cards[object_id order],0))</f>
        <v>1</v>
      </c>
      <c r="G5" s="4"/>
      <c r="H5">
        <f>IF(F5=1,  IF(D5=Lookup!$G$9,2,1),  IF(G5&lt;F5-1,0,1)  )</f>
        <v>1</v>
      </c>
      <c r="I5">
        <f>IF(D5&lt;&gt;Lookup!$G$7,0,IF(INDEX(cards[name],MATCH(E5,cards[object_id order],0))&lt;&gt;"",0,1))</f>
        <v>0</v>
      </c>
      <c r="J5">
        <f>IF(D5&lt;&gt;Lookup!$G$7,0,IF(INDEX(cards[icon],MATCH(E5,cards[object_id order],0))&lt;&gt;"",0,1))</f>
        <v>0</v>
      </c>
      <c r="K5" t="str">
        <f>IF(D5=Lookup!$G$6,INDEX(cards[object_id],MATCH($E5,cards[object_id order],0)),"")</f>
        <v/>
      </c>
      <c r="L5" t="str">
        <f>IF(D5=Lookup!$G$7,INDEX(cards[name],MATCH($E5,cards[object_id order],0)),"")</f>
        <v/>
      </c>
      <c r="M5" t="str">
        <f>IF($D5=Lookup!$L$9,INDEX(cards[icon],MATCH($E5,cards[object_id order],0)),"")</f>
        <v/>
      </c>
      <c r="N5" t="str">
        <f>IF(OR(D5=Lookup!$G$10,D5=Lookup!$G$11),INDEX(cards[[1]:[25]],MATCH($E5,cards[object_id order],0),'card-code'!G5),"")</f>
        <v/>
      </c>
      <c r="O5" t="str">
        <f t="shared" ref="O5:O68" si="1">IF(AND(NOT(ISNA(F4)),ISNA(F5)),"END","")</f>
        <v/>
      </c>
      <c r="P5" s="8" t="str">
        <f>INDEX(Lookup!$H$5:$H$11,MATCH(D5,Lookup!$G$5:$G$11,0))&amp;
K5&amp;L5&amp;M5&amp;N5&amp;
INDEX(Lookup!$I$5:$I$11,MATCH(D5,Lookup!$G$5:$G$11,0))</f>
        <v/>
      </c>
    </row>
    <row r="6" spans="2:16" x14ac:dyDescent="0.45">
      <c r="B6">
        <f t="shared" si="0"/>
        <v>4</v>
      </c>
      <c r="C6">
        <f>IF(C5=7,  1,  C5+SUM(H5:J5)  )</f>
        <v>2</v>
      </c>
      <c r="D6" t="str">
        <f>VLOOKUP(C6,Lookup!$F$5:$G$11,2,FALSE)</f>
        <v>card</v>
      </c>
      <c r="E6">
        <f>IF(D6=Lookup!$G$5,E5+1,E5)</f>
        <v>1</v>
      </c>
      <c r="F6" s="3">
        <f>INDEX(cards[Entities count],MATCH('card-code'!E6,cards[object_id order],0))</f>
        <v>1</v>
      </c>
      <c r="G6" t="str">
        <f>IF(D5=Lookup!$G$9,1,IF(D5=Lookup!$G$10,G5+1,""))</f>
        <v/>
      </c>
      <c r="H6">
        <f>IF(F6=1,  IF(D6=Lookup!$G$9,2,1),  IF(G6&lt;F6-1,0,1)  )</f>
        <v>1</v>
      </c>
      <c r="I6">
        <f>IF(D6&lt;&gt;Lookup!$G$7,0,IF(INDEX(cards[name],MATCH(E6,cards[object_id order],0))&lt;&gt;"",0,1))</f>
        <v>0</v>
      </c>
      <c r="J6">
        <f>IF(D6&lt;&gt;Lookup!$G$7,0,IF(INDEX(cards[icon],MATCH(E6,cards[object_id order],0))&lt;&gt;"",0,1))</f>
        <v>0</v>
      </c>
      <c r="K6" t="str">
        <f>IF(D6=Lookup!$G$6,INDEX(cards[object_id],MATCH('card-code'!E6,cards[object_id order],0)),"")</f>
        <v>automation_almclk</v>
      </c>
      <c r="L6" t="str">
        <f>IF(D6=Lookup!$G$7,INDEX(cards[name],MATCH('card-code'!E6,cards[object_id order],0)),"")</f>
        <v/>
      </c>
      <c r="M6" t="str">
        <f>IF($D6=Lookup!$L$9,INDEX(cards[icon],MATCH($E6,cards[object_id order],0)),"")</f>
        <v/>
      </c>
      <c r="N6" t="str">
        <f>IF(OR(D6=Lookup!$G$10,D6=Lookup!$G$11),INDEX(cards[[1]:[25]],MATCH($E6,cards[object_id order],0),'card-code'!G6),"")</f>
        <v/>
      </c>
      <c r="O6" t="str">
        <f t="shared" si="1"/>
        <v/>
      </c>
      <c r="P6" s="8" t="str">
        <f>INDEX(Lookup!$H$5:$H$11,MATCH(D6,Lookup!$G$5:$G$11,0))&amp;
K6&amp;L6&amp;M6&amp;N6&amp;
INDEX(Lookup!$I$5:$I$11,MATCH(D6,Lookup!$G$5:$G$11,0))</f>
        <v>automation_almclk:</v>
      </c>
    </row>
    <row r="7" spans="2:16" x14ac:dyDescent="0.45">
      <c r="B7">
        <f t="shared" si="0"/>
        <v>5</v>
      </c>
      <c r="C7">
        <f t="shared" ref="C7:C70" si="2">IF(C6=7,  1,  C6+SUM(H6:J6)  )</f>
        <v>3</v>
      </c>
      <c r="D7" t="str">
        <f>VLOOKUP(C7,Lookup!$F$5:$G$11,2,FALSE)</f>
        <v>name</v>
      </c>
      <c r="E7">
        <f>IF(D7=Lookup!$G$5,E6+1,E6)</f>
        <v>1</v>
      </c>
      <c r="F7" s="3">
        <f>INDEX(cards[Entities count],MATCH('card-code'!E7,cards[object_id order],0))</f>
        <v>1</v>
      </c>
      <c r="G7" t="str">
        <f>IF(D6=Lookup!$G$9,1,IF(D6=Lookup!$G$10,G6+1,""))</f>
        <v/>
      </c>
      <c r="H7">
        <f>IF(F7=1,  IF(D7=Lookup!$G$9,2,1),  IF(G7&lt;F7-1,0,1)  )</f>
        <v>1</v>
      </c>
      <c r="I7">
        <f>IF(D7&lt;&gt;Lookup!$G$7,0,IF(INDEX(cards[name],MATCH(E7,cards[object_id order],0))&lt;&gt;"",0,1))</f>
        <v>0</v>
      </c>
      <c r="J7">
        <f>IF(D7&lt;&gt;Lookup!$G$7,0,IF(INDEX(cards[icon],MATCH(E7,cards[object_id order],0))&lt;&gt;"",0,1))</f>
        <v>1</v>
      </c>
      <c r="K7" t="str">
        <f>IF(D7=Lookup!$G$6,INDEX(cards[object_id],MATCH('card-code'!E7,cards[object_id order],0)),"")</f>
        <v/>
      </c>
      <c r="L7" t="str">
        <f>IF(D7=Lookup!$G$7,INDEX(cards[name],MATCH('card-code'!E7,cards[object_id order],0)),"")</f>
        <v>Automation || Alarm Clock</v>
      </c>
      <c r="M7" t="str">
        <f>IF($D7=Lookup!$L$9,INDEX(cards[icon],MATCH($E7,cards[object_id order],0)),"")</f>
        <v/>
      </c>
      <c r="N7" t="str">
        <f>IF(OR(D7=Lookup!$G$10,D7=Lookup!$G$11),INDEX(cards[[1]:[25]],MATCH($E7,cards[object_id order],0),'card-code'!G7),"")</f>
        <v/>
      </c>
      <c r="O7" t="str">
        <f t="shared" si="1"/>
        <v/>
      </c>
      <c r="P7" s="8" t="str">
        <f>INDEX(Lookup!$H$5:$H$11,MATCH(D7,Lookup!$G$5:$G$11,0))&amp;
K7&amp;L7&amp;M7&amp;N7&amp;
INDEX(Lookup!$I$5:$I$11,MATCH(D7,Lookup!$G$5:$G$11,0))</f>
        <v xml:space="preserve">  name: "Automation || Alarm Clock"</v>
      </c>
    </row>
    <row r="8" spans="2:16" x14ac:dyDescent="0.45">
      <c r="B8">
        <f t="shared" si="0"/>
        <v>6</v>
      </c>
      <c r="C8">
        <f t="shared" si="2"/>
        <v>5</v>
      </c>
      <c r="D8" t="str">
        <f>VLOOKUP(C8,Lookup!$F$5:$G$11,2,FALSE)</f>
        <v>entities header</v>
      </c>
      <c r="E8">
        <f>IF(D8=Lookup!$G$5,E7+1,E7)</f>
        <v>1</v>
      </c>
      <c r="F8" s="3">
        <f>INDEX(cards[Entities count],MATCH('card-code'!E8,cards[object_id order],0))</f>
        <v>1</v>
      </c>
      <c r="G8" t="str">
        <f>IF(D7=Lookup!$G$9,1,IF(D7=Lookup!$G$10,G7+1,""))</f>
        <v/>
      </c>
      <c r="H8">
        <f>IF(F8=1,  IF(D8=Lookup!$G$9,2,1),  IF(G8&lt;F8-1,0,1)  )</f>
        <v>2</v>
      </c>
      <c r="I8">
        <f>IF(D8&lt;&gt;Lookup!$G$7,0,IF(INDEX(cards[name],MATCH(E8,cards[object_id order],0))&lt;&gt;"",0,1))</f>
        <v>0</v>
      </c>
      <c r="J8">
        <f>IF(D8&lt;&gt;Lookup!$G$7,0,IF(INDEX(cards[icon],MATCH(E8,cards[object_id order],0))&lt;&gt;"",0,1))</f>
        <v>0</v>
      </c>
      <c r="K8" t="str">
        <f>IF(D8=Lookup!$G$6,INDEX(cards[object_id],MATCH('card-code'!E8,cards[object_id order],0)),"")</f>
        <v/>
      </c>
      <c r="L8" t="str">
        <f>IF(D8=Lookup!$G$7,INDEX(cards[name],MATCH('card-code'!E8,cards[object_id order],0)),"")</f>
        <v/>
      </c>
      <c r="M8" t="str">
        <f>IF($D8=Lookup!$L$9,INDEX(cards[icon],MATCH($E8,cards[object_id order],0)),"")</f>
        <v/>
      </c>
      <c r="N8" t="str">
        <f>IF(OR(D8=Lookup!$G$10,D8=Lookup!$G$11),INDEX(cards[[1]:[25]],MATCH($E8,cards[object_id order],0),'card-code'!G8),"")</f>
        <v/>
      </c>
      <c r="O8" t="str">
        <f t="shared" si="1"/>
        <v/>
      </c>
      <c r="P8" s="8" t="str">
        <f>INDEX(Lookup!$H$5:$H$11,MATCH(D8,Lookup!$G$5:$G$11,0))&amp;
K8&amp;L8&amp;M8&amp;N8&amp;
INDEX(Lookup!$I$5:$I$11,MATCH(D8,Lookup!$G$5:$G$11,0))</f>
        <v xml:space="preserve">  entities:</v>
      </c>
    </row>
    <row r="9" spans="2:16" x14ac:dyDescent="0.45">
      <c r="B9">
        <f t="shared" si="0"/>
        <v>7</v>
      </c>
      <c r="C9">
        <f t="shared" si="2"/>
        <v>7</v>
      </c>
      <c r="D9" t="str">
        <f>VLOOKUP(C9,Lookup!$F$5:$G$11,2,FALSE)</f>
        <v>entities end</v>
      </c>
      <c r="E9">
        <f>IF(D9=Lookup!$G$5,E8+1,E8)</f>
        <v>1</v>
      </c>
      <c r="F9" s="3">
        <f>INDEX(cards[Entities count],MATCH('card-code'!E9,cards[object_id order],0))</f>
        <v>1</v>
      </c>
      <c r="G9">
        <f>IF(D8=Lookup!$G$9,1,IF(D8=Lookup!$G$10,G8+1,""))</f>
        <v>1</v>
      </c>
      <c r="H9">
        <f>IF(F9=1,  IF(D9=Lookup!$G$9,2,1),  IF(G9&lt;F9-1,0,1)  )</f>
        <v>1</v>
      </c>
      <c r="I9">
        <f>IF(D9&lt;&gt;Lookup!$G$7,0,IF(INDEX(cards[name],MATCH(E9,cards[object_id order],0))&lt;&gt;"",0,1))</f>
        <v>0</v>
      </c>
      <c r="J9">
        <f>IF(D9&lt;&gt;Lookup!$G$7,0,IF(INDEX(cards[icon],MATCH(E9,cards[object_id order],0))&lt;&gt;"",0,1))</f>
        <v>0</v>
      </c>
      <c r="K9" t="str">
        <f>IF(D9=Lookup!$G$6,INDEX(cards[object_id],MATCH('card-code'!E9,cards[object_id order],0)),"")</f>
        <v/>
      </c>
      <c r="L9" t="str">
        <f>IF(D9=Lookup!$G$7,INDEX(cards[name],MATCH('card-code'!E9,cards[object_id order],0)),"")</f>
        <v/>
      </c>
      <c r="M9" t="str">
        <f>IF($D9=Lookup!$L$9,INDEX(cards[icon],MATCH($E9,cards[object_id order],0)),"")</f>
        <v/>
      </c>
      <c r="N9" t="str">
        <f>IF(OR(D9=Lookup!$G$10,D9=Lookup!$G$11),INDEX(cards[[1]:[25]],MATCH($E9,cards[object_id order],0),'card-code'!G9),"")</f>
        <v>automation.almclk_wake_up_script_triggered_by_alarm_clock</v>
      </c>
      <c r="O9" t="str">
        <f t="shared" si="1"/>
        <v/>
      </c>
      <c r="P9" s="8" t="str">
        <f>INDEX(Lookup!$H$5:$H$11,MATCH(D9,Lookup!$G$5:$G$11,0))&amp;
K9&amp;L9&amp;M9&amp;N9&amp;
INDEX(Lookup!$I$5:$I$11,MATCH(D9,Lookup!$G$5:$G$11,0))</f>
        <v xml:space="preserve">    - automation.almclk_wake_up_script_triggered_by_alarm_clock</v>
      </c>
    </row>
    <row r="10" spans="2:16" x14ac:dyDescent="0.45">
      <c r="B10">
        <f t="shared" si="0"/>
        <v>8</v>
      </c>
      <c r="C10">
        <f t="shared" si="2"/>
        <v>1</v>
      </c>
      <c r="D10" t="str">
        <f>VLOOKUP(C10,Lookup!$F$5:$G$11,2,FALSE)</f>
        <v>blank</v>
      </c>
      <c r="E10">
        <f>IF(D10=Lookup!$G$5,E9+1,E9)</f>
        <v>2</v>
      </c>
      <c r="F10" s="3">
        <f>INDEX(cards[Entities count],MATCH('card-code'!E10,cards[object_id order],0))</f>
        <v>3</v>
      </c>
      <c r="G10" t="str">
        <f>IF(D9=Lookup!$G$9,1,IF(D9=Lookup!$G$10,G9+1,""))</f>
        <v/>
      </c>
      <c r="H10">
        <f>IF(F10=1,  IF(D10=Lookup!$G$9,2,1),  IF(G10&lt;F10-1,0,1)  )</f>
        <v>1</v>
      </c>
      <c r="I10">
        <f>IF(D10&lt;&gt;Lookup!$G$7,0,IF(INDEX(cards[name],MATCH(E10,cards[object_id order],0))&lt;&gt;"",0,1))</f>
        <v>0</v>
      </c>
      <c r="J10">
        <f>IF(D10&lt;&gt;Lookup!$G$7,0,IF(INDEX(cards[icon],MATCH(E10,cards[object_id order],0))&lt;&gt;"",0,1))</f>
        <v>0</v>
      </c>
      <c r="K10" t="str">
        <f>IF(D10=Lookup!$G$6,INDEX(cards[object_id],MATCH('card-code'!E10,cards[object_id order],0)),"")</f>
        <v/>
      </c>
      <c r="L10" t="str">
        <f>IF(D10=Lookup!$G$7,INDEX(cards[name],MATCH('card-code'!E10,cards[object_id order],0)),"")</f>
        <v/>
      </c>
      <c r="M10" t="str">
        <f>IF($D10=Lookup!$L$9,INDEX(cards[icon],MATCH($E10,cards[object_id order],0)),"")</f>
        <v/>
      </c>
      <c r="N10" t="str">
        <f>IF(OR(D10=Lookup!$G$10,D10=Lookup!$G$11),INDEX(cards[[1]:[25]],MATCH($E10,cards[object_id order],0),'card-code'!G10),"")</f>
        <v/>
      </c>
      <c r="O10" t="str">
        <f t="shared" si="1"/>
        <v/>
      </c>
      <c r="P10" s="8" t="str">
        <f>INDEX(Lookup!$H$5:$H$11,MATCH(D10,Lookup!$G$5:$G$11,0))&amp;
K10&amp;L10&amp;M10&amp;N10&amp;
INDEX(Lookup!$I$5:$I$11,MATCH(D10,Lookup!$G$5:$G$11,0))</f>
        <v/>
      </c>
    </row>
    <row r="11" spans="2:16" x14ac:dyDescent="0.45">
      <c r="B11">
        <f t="shared" si="0"/>
        <v>9</v>
      </c>
      <c r="C11">
        <f t="shared" si="2"/>
        <v>2</v>
      </c>
      <c r="D11" t="str">
        <f>VLOOKUP(C11,Lookup!$F$5:$G$11,2,FALSE)</f>
        <v>card</v>
      </c>
      <c r="E11">
        <f>IF(D11=Lookup!$G$5,E10+1,E10)</f>
        <v>2</v>
      </c>
      <c r="F11" s="3">
        <f>INDEX(cards[Entities count],MATCH('card-code'!E11,cards[object_id order],0))</f>
        <v>3</v>
      </c>
      <c r="G11" t="str">
        <f>IF(D10=Lookup!$G$9,1,IF(D10=Lookup!$G$10,G10+1,""))</f>
        <v/>
      </c>
      <c r="H11">
        <f>IF(F11=1,  IF(D11=Lookup!$G$9,2,1),  IF(G11&lt;F11-1,0,1)  )</f>
        <v>1</v>
      </c>
      <c r="I11">
        <f>IF(D11&lt;&gt;Lookup!$G$7,0,IF(INDEX(cards[name],MATCH(E11,cards[object_id order],0))&lt;&gt;"",0,1))</f>
        <v>0</v>
      </c>
      <c r="J11">
        <f>IF(D11&lt;&gt;Lookup!$G$7,0,IF(INDEX(cards[icon],MATCH(E11,cards[object_id order],0))&lt;&gt;"",0,1))</f>
        <v>0</v>
      </c>
      <c r="K11" t="str">
        <f>IF(D11=Lookup!$G$6,INDEX(cards[object_id],MATCH('card-code'!E11,cards[object_id order],0)),"")</f>
        <v>automation_locaway</v>
      </c>
      <c r="L11" t="str">
        <f>IF(D11=Lookup!$G$7,INDEX(cards[name],MATCH('card-code'!E11,cards[object_id order],0)),"")</f>
        <v/>
      </c>
      <c r="M11" t="str">
        <f>IF($D11=Lookup!$L$9,INDEX(cards[icon],MATCH($E11,cards[object_id order],0)),"")</f>
        <v/>
      </c>
      <c r="N11" t="str">
        <f>IF(OR(D11=Lookup!$G$10,D11=Lookup!$G$11),INDEX(cards[[1]:[25]],MATCH($E11,cards[object_id order],0),'card-code'!G11),"")</f>
        <v/>
      </c>
      <c r="O11" t="str">
        <f t="shared" si="1"/>
        <v/>
      </c>
      <c r="P11" s="8" t="str">
        <f>INDEX(Lookup!$H$5:$H$11,MATCH(D11,Lookup!$G$5:$G$11,0))&amp;
K11&amp;L11&amp;M11&amp;N11&amp;
INDEX(Lookup!$I$5:$I$11,MATCH(D11,Lookup!$G$5:$G$11,0))</f>
        <v>automation_locaway:</v>
      </c>
    </row>
    <row r="12" spans="2:16" x14ac:dyDescent="0.45">
      <c r="B12">
        <f t="shared" si="0"/>
        <v>10</v>
      </c>
      <c r="C12">
        <f t="shared" si="2"/>
        <v>3</v>
      </c>
      <c r="D12" t="str">
        <f>VLOOKUP(C12,Lookup!$F$5:$G$11,2,FALSE)</f>
        <v>name</v>
      </c>
      <c r="E12">
        <f>IF(D12=Lookup!$G$5,E11+1,E11)</f>
        <v>2</v>
      </c>
      <c r="F12" s="3">
        <f>INDEX(cards[Entities count],MATCH('card-code'!E12,cards[object_id order],0))</f>
        <v>3</v>
      </c>
      <c r="G12" t="str">
        <f>IF(D11=Lookup!$G$9,1,IF(D11=Lookup!$G$10,G11+1,""))</f>
        <v/>
      </c>
      <c r="H12">
        <f>IF(F12=1,  IF(D12=Lookup!$G$9,2,1),  IF(G12&lt;F12-1,0,1)  )</f>
        <v>1</v>
      </c>
      <c r="I12">
        <f>IF(D12&lt;&gt;Lookup!$G$7,0,IF(INDEX(cards[name],MATCH(E12,cards[object_id order],0))&lt;&gt;"",0,1))</f>
        <v>0</v>
      </c>
      <c r="J12">
        <f>IF(D12&lt;&gt;Lookup!$G$7,0,IF(INDEX(cards[icon],MATCH(E12,cards[object_id order],0))&lt;&gt;"",0,1))</f>
        <v>1</v>
      </c>
      <c r="K12" t="str">
        <f>IF(D12=Lookup!$G$6,INDEX(cards[object_id],MATCH('card-code'!E12,cards[object_id order],0)),"")</f>
        <v/>
      </c>
      <c r="L12" t="str">
        <f>IF(D12=Lookup!$G$7,INDEX(cards[name],MATCH('card-code'!E12,cards[object_id order],0)),"")</f>
        <v>Automation || Away</v>
      </c>
      <c r="M12" t="str">
        <f>IF($D12=Lookup!$L$9,INDEX(cards[icon],MATCH($E12,cards[object_id order],0)),"")</f>
        <v/>
      </c>
      <c r="N12" t="str">
        <f>IF(OR(D12=Lookup!$G$10,D12=Lookup!$G$11),INDEX(cards[[1]:[25]],MATCH($E12,cards[object_id order],0),'card-code'!G12),"")</f>
        <v/>
      </c>
      <c r="O12" t="str">
        <f t="shared" si="1"/>
        <v/>
      </c>
      <c r="P12" s="8" t="str">
        <f>INDEX(Lookup!$H$5:$H$11,MATCH(D12,Lookup!$G$5:$G$11,0))&amp;
K12&amp;L12&amp;M12&amp;N12&amp;
INDEX(Lookup!$I$5:$I$11,MATCH(D12,Lookup!$G$5:$G$11,0))</f>
        <v xml:space="preserve">  name: "Automation || Away"</v>
      </c>
    </row>
    <row r="13" spans="2:16" x14ac:dyDescent="0.45">
      <c r="B13">
        <f t="shared" si="0"/>
        <v>11</v>
      </c>
      <c r="C13">
        <f t="shared" si="2"/>
        <v>5</v>
      </c>
      <c r="D13" t="str">
        <f>VLOOKUP(C13,Lookup!$F$5:$G$11,2,FALSE)</f>
        <v>entities header</v>
      </c>
      <c r="E13">
        <f>IF(D13=Lookup!$G$5,E12+1,E12)</f>
        <v>2</v>
      </c>
      <c r="F13" s="3">
        <f>INDEX(cards[Entities count],MATCH('card-code'!E13,cards[object_id order],0))</f>
        <v>3</v>
      </c>
      <c r="G13" t="str">
        <f>IF(D12=Lookup!$G$9,1,IF(D12=Lookup!$G$10,G12+1,""))</f>
        <v/>
      </c>
      <c r="H13">
        <f>IF(F13=1,  IF(D13=Lookup!$G$9,2,1),  IF(G13&lt;F13-1,0,1)  )</f>
        <v>1</v>
      </c>
      <c r="I13">
        <f>IF(D13&lt;&gt;Lookup!$G$7,0,IF(INDEX(cards[name],MATCH(E13,cards[object_id order],0))&lt;&gt;"",0,1))</f>
        <v>0</v>
      </c>
      <c r="J13">
        <f>IF(D13&lt;&gt;Lookup!$G$7,0,IF(INDEX(cards[icon],MATCH(E13,cards[object_id order],0))&lt;&gt;"",0,1))</f>
        <v>0</v>
      </c>
      <c r="K13" t="str">
        <f>IF(D13=Lookup!$G$6,INDEX(cards[object_id],MATCH('card-code'!E13,cards[object_id order],0)),"")</f>
        <v/>
      </c>
      <c r="L13" t="str">
        <f>IF(D13=Lookup!$G$7,INDEX(cards[name],MATCH('card-code'!E13,cards[object_id order],0)),"")</f>
        <v/>
      </c>
      <c r="M13" t="str">
        <f>IF($D13=Lookup!$L$9,INDEX(cards[icon],MATCH($E13,cards[object_id order],0)),"")</f>
        <v/>
      </c>
      <c r="N13" t="str">
        <f>IF(OR(D13=Lookup!$G$10,D13=Lookup!$G$11),INDEX(cards[[1]:[25]],MATCH($E13,cards[object_id order],0),'card-code'!G13),"")</f>
        <v/>
      </c>
      <c r="O13" t="str">
        <f t="shared" si="1"/>
        <v/>
      </c>
      <c r="P13" s="8" t="str">
        <f>INDEX(Lookup!$H$5:$H$11,MATCH(D13,Lookup!$G$5:$G$11,0))&amp;
K13&amp;L13&amp;M13&amp;N13&amp;
INDEX(Lookup!$I$5:$I$11,MATCH(D13,Lookup!$G$5:$G$11,0))</f>
        <v xml:space="preserve">  entities:</v>
      </c>
    </row>
    <row r="14" spans="2:16" x14ac:dyDescent="0.45">
      <c r="B14">
        <f t="shared" si="0"/>
        <v>12</v>
      </c>
      <c r="C14">
        <f t="shared" si="2"/>
        <v>6</v>
      </c>
      <c r="D14" t="str">
        <f>VLOOKUP(C14,Lookup!$F$5:$G$11,2,FALSE)</f>
        <v>entities</v>
      </c>
      <c r="E14">
        <f>IF(D14=Lookup!$G$5,E13+1,E13)</f>
        <v>2</v>
      </c>
      <c r="F14" s="3">
        <f>INDEX(cards[Entities count],MATCH('card-code'!E14,cards[object_id order],0))</f>
        <v>3</v>
      </c>
      <c r="G14">
        <f>IF(D13=Lookup!$G$9,1,IF(D13=Lookup!$G$10,G13+1,""))</f>
        <v>1</v>
      </c>
      <c r="H14">
        <f>IF(F14=1,  IF(D14=Lookup!$G$9,2,1),  IF(G14&lt;F14-1,0,1)  )</f>
        <v>0</v>
      </c>
      <c r="I14">
        <f>IF(D14&lt;&gt;Lookup!$G$7,0,IF(INDEX(cards[name],MATCH(E14,cards[object_id order],0))&lt;&gt;"",0,1))</f>
        <v>0</v>
      </c>
      <c r="J14">
        <f>IF(D14&lt;&gt;Lookup!$G$7,0,IF(INDEX(cards[icon],MATCH(E14,cards[object_id order],0))&lt;&gt;"",0,1))</f>
        <v>0</v>
      </c>
      <c r="K14" t="str">
        <f>IF(D14=Lookup!$G$6,INDEX(cards[object_id],MATCH('card-code'!E14,cards[object_id order],0)),"")</f>
        <v/>
      </c>
      <c r="L14" t="str">
        <f>IF(D14=Lookup!$G$7,INDEX(cards[name],MATCH('card-code'!E14,cards[object_id order],0)),"")</f>
        <v/>
      </c>
      <c r="M14" t="str">
        <f>IF($D14=Lookup!$L$9,INDEX(cards[icon],MATCH($E14,cards[object_id order],0)),"")</f>
        <v/>
      </c>
      <c r="N14" t="str">
        <f>IF(OR(D14=Lookup!$G$10,D14=Lookup!$G$11),INDEX(cards[[1]:[25]],MATCH($E14,cards[object_id order],0),'card-code'!G14),"")</f>
        <v>automation.locaway_devices_in_bedroom_off_when_at_the_computer</v>
      </c>
      <c r="O14" t="str">
        <f t="shared" si="1"/>
        <v/>
      </c>
      <c r="P14" s="8" t="str">
        <f>INDEX(Lookup!$H$5:$H$11,MATCH(D14,Lookup!$G$5:$G$11,0))&amp;
K14&amp;L14&amp;M14&amp;N14&amp;
INDEX(Lookup!$I$5:$I$11,MATCH(D14,Lookup!$G$5:$G$11,0))</f>
        <v xml:space="preserve">    - automation.locaway_devices_in_bedroom_off_when_at_the_computer</v>
      </c>
    </row>
    <row r="15" spans="2:16" x14ac:dyDescent="0.45">
      <c r="B15">
        <f t="shared" si="0"/>
        <v>13</v>
      </c>
      <c r="C15">
        <f t="shared" si="2"/>
        <v>6</v>
      </c>
      <c r="D15" t="str">
        <f>VLOOKUP(C15,Lookup!$F$5:$G$11,2,FALSE)</f>
        <v>entities</v>
      </c>
      <c r="E15">
        <f>IF(D15=Lookup!$G$5,E14+1,E14)</f>
        <v>2</v>
      </c>
      <c r="F15" s="3">
        <f>INDEX(cards[Entities count],MATCH('card-code'!E15,cards[object_id order],0))</f>
        <v>3</v>
      </c>
      <c r="G15">
        <f>IF(D14=Lookup!$G$9,1,IF(D14=Lookup!$G$10,G14+1,""))</f>
        <v>2</v>
      </c>
      <c r="H15">
        <f>IF(F15=1,  IF(D15=Lookup!$G$9,2,1),  IF(G15&lt;F15-1,0,1)  )</f>
        <v>1</v>
      </c>
      <c r="I15">
        <f>IF(D15&lt;&gt;Lookup!$G$7,0,IF(INDEX(cards[name],MATCH(E15,cards[object_id order],0))&lt;&gt;"",0,1))</f>
        <v>0</v>
      </c>
      <c r="J15">
        <f>IF(D15&lt;&gt;Lookup!$G$7,0,IF(INDEX(cards[icon],MATCH(E15,cards[object_id order],0))&lt;&gt;"",0,1))</f>
        <v>0</v>
      </c>
      <c r="K15" t="str">
        <f>IF(D15=Lookup!$G$6,INDEX(cards[object_id],MATCH('card-code'!E15,cards[object_id order],0)),"")</f>
        <v/>
      </c>
      <c r="L15" t="str">
        <f>IF(D15=Lookup!$G$7,INDEX(cards[name],MATCH('card-code'!E15,cards[object_id order],0)),"")</f>
        <v/>
      </c>
      <c r="M15" t="str">
        <f>IF($D15=Lookup!$L$9,INDEX(cards[icon],MATCH($E15,cards[object_id order],0)),"")</f>
        <v/>
      </c>
      <c r="N15" t="str">
        <f>IF(OR(D15=Lookup!$G$10,D15=Lookup!$G$11),INDEX(cards[[1]:[25]],MATCH($E15,cards[object_id order],0),'card-code'!G15),"")</f>
        <v>automation.locaway_devices_off_when_away</v>
      </c>
      <c r="O15" t="str">
        <f t="shared" si="1"/>
        <v/>
      </c>
      <c r="P15" s="8" t="str">
        <f>INDEX(Lookup!$H$5:$H$11,MATCH(D15,Lookup!$G$5:$G$11,0))&amp;
K15&amp;L15&amp;M15&amp;N15&amp;
INDEX(Lookup!$I$5:$I$11,MATCH(D15,Lookup!$G$5:$G$11,0))</f>
        <v xml:space="preserve">    - automation.locaway_devices_off_when_away</v>
      </c>
    </row>
    <row r="16" spans="2:16" x14ac:dyDescent="0.45">
      <c r="B16">
        <f t="shared" si="0"/>
        <v>14</v>
      </c>
      <c r="C16">
        <f t="shared" si="2"/>
        <v>7</v>
      </c>
      <c r="D16" t="str">
        <f>VLOOKUP(C16,Lookup!$F$5:$G$11,2,FALSE)</f>
        <v>entities end</v>
      </c>
      <c r="E16">
        <f>IF(D16=Lookup!$G$5,E15+1,E15)</f>
        <v>2</v>
      </c>
      <c r="F16" s="3">
        <f>INDEX(cards[Entities count],MATCH('card-code'!E16,cards[object_id order],0))</f>
        <v>3</v>
      </c>
      <c r="G16">
        <f>IF(D15=Lookup!$G$9,1,IF(D15=Lookup!$G$10,G15+1,""))</f>
        <v>3</v>
      </c>
      <c r="H16">
        <f>IF(F16=1,  IF(D16=Lookup!$G$9,2,1),  IF(G16&lt;F16-1,0,1)  )</f>
        <v>1</v>
      </c>
      <c r="I16">
        <f>IF(D16&lt;&gt;Lookup!$G$7,0,IF(INDEX(cards[name],MATCH(E16,cards[object_id order],0))&lt;&gt;"",0,1))</f>
        <v>0</v>
      </c>
      <c r="J16">
        <f>IF(D16&lt;&gt;Lookup!$G$7,0,IF(INDEX(cards[icon],MATCH(E16,cards[object_id order],0))&lt;&gt;"",0,1))</f>
        <v>0</v>
      </c>
      <c r="K16" t="str">
        <f>IF(D16=Lookup!$G$6,INDEX(cards[object_id],MATCH('card-code'!E16,cards[object_id order],0)),"")</f>
        <v/>
      </c>
      <c r="L16" t="str">
        <f>IF(D16=Lookup!$G$7,INDEX(cards[name],MATCH('card-code'!E16,cards[object_id order],0)),"")</f>
        <v/>
      </c>
      <c r="M16" t="str">
        <f>IF($D16=Lookup!$L$9,INDEX(cards[icon],MATCH($E16,cards[object_id order],0)),"")</f>
        <v/>
      </c>
      <c r="N16" t="str">
        <f>IF(OR(D16=Lookup!$G$10,D16=Lookup!$G$11),INDEX(cards[[1]:[25]],MATCH($E16,cards[object_id order],0),'card-code'!G16),"")</f>
        <v>automation.locaway_devices_on_desk_off_when_leave_the_computer</v>
      </c>
      <c r="O16" t="str">
        <f t="shared" si="1"/>
        <v/>
      </c>
      <c r="P16" s="8" t="str">
        <f>INDEX(Lookup!$H$5:$H$11,MATCH(D16,Lookup!$G$5:$G$11,0))&amp;
K16&amp;L16&amp;M16&amp;N16&amp;
INDEX(Lookup!$I$5:$I$11,MATCH(D16,Lookup!$G$5:$G$11,0))</f>
        <v xml:space="preserve">    - automation.locaway_devices_on_desk_off_when_leave_the_computer</v>
      </c>
    </row>
    <row r="17" spans="2:16" x14ac:dyDescent="0.45">
      <c r="B17">
        <f t="shared" si="0"/>
        <v>15</v>
      </c>
      <c r="C17">
        <f t="shared" si="2"/>
        <v>1</v>
      </c>
      <c r="D17" t="str">
        <f>VLOOKUP(C17,Lookup!$F$5:$G$11,2,FALSE)</f>
        <v>blank</v>
      </c>
      <c r="E17">
        <f>IF(D17=Lookup!$G$5,E16+1,E16)</f>
        <v>3</v>
      </c>
      <c r="F17" s="3">
        <f>INDEX(cards[Entities count],MATCH('card-code'!E17,cards[object_id order],0))</f>
        <v>4</v>
      </c>
      <c r="G17" t="str">
        <f>IF(D16=Lookup!$G$9,1,IF(D16=Lookup!$G$10,G16+1,""))</f>
        <v/>
      </c>
      <c r="H17">
        <f>IF(F17=1,  IF(D17=Lookup!$G$9,2,1),  IF(G17&lt;F17-1,0,1)  )</f>
        <v>1</v>
      </c>
      <c r="I17">
        <f>IF(D17&lt;&gt;Lookup!$G$7,0,IF(INDEX(cards[name],MATCH(E17,cards[object_id order],0))&lt;&gt;"",0,1))</f>
        <v>0</v>
      </c>
      <c r="J17">
        <f>IF(D17&lt;&gt;Lookup!$G$7,0,IF(INDEX(cards[icon],MATCH(E17,cards[object_id order],0))&lt;&gt;"",0,1))</f>
        <v>0</v>
      </c>
      <c r="K17" t="str">
        <f>IF(D17=Lookup!$G$6,INDEX(cards[object_id],MATCH('card-code'!E17,cards[object_id order],0)),"")</f>
        <v/>
      </c>
      <c r="L17" t="str">
        <f>IF(D17=Lookup!$G$7,INDEX(cards[name],MATCH('card-code'!E17,cards[object_id order],0)),"")</f>
        <v/>
      </c>
      <c r="M17" t="str">
        <f>IF($D17=Lookup!$L$9,INDEX(cards[icon],MATCH($E17,cards[object_id order],0)),"")</f>
        <v/>
      </c>
      <c r="N17" t="str">
        <f>IF(OR(D17=Lookup!$G$10,D17=Lookup!$G$11),INDEX(cards[[1]:[25]],MATCH($E17,cards[object_id order],0),'card-code'!G17),"")</f>
        <v/>
      </c>
      <c r="O17" t="str">
        <f t="shared" si="1"/>
        <v/>
      </c>
      <c r="P17" s="8" t="str">
        <f>INDEX(Lookup!$H$5:$H$11,MATCH(D17,Lookup!$G$5:$G$11,0))&amp;
K17&amp;L17&amp;M17&amp;N17&amp;
INDEX(Lookup!$I$5:$I$11,MATCH(D17,Lookup!$G$5:$G$11,0))</f>
        <v/>
      </c>
    </row>
    <row r="18" spans="2:16" x14ac:dyDescent="0.45">
      <c r="B18">
        <f t="shared" si="0"/>
        <v>16</v>
      </c>
      <c r="C18">
        <f t="shared" si="2"/>
        <v>2</v>
      </c>
      <c r="D18" t="str">
        <f>VLOOKUP(C18,Lookup!$F$5:$G$11,2,FALSE)</f>
        <v>card</v>
      </c>
      <c r="E18">
        <f>IF(D18=Lookup!$G$5,E17+1,E17)</f>
        <v>3</v>
      </c>
      <c r="F18" s="3">
        <f>INDEX(cards[Entities count],MATCH('card-code'!E18,cards[object_id order],0))</f>
        <v>4</v>
      </c>
      <c r="G18" t="str">
        <f>IF(D17=Lookup!$G$9,1,IF(D17=Lookup!$G$10,G17+1,""))</f>
        <v/>
      </c>
      <c r="H18">
        <f>IF(F18=1,  IF(D18=Lookup!$G$9,2,1),  IF(G18&lt;F18-1,0,1)  )</f>
        <v>1</v>
      </c>
      <c r="I18">
        <f>IF(D18&lt;&gt;Lookup!$G$7,0,IF(INDEX(cards[name],MATCH(E18,cards[object_id order],0))&lt;&gt;"",0,1))</f>
        <v>0</v>
      </c>
      <c r="J18">
        <f>IF(D18&lt;&gt;Lookup!$G$7,0,IF(INDEX(cards[icon],MATCH(E18,cards[object_id order],0))&lt;&gt;"",0,1))</f>
        <v>0</v>
      </c>
      <c r="K18" t="str">
        <f>IF(D18=Lookup!$G$6,INDEX(cards[object_id],MATCH('card-code'!E18,cards[object_id order],0)),"")</f>
        <v>automation_not</v>
      </c>
      <c r="L18" t="str">
        <f>IF(D18=Lookup!$G$7,INDEX(cards[name],MATCH('card-code'!E18,cards[object_id order],0)),"")</f>
        <v/>
      </c>
      <c r="M18" t="str">
        <f>IF($D18=Lookup!$L$9,INDEX(cards[icon],MATCH($E18,cards[object_id order],0)),"")</f>
        <v/>
      </c>
      <c r="N18" t="str">
        <f>IF(OR(D18=Lookup!$G$10,D18=Lookup!$G$11),INDEX(cards[[1]:[25]],MATCH($E18,cards[object_id order],0),'card-code'!G18),"")</f>
        <v/>
      </c>
      <c r="O18" t="str">
        <f t="shared" si="1"/>
        <v/>
      </c>
      <c r="P18" s="8" t="str">
        <f>INDEX(Lookup!$H$5:$H$11,MATCH(D18,Lookup!$G$5:$G$11,0))&amp;
K18&amp;L18&amp;M18&amp;N18&amp;
INDEX(Lookup!$I$5:$I$11,MATCH(D18,Lookup!$G$5:$G$11,0))</f>
        <v>automation_not:</v>
      </c>
    </row>
    <row r="19" spans="2:16" x14ac:dyDescent="0.45">
      <c r="B19">
        <f t="shared" si="0"/>
        <v>17</v>
      </c>
      <c r="C19">
        <f t="shared" si="2"/>
        <v>3</v>
      </c>
      <c r="D19" t="str">
        <f>VLOOKUP(C19,Lookup!$F$5:$G$11,2,FALSE)</f>
        <v>name</v>
      </c>
      <c r="E19">
        <f>IF(D19=Lookup!$G$5,E18+1,E18)</f>
        <v>3</v>
      </c>
      <c r="F19" s="3">
        <f>INDEX(cards[Entities count],MATCH('card-code'!E19,cards[object_id order],0))</f>
        <v>4</v>
      </c>
      <c r="G19" t="str">
        <f>IF(D18=Lookup!$G$9,1,IF(D18=Lookup!$G$10,G18+1,""))</f>
        <v/>
      </c>
      <c r="H19">
        <f>IF(F19=1,  IF(D19=Lookup!$G$9,2,1),  IF(G19&lt;F19-1,0,1)  )</f>
        <v>1</v>
      </c>
      <c r="I19">
        <f>IF(D19&lt;&gt;Lookup!$G$7,0,IF(INDEX(cards[name],MATCH(E19,cards[object_id order],0))&lt;&gt;"",0,1))</f>
        <v>0</v>
      </c>
      <c r="J19">
        <f>IF(D19&lt;&gt;Lookup!$G$7,0,IF(INDEX(cards[icon],MATCH(E19,cards[object_id order],0))&lt;&gt;"",0,1))</f>
        <v>1</v>
      </c>
      <c r="K19" t="str">
        <f>IF(D19=Lookup!$G$6,INDEX(cards[object_id],MATCH('card-code'!E19,cards[object_id order],0)),"")</f>
        <v/>
      </c>
      <c r="L19" t="str">
        <f>IF(D19=Lookup!$G$7,INDEX(cards[name],MATCH('card-code'!E19,cards[object_id order],0)),"")</f>
        <v>Automation || Notifications</v>
      </c>
      <c r="M19" t="str">
        <f>IF($D19=Lookup!$L$9,INDEX(cards[icon],MATCH($E19,cards[object_id order],0)),"")</f>
        <v/>
      </c>
      <c r="N19" t="str">
        <f>IF(OR(D19=Lookup!$G$10,D19=Lookup!$G$11),INDEX(cards[[1]:[25]],MATCH($E19,cards[object_id order],0),'card-code'!G19),"")</f>
        <v/>
      </c>
      <c r="O19" t="str">
        <f t="shared" si="1"/>
        <v/>
      </c>
      <c r="P19" s="8" t="str">
        <f>INDEX(Lookup!$H$5:$H$11,MATCH(D19,Lookup!$G$5:$G$11,0))&amp;
K19&amp;L19&amp;M19&amp;N19&amp;
INDEX(Lookup!$I$5:$I$11,MATCH(D19,Lookup!$G$5:$G$11,0))</f>
        <v xml:space="preserve">  name: "Automation || Notifications"</v>
      </c>
    </row>
    <row r="20" spans="2:16" x14ac:dyDescent="0.45">
      <c r="B20">
        <f t="shared" si="0"/>
        <v>18</v>
      </c>
      <c r="C20">
        <f t="shared" si="2"/>
        <v>5</v>
      </c>
      <c r="D20" t="str">
        <f>VLOOKUP(C20,Lookup!$F$5:$G$11,2,FALSE)</f>
        <v>entities header</v>
      </c>
      <c r="E20">
        <f>IF(D20=Lookup!$G$5,E19+1,E19)</f>
        <v>3</v>
      </c>
      <c r="F20" s="3">
        <f>INDEX(cards[Entities count],MATCH('card-code'!E20,cards[object_id order],0))</f>
        <v>4</v>
      </c>
      <c r="G20" t="str">
        <f>IF(D19=Lookup!$G$9,1,IF(D19=Lookup!$G$10,G19+1,""))</f>
        <v/>
      </c>
      <c r="H20">
        <f>IF(F20=1,  IF(D20=Lookup!$G$9,2,1),  IF(G20&lt;F20-1,0,1)  )</f>
        <v>1</v>
      </c>
      <c r="I20">
        <f>IF(D20&lt;&gt;Lookup!$G$7,0,IF(INDEX(cards[name],MATCH(E20,cards[object_id order],0))&lt;&gt;"",0,1))</f>
        <v>0</v>
      </c>
      <c r="J20">
        <f>IF(D20&lt;&gt;Lookup!$G$7,0,IF(INDEX(cards[icon],MATCH(E20,cards[object_id order],0))&lt;&gt;"",0,1))</f>
        <v>0</v>
      </c>
      <c r="K20" t="str">
        <f>IF(D20=Lookup!$G$6,INDEX(cards[object_id],MATCH('card-code'!E20,cards[object_id order],0)),"")</f>
        <v/>
      </c>
      <c r="L20" t="str">
        <f>IF(D20=Lookup!$G$7,INDEX(cards[name],MATCH('card-code'!E20,cards[object_id order],0)),"")</f>
        <v/>
      </c>
      <c r="M20" t="str">
        <f>IF($D20=Lookup!$L$9,INDEX(cards[icon],MATCH($E20,cards[object_id order],0)),"")</f>
        <v/>
      </c>
      <c r="N20" t="str">
        <f>IF(OR(D20=Lookup!$G$10,D20=Lookup!$G$11),INDEX(cards[[1]:[25]],MATCH($E20,cards[object_id order],0),'card-code'!G20),"")</f>
        <v/>
      </c>
      <c r="O20" t="str">
        <f t="shared" si="1"/>
        <v/>
      </c>
      <c r="P20" s="8" t="str">
        <f>INDEX(Lookup!$H$5:$H$11,MATCH(D20,Lookup!$G$5:$G$11,0))&amp;
K20&amp;L20&amp;M20&amp;N20&amp;
INDEX(Lookup!$I$5:$I$11,MATCH(D20,Lookup!$G$5:$G$11,0))</f>
        <v xml:space="preserve">  entities:</v>
      </c>
    </row>
    <row r="21" spans="2:16" x14ac:dyDescent="0.45">
      <c r="B21">
        <f t="shared" si="0"/>
        <v>19</v>
      </c>
      <c r="C21">
        <f t="shared" si="2"/>
        <v>6</v>
      </c>
      <c r="D21" t="str">
        <f>VLOOKUP(C21,Lookup!$F$5:$G$11,2,FALSE)</f>
        <v>entities</v>
      </c>
      <c r="E21">
        <f>IF(D21=Lookup!$G$5,E20+1,E20)</f>
        <v>3</v>
      </c>
      <c r="F21" s="3">
        <f>INDEX(cards[Entities count],MATCH('card-code'!E21,cards[object_id order],0))</f>
        <v>4</v>
      </c>
      <c r="G21">
        <f>IF(D20=Lookup!$G$9,1,IF(D20=Lookup!$G$10,G20+1,""))</f>
        <v>1</v>
      </c>
      <c r="H21">
        <f>IF(F21=1,  IF(D21=Lookup!$G$9,2,1),  IF(G21&lt;F21-1,0,1)  )</f>
        <v>0</v>
      </c>
      <c r="I21">
        <f>IF(D21&lt;&gt;Lookup!$G$7,0,IF(INDEX(cards[name],MATCH(E21,cards[object_id order],0))&lt;&gt;"",0,1))</f>
        <v>0</v>
      </c>
      <c r="J21">
        <f>IF(D21&lt;&gt;Lookup!$G$7,0,IF(INDEX(cards[icon],MATCH(E21,cards[object_id order],0))&lt;&gt;"",0,1))</f>
        <v>0</v>
      </c>
      <c r="K21" t="str">
        <f>IF(D21=Lookup!$G$6,INDEX(cards[object_id],MATCH('card-code'!E21,cards[object_id order],0)),"")</f>
        <v/>
      </c>
      <c r="L21" t="str">
        <f>IF(D21=Lookup!$G$7,INDEX(cards[name],MATCH('card-code'!E21,cards[object_id order],0)),"")</f>
        <v/>
      </c>
      <c r="M21" t="str">
        <f>IF($D21=Lookup!$L$9,INDEX(cards[icon],MATCH($E21,cards[object_id order],0)),"")</f>
        <v/>
      </c>
      <c r="N21" t="str">
        <f>IF(OR(D21=Lookup!$G$10,D21=Lookup!$G$11),INDEX(cards[[1]:[25]],MATCH($E21,cards[object_id order],0),'card-code'!G21),"")</f>
        <v>automation.not_notification_when_humvee_left_on</v>
      </c>
      <c r="O21" t="str">
        <f t="shared" si="1"/>
        <v/>
      </c>
      <c r="P21" s="8" t="str">
        <f>INDEX(Lookup!$H$5:$H$11,MATCH(D21,Lookup!$G$5:$G$11,0))&amp;
K21&amp;L21&amp;M21&amp;N21&amp;
INDEX(Lookup!$I$5:$I$11,MATCH(D21,Lookup!$G$5:$G$11,0))</f>
        <v xml:space="preserve">    - automation.not_notification_when_humvee_left_on</v>
      </c>
    </row>
    <row r="22" spans="2:16" x14ac:dyDescent="0.45">
      <c r="B22">
        <f t="shared" si="0"/>
        <v>20</v>
      </c>
      <c r="C22">
        <f t="shared" si="2"/>
        <v>6</v>
      </c>
      <c r="D22" t="str">
        <f>VLOOKUP(C22,Lookup!$F$5:$G$11,2,FALSE)</f>
        <v>entities</v>
      </c>
      <c r="E22">
        <f>IF(D22=Lookup!$G$5,E21+1,E21)</f>
        <v>3</v>
      </c>
      <c r="F22" s="3">
        <f>INDEX(cards[Entities count],MATCH('card-code'!E22,cards[object_id order],0))</f>
        <v>4</v>
      </c>
      <c r="G22">
        <f>IF(D21=Lookup!$G$9,1,IF(D21=Lookup!$G$10,G21+1,""))</f>
        <v>2</v>
      </c>
      <c r="H22">
        <f>IF(F22=1,  IF(D22=Lookup!$G$9,2,1),  IF(G22&lt;F22-1,0,1)  )</f>
        <v>0</v>
      </c>
      <c r="I22">
        <f>IF(D22&lt;&gt;Lookup!$G$7,0,IF(INDEX(cards[name],MATCH(E22,cards[object_id order],0))&lt;&gt;"",0,1))</f>
        <v>0</v>
      </c>
      <c r="J22">
        <f>IF(D22&lt;&gt;Lookup!$G$7,0,IF(INDEX(cards[icon],MATCH(E22,cards[object_id order],0))&lt;&gt;"",0,1))</f>
        <v>0</v>
      </c>
      <c r="K22" t="str">
        <f>IF(D22=Lookup!$G$6,INDEX(cards[object_id],MATCH('card-code'!E22,cards[object_id order],0)),"")</f>
        <v/>
      </c>
      <c r="L22" t="str">
        <f>IF(D22=Lookup!$G$7,INDEX(cards[name],MATCH('card-code'!E22,cards[object_id order],0)),"")</f>
        <v/>
      </c>
      <c r="M22" t="str">
        <f>IF($D22=Lookup!$L$9,INDEX(cards[icon],MATCH($E22,cards[object_id order],0)),"")</f>
        <v/>
      </c>
      <c r="N22" t="str">
        <f>IF(OR(D22=Lookup!$G$10,D22=Lookup!$G$11),INDEX(cards[[1]:[25]],MATCH($E22,cards[object_id order],0),'card-code'!G22),"")</f>
        <v>automation.not_notification_when_multisensor_battery_is_low</v>
      </c>
      <c r="O22" t="str">
        <f t="shared" si="1"/>
        <v/>
      </c>
      <c r="P22" s="8" t="str">
        <f>INDEX(Lookup!$H$5:$H$11,MATCH(D22,Lookup!$G$5:$G$11,0))&amp;
K22&amp;L22&amp;M22&amp;N22&amp;
INDEX(Lookup!$I$5:$I$11,MATCH(D22,Lookup!$G$5:$G$11,0))</f>
        <v xml:space="preserve">    - automation.not_notification_when_multisensor_battery_is_low</v>
      </c>
    </row>
    <row r="23" spans="2:16" x14ac:dyDescent="0.45">
      <c r="B23">
        <f t="shared" si="0"/>
        <v>21</v>
      </c>
      <c r="C23">
        <f t="shared" si="2"/>
        <v>6</v>
      </c>
      <c r="D23" t="str">
        <f>VLOOKUP(C23,Lookup!$F$5:$G$11,2,FALSE)</f>
        <v>entities</v>
      </c>
      <c r="E23">
        <f>IF(D23=Lookup!$G$5,E22+1,E22)</f>
        <v>3</v>
      </c>
      <c r="F23" s="3">
        <f>INDEX(cards[Entities count],MATCH('card-code'!E23,cards[object_id order],0))</f>
        <v>4</v>
      </c>
      <c r="G23">
        <f>IF(D22=Lookup!$G$9,1,IF(D22=Lookup!$G$10,G22+1,""))</f>
        <v>3</v>
      </c>
      <c r="H23">
        <f>IF(F23=1,  IF(D23=Lookup!$G$9,2,1),  IF(G23&lt;F23-1,0,1)  )</f>
        <v>1</v>
      </c>
      <c r="I23">
        <f>IF(D23&lt;&gt;Lookup!$G$7,0,IF(INDEX(cards[name],MATCH(E23,cards[object_id order],0))&lt;&gt;"",0,1))</f>
        <v>0</v>
      </c>
      <c r="J23">
        <f>IF(D23&lt;&gt;Lookup!$G$7,0,IF(INDEX(cards[icon],MATCH(E23,cards[object_id order],0))&lt;&gt;"",0,1))</f>
        <v>0</v>
      </c>
      <c r="K23" t="str">
        <f>IF(D23=Lookup!$G$6,INDEX(cards[object_id],MATCH('card-code'!E23,cards[object_id order],0)),"")</f>
        <v/>
      </c>
      <c r="L23" t="str">
        <f>IF(D23=Lookup!$G$7,INDEX(cards[name],MATCH('card-code'!E23,cards[object_id order],0)),"")</f>
        <v/>
      </c>
      <c r="M23" t="str">
        <f>IF($D23=Lookup!$L$9,INDEX(cards[icon],MATCH($E23,cards[object_id order],0)),"")</f>
        <v/>
      </c>
      <c r="N23" t="str">
        <f>IF(OR(D23=Lookup!$G$10,D23=Lookup!$G$11),INDEX(cards[[1]:[25]],MATCH($E23,cards[object_id order],0),'card-code'!G23),"")</f>
        <v>automation.not_notification_when_tank_turns_off</v>
      </c>
      <c r="O23" t="str">
        <f t="shared" si="1"/>
        <v/>
      </c>
      <c r="P23" s="8" t="str">
        <f>INDEX(Lookup!$H$5:$H$11,MATCH(D23,Lookup!$G$5:$G$11,0))&amp;
K23&amp;L23&amp;M23&amp;N23&amp;
INDEX(Lookup!$I$5:$I$11,MATCH(D23,Lookup!$G$5:$G$11,0))</f>
        <v xml:space="preserve">    - automation.not_notification_when_tank_turns_off</v>
      </c>
    </row>
    <row r="24" spans="2:16" x14ac:dyDescent="0.45">
      <c r="B24">
        <f t="shared" si="0"/>
        <v>22</v>
      </c>
      <c r="C24">
        <f t="shared" si="2"/>
        <v>7</v>
      </c>
      <c r="D24" t="str">
        <f>VLOOKUP(C24,Lookup!$F$5:$G$11,2,FALSE)</f>
        <v>entities end</v>
      </c>
      <c r="E24">
        <f>IF(D24=Lookup!$G$5,E23+1,E23)</f>
        <v>3</v>
      </c>
      <c r="F24" s="3">
        <f>INDEX(cards[Entities count],MATCH('card-code'!E24,cards[object_id order],0))</f>
        <v>4</v>
      </c>
      <c r="G24">
        <f>IF(D23=Lookup!$G$9,1,IF(D23=Lookup!$G$10,G23+1,""))</f>
        <v>4</v>
      </c>
      <c r="H24">
        <f>IF(F24=1,  IF(D24=Lookup!$G$9,2,1),  IF(G24&lt;F24-1,0,1)  )</f>
        <v>1</v>
      </c>
      <c r="I24">
        <f>IF(D24&lt;&gt;Lookup!$G$7,0,IF(INDEX(cards[name],MATCH(E24,cards[object_id order],0))&lt;&gt;"",0,1))</f>
        <v>0</v>
      </c>
      <c r="J24">
        <f>IF(D24&lt;&gt;Lookup!$G$7,0,IF(INDEX(cards[icon],MATCH(E24,cards[object_id order],0))&lt;&gt;"",0,1))</f>
        <v>0</v>
      </c>
      <c r="K24" t="str">
        <f>IF(D24=Lookup!$G$6,INDEX(cards[object_id],MATCH('card-code'!E24,cards[object_id order],0)),"")</f>
        <v/>
      </c>
      <c r="L24" t="str">
        <f>IF(D24=Lookup!$G$7,INDEX(cards[name],MATCH('card-code'!E24,cards[object_id order],0)),"")</f>
        <v/>
      </c>
      <c r="M24" t="str">
        <f>IF($D24=Lookup!$L$9,INDEX(cards[icon],MATCH($E24,cards[object_id order],0)),"")</f>
        <v/>
      </c>
      <c r="N24" t="str">
        <f>IF(OR(D24=Lookup!$G$10,D24=Lookup!$G$11),INDEX(cards[[1]:[25]],MATCH($E24,cards[object_id order],0),'card-code'!G24),"")</f>
        <v>automation.not_speed_test_record</v>
      </c>
      <c r="O24" t="str">
        <f t="shared" si="1"/>
        <v/>
      </c>
      <c r="P24" s="8" t="str">
        <f>INDEX(Lookup!$H$5:$H$11,MATCH(D24,Lookup!$G$5:$G$11,0))&amp;
K24&amp;L24&amp;M24&amp;N24&amp;
INDEX(Lookup!$I$5:$I$11,MATCH(D24,Lookup!$G$5:$G$11,0))</f>
        <v xml:space="preserve">    - automation.not_speed_test_record</v>
      </c>
    </row>
    <row r="25" spans="2:16" x14ac:dyDescent="0.45">
      <c r="B25">
        <f t="shared" si="0"/>
        <v>23</v>
      </c>
      <c r="C25">
        <f t="shared" si="2"/>
        <v>1</v>
      </c>
      <c r="D25" t="str">
        <f>VLOOKUP(C25,Lookup!$F$5:$G$11,2,FALSE)</f>
        <v>blank</v>
      </c>
      <c r="E25">
        <f>IF(D25=Lookup!$G$5,E24+1,E24)</f>
        <v>4</v>
      </c>
      <c r="F25" s="3">
        <f>INDEX(cards[Entities count],MATCH('card-code'!E25,cards[object_id order],0))</f>
        <v>3</v>
      </c>
      <c r="G25" t="str">
        <f>IF(D24=Lookup!$G$9,1,IF(D24=Lookup!$G$10,G24+1,""))</f>
        <v/>
      </c>
      <c r="H25">
        <f>IF(F25=1,  IF(D25=Lookup!$G$9,2,1),  IF(G25&lt;F25-1,0,1)  )</f>
        <v>1</v>
      </c>
      <c r="I25">
        <f>IF(D25&lt;&gt;Lookup!$G$7,0,IF(INDEX(cards[name],MATCH(E25,cards[object_id order],0))&lt;&gt;"",0,1))</f>
        <v>0</v>
      </c>
      <c r="J25">
        <f>IF(D25&lt;&gt;Lookup!$G$7,0,IF(INDEX(cards[icon],MATCH(E25,cards[object_id order],0))&lt;&gt;"",0,1))</f>
        <v>0</v>
      </c>
      <c r="K25" t="str">
        <f>IF(D25=Lookup!$G$6,INDEX(cards[object_id],MATCH('card-code'!E25,cards[object_id order],0)),"")</f>
        <v/>
      </c>
      <c r="L25" t="str">
        <f>IF(D25=Lookup!$G$7,INDEX(cards[name],MATCH('card-code'!E25,cards[object_id order],0)),"")</f>
        <v/>
      </c>
      <c r="M25" t="str">
        <f>IF($D25=Lookup!$L$9,INDEX(cards[icon],MATCH($E25,cards[object_id order],0)),"")</f>
        <v/>
      </c>
      <c r="N25" t="str">
        <f>IF(OR(D25=Lookup!$G$10,D25=Lookup!$G$11),INDEX(cards[[1]:[25]],MATCH($E25,cards[object_id order],0),'card-code'!G25),"")</f>
        <v/>
      </c>
      <c r="O25" t="str">
        <f t="shared" si="1"/>
        <v/>
      </c>
      <c r="P25" s="8" t="str">
        <f>INDEX(Lookup!$H$5:$H$11,MATCH(D25,Lookup!$G$5:$G$11,0))&amp;
K25&amp;L25&amp;M25&amp;N25&amp;
INDEX(Lookup!$I$5:$I$11,MATCH(D25,Lookup!$G$5:$G$11,0))</f>
        <v/>
      </c>
    </row>
    <row r="26" spans="2:16" x14ac:dyDescent="0.45">
      <c r="B26">
        <f t="shared" si="0"/>
        <v>24</v>
      </c>
      <c r="C26">
        <f t="shared" si="2"/>
        <v>2</v>
      </c>
      <c r="D26" t="str">
        <f>VLOOKUP(C26,Lookup!$F$5:$G$11,2,FALSE)</f>
        <v>card</v>
      </c>
      <c r="E26">
        <f>IF(D26=Lookup!$G$5,E25+1,E25)</f>
        <v>4</v>
      </c>
      <c r="F26" s="3">
        <f>INDEX(cards[Entities count],MATCH('card-code'!E26,cards[object_id order],0))</f>
        <v>3</v>
      </c>
      <c r="G26" t="str">
        <f>IF(D25=Lookup!$G$9,1,IF(D25=Lookup!$G$10,G25+1,""))</f>
        <v/>
      </c>
      <c r="H26">
        <f>IF(F26=1,  IF(D26=Lookup!$G$9,2,1),  IF(G26&lt;F26-1,0,1)  )</f>
        <v>1</v>
      </c>
      <c r="I26">
        <f>IF(D26&lt;&gt;Lookup!$G$7,0,IF(INDEX(cards[name],MATCH(E26,cards[object_id order],0))&lt;&gt;"",0,1))</f>
        <v>0</v>
      </c>
      <c r="J26">
        <f>IF(D26&lt;&gt;Lookup!$G$7,0,IF(INDEX(cards[icon],MATCH(E26,cards[object_id order],0))&lt;&gt;"",0,1))</f>
        <v>0</v>
      </c>
      <c r="K26" t="str">
        <f>IF(D26=Lookup!$G$6,INDEX(cards[object_id],MATCH('card-code'!E26,cards[object_id order],0)),"")</f>
        <v>automation_rmbd</v>
      </c>
      <c r="L26" t="str">
        <f>IF(D26=Lookup!$G$7,INDEX(cards[name],MATCH('card-code'!E26,cards[object_id order],0)),"")</f>
        <v/>
      </c>
      <c r="M26" t="str">
        <f>IF($D26=Lookup!$L$9,INDEX(cards[icon],MATCH($E26,cards[object_id order],0)),"")</f>
        <v/>
      </c>
      <c r="N26" t="str">
        <f>IF(OR(D26=Lookup!$G$10,D26=Lookup!$G$11),INDEX(cards[[1]:[25]],MATCH($E26,cards[object_id order],0),'card-code'!G26),"")</f>
        <v/>
      </c>
      <c r="O26" t="str">
        <f t="shared" si="1"/>
        <v/>
      </c>
      <c r="P26" s="8" t="str">
        <f>INDEX(Lookup!$H$5:$H$11,MATCH(D26,Lookup!$G$5:$G$11,0))&amp;
K26&amp;L26&amp;M26&amp;N26&amp;
INDEX(Lookup!$I$5:$I$11,MATCH(D26,Lookup!$G$5:$G$11,0))</f>
        <v>automation_rmbd:</v>
      </c>
    </row>
    <row r="27" spans="2:16" x14ac:dyDescent="0.45">
      <c r="B27">
        <f t="shared" si="0"/>
        <v>25</v>
      </c>
      <c r="C27">
        <f t="shared" si="2"/>
        <v>3</v>
      </c>
      <c r="D27" t="str">
        <f>VLOOKUP(C27,Lookup!$F$5:$G$11,2,FALSE)</f>
        <v>name</v>
      </c>
      <c r="E27">
        <f>IF(D27=Lookup!$G$5,E26+1,E26)</f>
        <v>4</v>
      </c>
      <c r="F27" s="3">
        <f>INDEX(cards[Entities count],MATCH('card-code'!E27,cards[object_id order],0))</f>
        <v>3</v>
      </c>
      <c r="G27" t="str">
        <f>IF(D26=Lookup!$G$9,1,IF(D26=Lookup!$G$10,G26+1,""))</f>
        <v/>
      </c>
      <c r="H27">
        <f>IF(F27=1,  IF(D27=Lookup!$G$9,2,1),  IF(G27&lt;F27-1,0,1)  )</f>
        <v>1</v>
      </c>
      <c r="I27">
        <f>IF(D27&lt;&gt;Lookup!$G$7,0,IF(INDEX(cards[name],MATCH(E27,cards[object_id order],0))&lt;&gt;"",0,1))</f>
        <v>0</v>
      </c>
      <c r="J27">
        <f>IF(D27&lt;&gt;Lookup!$G$7,0,IF(INDEX(cards[icon],MATCH(E27,cards[object_id order],0))&lt;&gt;"",0,1))</f>
        <v>1</v>
      </c>
      <c r="K27" t="str">
        <f>IF(D27=Lookup!$G$6,INDEX(cards[object_id],MATCH('card-code'!E27,cards[object_id order],0)),"")</f>
        <v/>
      </c>
      <c r="L27" t="str">
        <f>IF(D27=Lookup!$G$7,INDEX(cards[name],MATCH('card-code'!E27,cards[object_id order],0)),"")</f>
        <v>Automation || Bedroom</v>
      </c>
      <c r="M27" t="str">
        <f>IF($D27=Lookup!$L$9,INDEX(cards[icon],MATCH($E27,cards[object_id order],0)),"")</f>
        <v/>
      </c>
      <c r="N27" t="str">
        <f>IF(OR(D27=Lookup!$G$10,D27=Lookup!$G$11),INDEX(cards[[1]:[25]],MATCH($E27,cards[object_id order],0),'card-code'!G27),"")</f>
        <v/>
      </c>
      <c r="O27" t="str">
        <f t="shared" si="1"/>
        <v/>
      </c>
      <c r="P27" s="8" t="str">
        <f>INDEX(Lookup!$H$5:$H$11,MATCH(D27,Lookup!$G$5:$G$11,0))&amp;
K27&amp;L27&amp;M27&amp;N27&amp;
INDEX(Lookup!$I$5:$I$11,MATCH(D27,Lookup!$G$5:$G$11,0))</f>
        <v xml:space="preserve">  name: "Automation || Bedroom"</v>
      </c>
    </row>
    <row r="28" spans="2:16" x14ac:dyDescent="0.45">
      <c r="B28">
        <f t="shared" si="0"/>
        <v>26</v>
      </c>
      <c r="C28">
        <f t="shared" si="2"/>
        <v>5</v>
      </c>
      <c r="D28" t="str">
        <f>VLOOKUP(C28,Lookup!$F$5:$G$11,2,FALSE)</f>
        <v>entities header</v>
      </c>
      <c r="E28">
        <f>IF(D28=Lookup!$G$5,E27+1,E27)</f>
        <v>4</v>
      </c>
      <c r="F28" s="3">
        <f>INDEX(cards[Entities count],MATCH('card-code'!E28,cards[object_id order],0))</f>
        <v>3</v>
      </c>
      <c r="G28" t="str">
        <f>IF(D27=Lookup!$G$9,1,IF(D27=Lookup!$G$10,G27+1,""))</f>
        <v/>
      </c>
      <c r="H28">
        <f>IF(F28=1,  IF(D28=Lookup!$G$9,2,1),  IF(G28&lt;F28-1,0,1)  )</f>
        <v>1</v>
      </c>
      <c r="I28">
        <f>IF(D28&lt;&gt;Lookup!$G$7,0,IF(INDEX(cards[name],MATCH(E28,cards[object_id order],0))&lt;&gt;"",0,1))</f>
        <v>0</v>
      </c>
      <c r="J28">
        <f>IF(D28&lt;&gt;Lookup!$G$7,0,IF(INDEX(cards[icon],MATCH(E28,cards[object_id order],0))&lt;&gt;"",0,1))</f>
        <v>0</v>
      </c>
      <c r="K28" t="str">
        <f>IF(D28=Lookup!$G$6,INDEX(cards[object_id],MATCH('card-code'!E28,cards[object_id order],0)),"")</f>
        <v/>
      </c>
      <c r="L28" t="str">
        <f>IF(D28=Lookup!$G$7,INDEX(cards[name],MATCH('card-code'!E28,cards[object_id order],0)),"")</f>
        <v/>
      </c>
      <c r="M28" t="str">
        <f>IF($D28=Lookup!$L$9,INDEX(cards[icon],MATCH($E28,cards[object_id order],0)),"")</f>
        <v/>
      </c>
      <c r="N28" t="str">
        <f>IF(OR(D28=Lookup!$G$10,D28=Lookup!$G$11),INDEX(cards[[1]:[25]],MATCH($E28,cards[object_id order],0),'card-code'!G28),"")</f>
        <v/>
      </c>
      <c r="O28" t="str">
        <f t="shared" si="1"/>
        <v/>
      </c>
      <c r="P28" s="8" t="str">
        <f>INDEX(Lookup!$H$5:$H$11,MATCH(D28,Lookup!$G$5:$G$11,0))&amp;
K28&amp;L28&amp;M28&amp;N28&amp;
INDEX(Lookup!$I$5:$I$11,MATCH(D28,Lookup!$G$5:$G$11,0))</f>
        <v xml:space="preserve">  entities:</v>
      </c>
    </row>
    <row r="29" spans="2:16" x14ac:dyDescent="0.45">
      <c r="B29">
        <f t="shared" si="0"/>
        <v>27</v>
      </c>
      <c r="C29">
        <f t="shared" si="2"/>
        <v>6</v>
      </c>
      <c r="D29" t="str">
        <f>VLOOKUP(C29,Lookup!$F$5:$G$11,2,FALSE)</f>
        <v>entities</v>
      </c>
      <c r="E29">
        <f>IF(D29=Lookup!$G$5,E28+1,E28)</f>
        <v>4</v>
      </c>
      <c r="F29" s="3">
        <f>INDEX(cards[Entities count],MATCH('card-code'!E29,cards[object_id order],0))</f>
        <v>3</v>
      </c>
      <c r="G29">
        <f>IF(D28=Lookup!$G$9,1,IF(D28=Lookup!$G$10,G28+1,""))</f>
        <v>1</v>
      </c>
      <c r="H29">
        <f>IF(F29=1,  IF(D29=Lookup!$G$9,2,1),  IF(G29&lt;F29-1,0,1)  )</f>
        <v>0</v>
      </c>
      <c r="I29">
        <f>IF(D29&lt;&gt;Lookup!$G$7,0,IF(INDEX(cards[name],MATCH(E29,cards[object_id order],0))&lt;&gt;"",0,1))</f>
        <v>0</v>
      </c>
      <c r="J29">
        <f>IF(D29&lt;&gt;Lookup!$G$7,0,IF(INDEX(cards[icon],MATCH(E29,cards[object_id order],0))&lt;&gt;"",0,1))</f>
        <v>0</v>
      </c>
      <c r="K29" t="str">
        <f>IF(D29=Lookup!$G$6,INDEX(cards[object_id],MATCH('card-code'!E29,cards[object_id order],0)),"")</f>
        <v/>
      </c>
      <c r="L29" t="str">
        <f>IF(D29=Lookup!$G$7,INDEX(cards[name],MATCH('card-code'!E29,cards[object_id order],0)),"")</f>
        <v/>
      </c>
      <c r="M29" t="str">
        <f>IF($D29=Lookup!$L$9,INDEX(cards[icon],MATCH($E29,cards[object_id order],0)),"")</f>
        <v/>
      </c>
      <c r="N29" t="str">
        <f>IF(OR(D29=Lookup!$G$10,D29=Lookup!$G$11),INDEX(cards[[1]:[25]],MATCH($E29,cards[object_id order],0),'card-code'!G29),"")</f>
        <v>automation.rmbd_fan_off_at_12_pm</v>
      </c>
      <c r="O29" t="str">
        <f t="shared" si="1"/>
        <v/>
      </c>
      <c r="P29" s="8" t="str">
        <f>INDEX(Lookup!$H$5:$H$11,MATCH(D29,Lookup!$G$5:$G$11,0))&amp;
K29&amp;L29&amp;M29&amp;N29&amp;
INDEX(Lookup!$I$5:$I$11,MATCH(D29,Lookup!$G$5:$G$11,0))</f>
        <v xml:space="preserve">    - automation.rmbd_fan_off_at_12_pm</v>
      </c>
    </row>
    <row r="30" spans="2:16" x14ac:dyDescent="0.45">
      <c r="B30">
        <f t="shared" si="0"/>
        <v>28</v>
      </c>
      <c r="C30">
        <f t="shared" si="2"/>
        <v>6</v>
      </c>
      <c r="D30" t="str">
        <f>VLOOKUP(C30,Lookup!$F$5:$G$11,2,FALSE)</f>
        <v>entities</v>
      </c>
      <c r="E30">
        <f>IF(D30=Lookup!$G$5,E29+1,E29)</f>
        <v>4</v>
      </c>
      <c r="F30" s="3">
        <f>INDEX(cards[Entities count],MATCH('card-code'!E30,cards[object_id order],0))</f>
        <v>3</v>
      </c>
      <c r="G30">
        <f>IF(D29=Lookup!$G$9,1,IF(D29=Lookup!$G$10,G29+1,""))</f>
        <v>2</v>
      </c>
      <c r="H30">
        <f>IF(F30=1,  IF(D30=Lookup!$G$9,2,1),  IF(G30&lt;F30-1,0,1)  )</f>
        <v>1</v>
      </c>
      <c r="I30">
        <f>IF(D30&lt;&gt;Lookup!$G$7,0,IF(INDEX(cards[name],MATCH(E30,cards[object_id order],0))&lt;&gt;"",0,1))</f>
        <v>0</v>
      </c>
      <c r="J30">
        <f>IF(D30&lt;&gt;Lookup!$G$7,0,IF(INDEX(cards[icon],MATCH(E30,cards[object_id order],0))&lt;&gt;"",0,1))</f>
        <v>0</v>
      </c>
      <c r="K30" t="str">
        <f>IF(D30=Lookup!$G$6,INDEX(cards[object_id],MATCH('card-code'!E30,cards[object_id order],0)),"")</f>
        <v/>
      </c>
      <c r="L30" t="str">
        <f>IF(D30=Lookup!$G$7,INDEX(cards[name],MATCH('card-code'!E30,cards[object_id order],0)),"")</f>
        <v/>
      </c>
      <c r="M30" t="str">
        <f>IF($D30=Lookup!$L$9,INDEX(cards[icon],MATCH($E30,cards[object_id order],0)),"")</f>
        <v/>
      </c>
      <c r="N30" t="str">
        <f>IF(OR(D30=Lookup!$G$10,D30=Lookup!$G$11),INDEX(cards[[1]:[25]],MATCH($E30,cards[object_id order],0),'card-code'!G30),"")</f>
        <v>automation.rmbd_one_bulb_off_at_sunset</v>
      </c>
      <c r="O30" t="str">
        <f t="shared" si="1"/>
        <v/>
      </c>
      <c r="P30" s="8" t="str">
        <f>INDEX(Lookup!$H$5:$H$11,MATCH(D30,Lookup!$G$5:$G$11,0))&amp;
K30&amp;L30&amp;M30&amp;N30&amp;
INDEX(Lookup!$I$5:$I$11,MATCH(D30,Lookup!$G$5:$G$11,0))</f>
        <v xml:space="preserve">    - automation.rmbd_one_bulb_off_at_sunset</v>
      </c>
    </row>
    <row r="31" spans="2:16" x14ac:dyDescent="0.45">
      <c r="B31">
        <f t="shared" si="0"/>
        <v>29</v>
      </c>
      <c r="C31">
        <f t="shared" si="2"/>
        <v>7</v>
      </c>
      <c r="D31" t="str">
        <f>VLOOKUP(C31,Lookup!$F$5:$G$11,2,FALSE)</f>
        <v>entities end</v>
      </c>
      <c r="E31">
        <f>IF(D31=Lookup!$G$5,E30+1,E30)</f>
        <v>4</v>
      </c>
      <c r="F31" s="3">
        <f>INDEX(cards[Entities count],MATCH('card-code'!E31,cards[object_id order],0))</f>
        <v>3</v>
      </c>
      <c r="G31">
        <f>IF(D30=Lookup!$G$9,1,IF(D30=Lookup!$G$10,G30+1,""))</f>
        <v>3</v>
      </c>
      <c r="H31">
        <f>IF(F31=1,  IF(D31=Lookup!$G$9,2,1),  IF(G31&lt;F31-1,0,1)  )</f>
        <v>1</v>
      </c>
      <c r="I31">
        <f>IF(D31&lt;&gt;Lookup!$G$7,0,IF(INDEX(cards[name],MATCH(E31,cards[object_id order],0))&lt;&gt;"",0,1))</f>
        <v>0</v>
      </c>
      <c r="J31">
        <f>IF(D31&lt;&gt;Lookup!$G$7,0,IF(INDEX(cards[icon],MATCH(E31,cards[object_id order],0))&lt;&gt;"",0,1))</f>
        <v>0</v>
      </c>
      <c r="K31" t="str">
        <f>IF(D31=Lookup!$G$6,INDEX(cards[object_id],MATCH('card-code'!E31,cards[object_id order],0)),"")</f>
        <v/>
      </c>
      <c r="L31" t="str">
        <f>IF(D31=Lookup!$G$7,INDEX(cards[name],MATCH('card-code'!E31,cards[object_id order],0)),"")</f>
        <v/>
      </c>
      <c r="M31" t="str">
        <f>IF($D31=Lookup!$L$9,INDEX(cards[icon],MATCH($E31,cards[object_id order],0)),"")</f>
        <v/>
      </c>
      <c r="N31" t="str">
        <f>IF(OR(D31=Lookup!$G$10,D31=Lookup!$G$11),INDEX(cards[[1]:[25]],MATCH($E31,cards[object_id order],0),'card-code'!G31),"")</f>
        <v>automation.rmbd_one_bulb_on_with_switch_at_night</v>
      </c>
      <c r="O31" t="str">
        <f t="shared" si="1"/>
        <v/>
      </c>
      <c r="P31" s="8" t="str">
        <f>INDEX(Lookup!$H$5:$H$11,MATCH(D31,Lookup!$G$5:$G$11,0))&amp;
K31&amp;L31&amp;M31&amp;N31&amp;
INDEX(Lookup!$I$5:$I$11,MATCH(D31,Lookup!$G$5:$G$11,0))</f>
        <v xml:space="preserve">    - automation.rmbd_one_bulb_on_with_switch_at_night</v>
      </c>
    </row>
    <row r="32" spans="2:16" x14ac:dyDescent="0.45">
      <c r="B32">
        <f t="shared" si="0"/>
        <v>30</v>
      </c>
      <c r="C32">
        <f t="shared" si="2"/>
        <v>1</v>
      </c>
      <c r="D32" t="str">
        <f>VLOOKUP(C32,Lookup!$F$5:$G$11,2,FALSE)</f>
        <v>blank</v>
      </c>
      <c r="E32">
        <f>IF(D32=Lookup!$G$5,E31+1,E31)</f>
        <v>5</v>
      </c>
      <c r="F32" s="3">
        <f>INDEX(cards[Entities count],MATCH('card-code'!E32,cards[object_id order],0))</f>
        <v>2</v>
      </c>
      <c r="G32" t="str">
        <f>IF(D31=Lookup!$G$9,1,IF(D31=Lookup!$G$10,G31+1,""))</f>
        <v/>
      </c>
      <c r="H32">
        <f>IF(F32=1,  IF(D32=Lookup!$G$9,2,1),  IF(G32&lt;F32-1,0,1)  )</f>
        <v>1</v>
      </c>
      <c r="I32">
        <f>IF(D32&lt;&gt;Lookup!$G$7,0,IF(INDEX(cards[name],MATCH(E32,cards[object_id order],0))&lt;&gt;"",0,1))</f>
        <v>0</v>
      </c>
      <c r="J32">
        <f>IF(D32&lt;&gt;Lookup!$G$7,0,IF(INDEX(cards[icon],MATCH(E32,cards[object_id order],0))&lt;&gt;"",0,1))</f>
        <v>0</v>
      </c>
      <c r="K32" t="str">
        <f>IF(D32=Lookup!$G$6,INDEX(cards[object_id],MATCH('card-code'!E32,cards[object_id order],0)),"")</f>
        <v/>
      </c>
      <c r="L32" t="str">
        <f>IF(D32=Lookup!$G$7,INDEX(cards[name],MATCH('card-code'!E32,cards[object_id order],0)),"")</f>
        <v/>
      </c>
      <c r="M32" t="str">
        <f>IF($D32=Lookup!$L$9,INDEX(cards[icon],MATCH($E32,cards[object_id order],0)),"")</f>
        <v/>
      </c>
      <c r="N32" t="str">
        <f>IF(OR(D32=Lookup!$G$10,D32=Lookup!$G$11),INDEX(cards[[1]:[25]],MATCH($E32,cards[object_id order],0),'card-code'!G32),"")</f>
        <v/>
      </c>
      <c r="O32" t="str">
        <f t="shared" si="1"/>
        <v/>
      </c>
      <c r="P32" s="8" t="str">
        <f>INDEX(Lookup!$H$5:$H$11,MATCH(D32,Lookup!$G$5:$G$11,0))&amp;
K32&amp;L32&amp;M32&amp;N32&amp;
INDEX(Lookup!$I$5:$I$11,MATCH(D32,Lookup!$G$5:$G$11,0))</f>
        <v/>
      </c>
    </row>
    <row r="33" spans="2:16" x14ac:dyDescent="0.45">
      <c r="B33">
        <f t="shared" si="0"/>
        <v>31</v>
      </c>
      <c r="C33">
        <f t="shared" si="2"/>
        <v>2</v>
      </c>
      <c r="D33" t="str">
        <f>VLOOKUP(C33,Lookup!$F$5:$G$11,2,FALSE)</f>
        <v>card</v>
      </c>
      <c r="E33">
        <f>IF(D33=Lookup!$G$5,E32+1,E32)</f>
        <v>5</v>
      </c>
      <c r="F33" s="3">
        <f>INDEX(cards[Entities count],MATCH('card-code'!E33,cards[object_id order],0))</f>
        <v>2</v>
      </c>
      <c r="G33" t="str">
        <f>IF(D32=Lookup!$G$9,1,IF(D32=Lookup!$G$10,G32+1,""))</f>
        <v/>
      </c>
      <c r="H33">
        <f>IF(F33=1,  IF(D33=Lookup!$G$9,2,1),  IF(G33&lt;F33-1,0,1)  )</f>
        <v>1</v>
      </c>
      <c r="I33">
        <f>IF(D33&lt;&gt;Lookup!$G$7,0,IF(INDEX(cards[name],MATCH(E33,cards[object_id order],0))&lt;&gt;"",0,1))</f>
        <v>0</v>
      </c>
      <c r="J33">
        <f>IF(D33&lt;&gt;Lookup!$G$7,0,IF(INDEX(cards[icon],MATCH(E33,cards[object_id order],0))&lt;&gt;"",0,1))</f>
        <v>0</v>
      </c>
      <c r="K33" t="str">
        <f>IF(D33=Lookup!$G$6,INDEX(cards[object_id],MATCH('card-code'!E33,cards[object_id order],0)),"")</f>
        <v>automation_rmlv</v>
      </c>
      <c r="L33" t="str">
        <f>IF(D33=Lookup!$G$7,INDEX(cards[name],MATCH('card-code'!E33,cards[object_id order],0)),"")</f>
        <v/>
      </c>
      <c r="M33" t="str">
        <f>IF($D33=Lookup!$L$9,INDEX(cards[icon],MATCH($E33,cards[object_id order],0)),"")</f>
        <v/>
      </c>
      <c r="N33" t="str">
        <f>IF(OR(D33=Lookup!$G$10,D33=Lookup!$G$11),INDEX(cards[[1]:[25]],MATCH($E33,cards[object_id order],0),'card-code'!G33),"")</f>
        <v/>
      </c>
      <c r="O33" t="str">
        <f t="shared" si="1"/>
        <v/>
      </c>
      <c r="P33" s="8" t="str">
        <f>INDEX(Lookup!$H$5:$H$11,MATCH(D33,Lookup!$G$5:$G$11,0))&amp;
K33&amp;L33&amp;M33&amp;N33&amp;
INDEX(Lookup!$I$5:$I$11,MATCH(D33,Lookup!$G$5:$G$11,0))</f>
        <v>automation_rmlv:</v>
      </c>
    </row>
    <row r="34" spans="2:16" x14ac:dyDescent="0.45">
      <c r="B34">
        <f t="shared" si="0"/>
        <v>32</v>
      </c>
      <c r="C34">
        <f t="shared" si="2"/>
        <v>3</v>
      </c>
      <c r="D34" t="str">
        <f>VLOOKUP(C34,Lookup!$F$5:$G$11,2,FALSE)</f>
        <v>name</v>
      </c>
      <c r="E34">
        <f>IF(D34=Lookup!$G$5,E33+1,E33)</f>
        <v>5</v>
      </c>
      <c r="F34" s="3">
        <f>INDEX(cards[Entities count],MATCH('card-code'!E34,cards[object_id order],0))</f>
        <v>2</v>
      </c>
      <c r="G34" t="str">
        <f>IF(D33=Lookup!$G$9,1,IF(D33=Lookup!$G$10,G33+1,""))</f>
        <v/>
      </c>
      <c r="H34">
        <f>IF(F34=1,  IF(D34=Lookup!$G$9,2,1),  IF(G34&lt;F34-1,0,1)  )</f>
        <v>1</v>
      </c>
      <c r="I34">
        <f>IF(D34&lt;&gt;Lookup!$G$7,0,IF(INDEX(cards[name],MATCH(E34,cards[object_id order],0))&lt;&gt;"",0,1))</f>
        <v>0</v>
      </c>
      <c r="J34">
        <f>IF(D34&lt;&gt;Lookup!$G$7,0,IF(INDEX(cards[icon],MATCH(E34,cards[object_id order],0))&lt;&gt;"",0,1))</f>
        <v>1</v>
      </c>
      <c r="K34" t="str">
        <f>IF(D34=Lookup!$G$6,INDEX(cards[object_id],MATCH('card-code'!E34,cards[object_id order],0)),"")</f>
        <v/>
      </c>
      <c r="L34" t="str">
        <f>IF(D34=Lookup!$G$7,INDEX(cards[name],MATCH('card-code'!E34,cards[object_id order],0)),"")</f>
        <v>Automation || Living Room</v>
      </c>
      <c r="M34" t="str">
        <f>IF($D34=Lookup!$L$9,INDEX(cards[icon],MATCH($E34,cards[object_id order],0)),"")</f>
        <v/>
      </c>
      <c r="N34" t="str">
        <f>IF(OR(D34=Lookup!$G$10,D34=Lookup!$G$11),INDEX(cards[[1]:[25]],MATCH($E34,cards[object_id order],0),'card-code'!G34),"")</f>
        <v/>
      </c>
      <c r="O34" t="str">
        <f t="shared" si="1"/>
        <v/>
      </c>
      <c r="P34" s="8" t="str">
        <f>INDEX(Lookup!$H$5:$H$11,MATCH(D34,Lookup!$G$5:$G$11,0))&amp;
K34&amp;L34&amp;M34&amp;N34&amp;
INDEX(Lookup!$I$5:$I$11,MATCH(D34,Lookup!$G$5:$G$11,0))</f>
        <v xml:space="preserve">  name: "Automation || Living Room"</v>
      </c>
    </row>
    <row r="35" spans="2:16" x14ac:dyDescent="0.45">
      <c r="B35">
        <f t="shared" si="0"/>
        <v>33</v>
      </c>
      <c r="C35">
        <f t="shared" si="2"/>
        <v>5</v>
      </c>
      <c r="D35" t="str">
        <f>VLOOKUP(C35,Lookup!$F$5:$G$11,2,FALSE)</f>
        <v>entities header</v>
      </c>
      <c r="E35">
        <f>IF(D35=Lookup!$G$5,E34+1,E34)</f>
        <v>5</v>
      </c>
      <c r="F35" s="3">
        <f>INDEX(cards[Entities count],MATCH('card-code'!E35,cards[object_id order],0))</f>
        <v>2</v>
      </c>
      <c r="G35" t="str">
        <f>IF(D34=Lookup!$G$9,1,IF(D34=Lookup!$G$10,G34+1,""))</f>
        <v/>
      </c>
      <c r="H35">
        <f>IF(F35=1,  IF(D35=Lookup!$G$9,2,1),  IF(G35&lt;F35-1,0,1)  )</f>
        <v>1</v>
      </c>
      <c r="I35">
        <f>IF(D35&lt;&gt;Lookup!$G$7,0,IF(INDEX(cards[name],MATCH(E35,cards[object_id order],0))&lt;&gt;"",0,1))</f>
        <v>0</v>
      </c>
      <c r="J35">
        <f>IF(D35&lt;&gt;Lookup!$G$7,0,IF(INDEX(cards[icon],MATCH(E35,cards[object_id order],0))&lt;&gt;"",0,1))</f>
        <v>0</v>
      </c>
      <c r="K35" t="str">
        <f>IF(D35=Lookup!$G$6,INDEX(cards[object_id],MATCH('card-code'!E35,cards[object_id order],0)),"")</f>
        <v/>
      </c>
      <c r="L35" t="str">
        <f>IF(D35=Lookup!$G$7,INDEX(cards[name],MATCH('card-code'!E35,cards[object_id order],0)),"")</f>
        <v/>
      </c>
      <c r="M35" t="str">
        <f>IF($D35=Lookup!$L$9,INDEX(cards[icon],MATCH($E35,cards[object_id order],0)),"")</f>
        <v/>
      </c>
      <c r="N35" t="str">
        <f>IF(OR(D35=Lookup!$G$10,D35=Lookup!$G$11),INDEX(cards[[1]:[25]],MATCH($E35,cards[object_id order],0),'card-code'!G35),"")</f>
        <v/>
      </c>
      <c r="O35" t="str">
        <f t="shared" si="1"/>
        <v/>
      </c>
      <c r="P35" s="8" t="str">
        <f>INDEX(Lookup!$H$5:$H$11,MATCH(D35,Lookup!$G$5:$G$11,0))&amp;
K35&amp;L35&amp;M35&amp;N35&amp;
INDEX(Lookup!$I$5:$I$11,MATCH(D35,Lookup!$G$5:$G$11,0))</f>
        <v xml:space="preserve">  entities:</v>
      </c>
    </row>
    <row r="36" spans="2:16" x14ac:dyDescent="0.45">
      <c r="B36">
        <f t="shared" si="0"/>
        <v>34</v>
      </c>
      <c r="C36">
        <f t="shared" si="2"/>
        <v>6</v>
      </c>
      <c r="D36" t="str">
        <f>VLOOKUP(C36,Lookup!$F$5:$G$11,2,FALSE)</f>
        <v>entities</v>
      </c>
      <c r="E36">
        <f>IF(D36=Lookup!$G$5,E35+1,E35)</f>
        <v>5</v>
      </c>
      <c r="F36" s="3">
        <f>INDEX(cards[Entities count],MATCH('card-code'!E36,cards[object_id order],0))</f>
        <v>2</v>
      </c>
      <c r="G36">
        <f>IF(D35=Lookup!$G$9,1,IF(D35=Lookup!$G$10,G35+1,""))</f>
        <v>1</v>
      </c>
      <c r="H36">
        <f>IF(F36=1,  IF(D36=Lookup!$G$9,2,1),  IF(G36&lt;F36-1,0,1)  )</f>
        <v>1</v>
      </c>
      <c r="I36">
        <f>IF(D36&lt;&gt;Lookup!$G$7,0,IF(INDEX(cards[name],MATCH(E36,cards[object_id order],0))&lt;&gt;"",0,1))</f>
        <v>0</v>
      </c>
      <c r="J36">
        <f>IF(D36&lt;&gt;Lookup!$G$7,0,IF(INDEX(cards[icon],MATCH(E36,cards[object_id order],0))&lt;&gt;"",0,1))</f>
        <v>0</v>
      </c>
      <c r="K36" t="str">
        <f>IF(D36=Lookup!$G$6,INDEX(cards[object_id],MATCH('card-code'!E36,cards[object_id order],0)),"")</f>
        <v/>
      </c>
      <c r="L36" t="str">
        <f>IF(D36=Lookup!$G$7,INDEX(cards[name],MATCH('card-code'!E36,cards[object_id order],0)),"")</f>
        <v/>
      </c>
      <c r="M36" t="str">
        <f>IF($D36=Lookup!$L$9,INDEX(cards[icon],MATCH($E36,cards[object_id order],0)),"")</f>
        <v/>
      </c>
      <c r="N36" t="str">
        <f>IF(OR(D36=Lookup!$G$10,D36=Lookup!$G$11),INDEX(cards[[1]:[25]],MATCH($E36,cards[object_id order],0),'card-code'!G36),"")</f>
        <v>automation.rmlv_amp_off_at_3_am</v>
      </c>
      <c r="O36" t="str">
        <f t="shared" si="1"/>
        <v/>
      </c>
      <c r="P36" s="8" t="str">
        <f>INDEX(Lookup!$H$5:$H$11,MATCH(D36,Lookup!$G$5:$G$11,0))&amp;
K36&amp;L36&amp;M36&amp;N36&amp;
INDEX(Lookup!$I$5:$I$11,MATCH(D36,Lookup!$G$5:$G$11,0))</f>
        <v xml:space="preserve">    - automation.rmlv_amp_off_at_3_am</v>
      </c>
    </row>
    <row r="37" spans="2:16" x14ac:dyDescent="0.45">
      <c r="B37">
        <f t="shared" si="0"/>
        <v>35</v>
      </c>
      <c r="C37">
        <f t="shared" si="2"/>
        <v>7</v>
      </c>
      <c r="D37" t="str">
        <f>VLOOKUP(C37,Lookup!$F$5:$G$11,2,FALSE)</f>
        <v>entities end</v>
      </c>
      <c r="E37">
        <f>IF(D37=Lookup!$G$5,E36+1,E36)</f>
        <v>5</v>
      </c>
      <c r="F37" s="3">
        <f>INDEX(cards[Entities count],MATCH('card-code'!E37,cards[object_id order],0))</f>
        <v>2</v>
      </c>
      <c r="G37">
        <f>IF(D36=Lookup!$G$9,1,IF(D36=Lookup!$G$10,G36+1,""))</f>
        <v>2</v>
      </c>
      <c r="H37">
        <f>IF(F37=1,  IF(D37=Lookup!$G$9,2,1),  IF(G37&lt;F37-1,0,1)  )</f>
        <v>1</v>
      </c>
      <c r="I37">
        <f>IF(D37&lt;&gt;Lookup!$G$7,0,IF(INDEX(cards[name],MATCH(E37,cards[object_id order],0))&lt;&gt;"",0,1))</f>
        <v>0</v>
      </c>
      <c r="J37">
        <f>IF(D37&lt;&gt;Lookup!$G$7,0,IF(INDEX(cards[icon],MATCH(E37,cards[object_id order],0))&lt;&gt;"",0,1))</f>
        <v>0</v>
      </c>
      <c r="K37" t="str">
        <f>IF(D37=Lookup!$G$6,INDEX(cards[object_id],MATCH('card-code'!E37,cards[object_id order],0)),"")</f>
        <v/>
      </c>
      <c r="L37" t="str">
        <f>IF(D37=Lookup!$G$7,INDEX(cards[name],MATCH('card-code'!E37,cards[object_id order],0)),"")</f>
        <v/>
      </c>
      <c r="M37" t="str">
        <f>IF($D37=Lookup!$L$9,INDEX(cards[icon],MATCH($E37,cards[object_id order],0)),"")</f>
        <v/>
      </c>
      <c r="N37" t="str">
        <f>IF(OR(D37=Lookup!$G$10,D37=Lookup!$G$11),INDEX(cards[[1]:[25]],MATCH($E37,cards[object_id order],0),'card-code'!G37),"")</f>
        <v>automation.rmlv_amp_off_with_humvee</v>
      </c>
      <c r="O37" t="str">
        <f t="shared" si="1"/>
        <v/>
      </c>
      <c r="P37" s="8" t="str">
        <f>INDEX(Lookup!$H$5:$H$11,MATCH(D37,Lookup!$G$5:$G$11,0))&amp;
K37&amp;L37&amp;M37&amp;N37&amp;
INDEX(Lookup!$I$5:$I$11,MATCH(D37,Lookup!$G$5:$G$11,0))</f>
        <v xml:space="preserve">    - automation.rmlv_amp_off_with_humvee</v>
      </c>
    </row>
    <row r="38" spans="2:16" x14ac:dyDescent="0.45">
      <c r="B38">
        <f t="shared" si="0"/>
        <v>36</v>
      </c>
      <c r="C38">
        <f t="shared" si="2"/>
        <v>1</v>
      </c>
      <c r="D38" t="str">
        <f>VLOOKUP(C38,Lookup!$F$5:$G$11,2,FALSE)</f>
        <v>blank</v>
      </c>
      <c r="E38">
        <f>IF(D38=Lookup!$G$5,E37+1,E37)</f>
        <v>6</v>
      </c>
      <c r="F38" s="3">
        <f>INDEX(cards[Entities count],MATCH('card-code'!E38,cards[object_id order],0))</f>
        <v>6</v>
      </c>
      <c r="G38" t="str">
        <f>IF(D37=Lookup!$G$9,1,IF(D37=Lookup!$G$10,G37+1,""))</f>
        <v/>
      </c>
      <c r="H38">
        <f>IF(F38=1,  IF(D38=Lookup!$G$9,2,1),  IF(G38&lt;F38-1,0,1)  )</f>
        <v>1</v>
      </c>
      <c r="I38">
        <f>IF(D38&lt;&gt;Lookup!$G$7,0,IF(INDEX(cards[name],MATCH(E38,cards[object_id order],0))&lt;&gt;"",0,1))</f>
        <v>0</v>
      </c>
      <c r="J38">
        <f>IF(D38&lt;&gt;Lookup!$G$7,0,IF(INDEX(cards[icon],MATCH(E38,cards[object_id order],0))&lt;&gt;"",0,1))</f>
        <v>0</v>
      </c>
      <c r="K38" t="str">
        <f>IF(D38=Lookup!$G$6,INDEX(cards[object_id],MATCH('card-code'!E38,cards[object_id order],0)),"")</f>
        <v/>
      </c>
      <c r="L38" t="str">
        <f>IF(D38=Lookup!$G$7,INDEX(cards[name],MATCH('card-code'!E38,cards[object_id order],0)),"")</f>
        <v/>
      </c>
      <c r="M38" t="str">
        <f>IF($D38=Lookup!$L$9,INDEX(cards[icon],MATCH($E38,cards[object_id order],0)),"")</f>
        <v/>
      </c>
      <c r="N38" t="str">
        <f>IF(OR(D38=Lookup!$G$10,D38=Lookup!$G$11),INDEX(cards[[1]:[25]],MATCH($E38,cards[object_id order],0),'card-code'!G38),"")</f>
        <v/>
      </c>
      <c r="O38" t="str">
        <f t="shared" si="1"/>
        <v/>
      </c>
      <c r="P38" s="8" t="str">
        <f>INDEX(Lookup!$H$5:$H$11,MATCH(D38,Lookup!$G$5:$G$11,0))&amp;
K38&amp;L38&amp;M38&amp;N38&amp;
INDEX(Lookup!$I$5:$I$11,MATCH(D38,Lookup!$G$5:$G$11,0))</f>
        <v/>
      </c>
    </row>
    <row r="39" spans="2:16" x14ac:dyDescent="0.45">
      <c r="B39">
        <f t="shared" si="0"/>
        <v>37</v>
      </c>
      <c r="C39">
        <f t="shared" si="2"/>
        <v>2</v>
      </c>
      <c r="D39" t="str">
        <f>VLOOKUP(C39,Lookup!$F$5:$G$11,2,FALSE)</f>
        <v>card</v>
      </c>
      <c r="E39">
        <f>IF(D39=Lookup!$G$5,E38+1,E38)</f>
        <v>6</v>
      </c>
      <c r="F39" s="3">
        <f>INDEX(cards[Entities count],MATCH('card-code'!E39,cards[object_id order],0))</f>
        <v>6</v>
      </c>
      <c r="G39" t="str">
        <f>IF(D38=Lookup!$G$9,1,IF(D38=Lookup!$G$10,G38+1,""))</f>
        <v/>
      </c>
      <c r="H39">
        <f>IF(F39=1,  IF(D39=Lookup!$G$9,2,1),  IF(G39&lt;F39-1,0,1)  )</f>
        <v>1</v>
      </c>
      <c r="I39">
        <f>IF(D39&lt;&gt;Lookup!$G$7,0,IF(INDEX(cards[name],MATCH(E39,cards[object_id order],0))&lt;&gt;"",0,1))</f>
        <v>0</v>
      </c>
      <c r="J39">
        <f>IF(D39&lt;&gt;Lookup!$G$7,0,IF(INDEX(cards[icon],MATCH(E39,cards[object_id order],0))&lt;&gt;"",0,1))</f>
        <v>0</v>
      </c>
      <c r="K39" t="str">
        <f>IF(D39=Lookup!$G$6,INDEX(cards[object_id],MATCH('card-code'!E39,cards[object_id order],0)),"")</f>
        <v>automation_rmlvtv</v>
      </c>
      <c r="L39" t="str">
        <f>IF(D39=Lookup!$G$7,INDEX(cards[name],MATCH('card-code'!E39,cards[object_id order],0)),"")</f>
        <v/>
      </c>
      <c r="M39" t="str">
        <f>IF($D39=Lookup!$L$9,INDEX(cards[icon],MATCH($E39,cards[object_id order],0)),"")</f>
        <v/>
      </c>
      <c r="N39" t="str">
        <f>IF(OR(D39=Lookup!$G$10,D39=Lookup!$G$11),INDEX(cards[[1]:[25]],MATCH($E39,cards[object_id order],0),'card-code'!G39),"")</f>
        <v/>
      </c>
      <c r="O39" t="str">
        <f t="shared" si="1"/>
        <v/>
      </c>
      <c r="P39" s="8" t="str">
        <f>INDEX(Lookup!$H$5:$H$11,MATCH(D39,Lookup!$G$5:$G$11,0))&amp;
K39&amp;L39&amp;M39&amp;N39&amp;
INDEX(Lookup!$I$5:$I$11,MATCH(D39,Lookup!$G$5:$G$11,0))</f>
        <v>automation_rmlvtv:</v>
      </c>
    </row>
    <row r="40" spans="2:16" x14ac:dyDescent="0.45">
      <c r="B40">
        <f t="shared" si="0"/>
        <v>38</v>
      </c>
      <c r="C40">
        <f t="shared" si="2"/>
        <v>3</v>
      </c>
      <c r="D40" t="str">
        <f>VLOOKUP(C40,Lookup!$F$5:$G$11,2,FALSE)</f>
        <v>name</v>
      </c>
      <c r="E40">
        <f>IF(D40=Lookup!$G$5,E39+1,E39)</f>
        <v>6</v>
      </c>
      <c r="F40" s="3">
        <f>INDEX(cards[Entities count],MATCH('card-code'!E40,cards[object_id order],0))</f>
        <v>6</v>
      </c>
      <c r="G40" t="str">
        <f>IF(D39=Lookup!$G$9,1,IF(D39=Lookup!$G$10,G39+1,""))</f>
        <v/>
      </c>
      <c r="H40">
        <f>IF(F40=1,  IF(D40=Lookup!$G$9,2,1),  IF(G40&lt;F40-1,0,1)  )</f>
        <v>1</v>
      </c>
      <c r="I40">
        <f>IF(D40&lt;&gt;Lookup!$G$7,0,IF(INDEX(cards[name],MATCH(E40,cards[object_id order],0))&lt;&gt;"",0,1))</f>
        <v>0</v>
      </c>
      <c r="J40">
        <f>IF(D40&lt;&gt;Lookup!$G$7,0,IF(INDEX(cards[icon],MATCH(E40,cards[object_id order],0))&lt;&gt;"",0,1))</f>
        <v>1</v>
      </c>
      <c r="K40" t="str">
        <f>IF(D40=Lookup!$G$6,INDEX(cards[object_id],MATCH('card-code'!E40,cards[object_id order],0)),"")</f>
        <v/>
      </c>
      <c r="L40" t="str">
        <f>IF(D40=Lookup!$G$7,INDEX(cards[name],MATCH('card-code'!E40,cards[object_id order],0)),"")</f>
        <v>Automation || Living Room TV</v>
      </c>
      <c r="M40" t="str">
        <f>IF($D40=Lookup!$L$9,INDEX(cards[icon],MATCH($E40,cards[object_id order],0)),"")</f>
        <v/>
      </c>
      <c r="N40" t="str">
        <f>IF(OR(D40=Lookup!$G$10,D40=Lookup!$G$11),INDEX(cards[[1]:[25]],MATCH($E40,cards[object_id order],0),'card-code'!G40),"")</f>
        <v/>
      </c>
      <c r="O40" t="str">
        <f t="shared" si="1"/>
        <v/>
      </c>
      <c r="P40" s="8" t="str">
        <f>INDEX(Lookup!$H$5:$H$11,MATCH(D40,Lookup!$G$5:$G$11,0))&amp;
K40&amp;L40&amp;M40&amp;N40&amp;
INDEX(Lookup!$I$5:$I$11,MATCH(D40,Lookup!$G$5:$G$11,0))</f>
        <v xml:space="preserve">  name: "Automation || Living Room TV"</v>
      </c>
    </row>
    <row r="41" spans="2:16" x14ac:dyDescent="0.45">
      <c r="B41">
        <f t="shared" si="0"/>
        <v>39</v>
      </c>
      <c r="C41">
        <f t="shared" si="2"/>
        <v>5</v>
      </c>
      <c r="D41" t="str">
        <f>VLOOKUP(C41,Lookup!$F$5:$G$11,2,FALSE)</f>
        <v>entities header</v>
      </c>
      <c r="E41">
        <f>IF(D41=Lookup!$G$5,E40+1,E40)</f>
        <v>6</v>
      </c>
      <c r="F41" s="3">
        <f>INDEX(cards[Entities count],MATCH('card-code'!E41,cards[object_id order],0))</f>
        <v>6</v>
      </c>
      <c r="G41" t="str">
        <f>IF(D40=Lookup!$G$9,1,IF(D40=Lookup!$G$10,G40+1,""))</f>
        <v/>
      </c>
      <c r="H41">
        <f>IF(F41=1,  IF(D41=Lookup!$G$9,2,1),  IF(G41&lt;F41-1,0,1)  )</f>
        <v>1</v>
      </c>
      <c r="I41">
        <f>IF(D41&lt;&gt;Lookup!$G$7,0,IF(INDEX(cards[name],MATCH(E41,cards[object_id order],0))&lt;&gt;"",0,1))</f>
        <v>0</v>
      </c>
      <c r="J41">
        <f>IF(D41&lt;&gt;Lookup!$G$7,0,IF(INDEX(cards[icon],MATCH(E41,cards[object_id order],0))&lt;&gt;"",0,1))</f>
        <v>0</v>
      </c>
      <c r="K41" t="str">
        <f>IF(D41=Lookup!$G$6,INDEX(cards[object_id],MATCH('card-code'!E41,cards[object_id order],0)),"")</f>
        <v/>
      </c>
      <c r="L41" t="str">
        <f>IF(D41=Lookup!$G$7,INDEX(cards[name],MATCH('card-code'!E41,cards[object_id order],0)),"")</f>
        <v/>
      </c>
      <c r="M41" t="str">
        <f>IF($D41=Lookup!$L$9,INDEX(cards[icon],MATCH($E41,cards[object_id order],0)),"")</f>
        <v/>
      </c>
      <c r="N41" t="str">
        <f>IF(OR(D41=Lookup!$G$10,D41=Lookup!$G$11),INDEX(cards[[1]:[25]],MATCH($E41,cards[object_id order],0),'card-code'!G41),"")</f>
        <v/>
      </c>
      <c r="O41" t="str">
        <f t="shared" si="1"/>
        <v/>
      </c>
      <c r="P41" s="8" t="str">
        <f>INDEX(Lookup!$H$5:$H$11,MATCH(D41,Lookup!$G$5:$G$11,0))&amp;
K41&amp;L41&amp;M41&amp;N41&amp;
INDEX(Lookup!$I$5:$I$11,MATCH(D41,Lookup!$G$5:$G$11,0))</f>
        <v xml:space="preserve">  entities:</v>
      </c>
    </row>
    <row r="42" spans="2:16" x14ac:dyDescent="0.45">
      <c r="B42">
        <f t="shared" si="0"/>
        <v>40</v>
      </c>
      <c r="C42">
        <f t="shared" si="2"/>
        <v>6</v>
      </c>
      <c r="D42" t="str">
        <f>VLOOKUP(C42,Lookup!$F$5:$G$11,2,FALSE)</f>
        <v>entities</v>
      </c>
      <c r="E42">
        <f>IF(D42=Lookup!$G$5,E41+1,E41)</f>
        <v>6</v>
      </c>
      <c r="F42" s="3">
        <f>INDEX(cards[Entities count],MATCH('card-code'!E42,cards[object_id order],0))</f>
        <v>6</v>
      </c>
      <c r="G42">
        <f>IF(D41=Lookup!$G$9,1,IF(D41=Lookup!$G$10,G41+1,""))</f>
        <v>1</v>
      </c>
      <c r="H42">
        <f>IF(F42=1,  IF(D42=Lookup!$G$9,2,1),  IF(G42&lt;F42-1,0,1)  )</f>
        <v>0</v>
      </c>
      <c r="I42">
        <f>IF(D42&lt;&gt;Lookup!$G$7,0,IF(INDEX(cards[name],MATCH(E42,cards[object_id order],0))&lt;&gt;"",0,1))</f>
        <v>0</v>
      </c>
      <c r="J42">
        <f>IF(D42&lt;&gt;Lookup!$G$7,0,IF(INDEX(cards[icon],MATCH(E42,cards[object_id order],0))&lt;&gt;"",0,1))</f>
        <v>0</v>
      </c>
      <c r="K42" t="str">
        <f>IF(D42=Lookup!$G$6,INDEX(cards[object_id],MATCH('card-code'!E42,cards[object_id order],0)),"")</f>
        <v/>
      </c>
      <c r="L42" t="str">
        <f>IF(D42=Lookup!$G$7,INDEX(cards[name],MATCH('card-code'!E42,cards[object_id order],0)),"")</f>
        <v/>
      </c>
      <c r="M42" t="str">
        <f>IF($D42=Lookup!$L$9,INDEX(cards[icon],MATCH($E42,cards[object_id order],0)),"")</f>
        <v/>
      </c>
      <c r="N42" t="str">
        <f>IF(OR(D42=Lookup!$G$10,D42=Lookup!$G$11),INDEX(cards[[1]:[25]],MATCH($E42,cards[object_id order],0),'card-code'!G42),"")</f>
        <v>automation.rmlvtv_chromecast_volume_to_4_on_start</v>
      </c>
      <c r="O42" t="str">
        <f t="shared" si="1"/>
        <v/>
      </c>
      <c r="P42" s="8" t="str">
        <f>INDEX(Lookup!$H$5:$H$11,MATCH(D42,Lookup!$G$5:$G$11,0))&amp;
K42&amp;L42&amp;M42&amp;N42&amp;
INDEX(Lookup!$I$5:$I$11,MATCH(D42,Lookup!$G$5:$G$11,0))</f>
        <v xml:space="preserve">    - automation.rmlvtv_chromecast_volume_to_4_on_start</v>
      </c>
    </row>
    <row r="43" spans="2:16" x14ac:dyDescent="0.45">
      <c r="B43">
        <f t="shared" si="0"/>
        <v>41</v>
      </c>
      <c r="C43">
        <f t="shared" si="2"/>
        <v>6</v>
      </c>
      <c r="D43" t="str">
        <f>VLOOKUP(C43,Lookup!$F$5:$G$11,2,FALSE)</f>
        <v>entities</v>
      </c>
      <c r="E43">
        <f>IF(D43=Lookup!$G$5,E42+1,E42)</f>
        <v>6</v>
      </c>
      <c r="F43" s="3">
        <f>INDEX(cards[Entities count],MATCH('card-code'!E43,cards[object_id order],0))</f>
        <v>6</v>
      </c>
      <c r="G43">
        <f>IF(D42=Lookup!$G$9,1,IF(D42=Lookup!$G$10,G42+1,""))</f>
        <v>2</v>
      </c>
      <c r="H43">
        <f>IF(F43=1,  IF(D43=Lookup!$G$9,2,1),  IF(G43&lt;F43-1,0,1)  )</f>
        <v>0</v>
      </c>
      <c r="I43">
        <f>IF(D43&lt;&gt;Lookup!$G$7,0,IF(INDEX(cards[name],MATCH(E43,cards[object_id order],0))&lt;&gt;"",0,1))</f>
        <v>0</v>
      </c>
      <c r="J43">
        <f>IF(D43&lt;&gt;Lookup!$G$7,0,IF(INDEX(cards[icon],MATCH(E43,cards[object_id order],0))&lt;&gt;"",0,1))</f>
        <v>0</v>
      </c>
      <c r="K43" t="str">
        <f>IF(D43=Lookup!$G$6,INDEX(cards[object_id],MATCH('card-code'!E43,cards[object_id order],0)),"")</f>
        <v/>
      </c>
      <c r="L43" t="str">
        <f>IF(D43=Lookup!$G$7,INDEX(cards[name],MATCH('card-code'!E43,cards[object_id order],0)),"")</f>
        <v/>
      </c>
      <c r="M43" t="str">
        <f>IF($D43=Lookup!$L$9,INDEX(cards[icon],MATCH($E43,cards[object_id order],0)),"")</f>
        <v/>
      </c>
      <c r="N43" t="str">
        <f>IF(OR(D43=Lookup!$G$10,D43=Lookup!$G$11),INDEX(cards[[1]:[25]],MATCH($E43,cards[object_id order],0),'card-code'!G43),"")</f>
        <v>automation.rmlvtv_tv_off_with_chromecast_from_playing</v>
      </c>
      <c r="O43" t="str">
        <f t="shared" si="1"/>
        <v/>
      </c>
      <c r="P43" s="8" t="str">
        <f>INDEX(Lookup!$H$5:$H$11,MATCH(D43,Lookup!$G$5:$G$11,0))&amp;
K43&amp;L43&amp;M43&amp;N43&amp;
INDEX(Lookup!$I$5:$I$11,MATCH(D43,Lookup!$G$5:$G$11,0))</f>
        <v xml:space="preserve">    - automation.rmlvtv_tv_off_with_chromecast_from_playing</v>
      </c>
    </row>
    <row r="44" spans="2:16" x14ac:dyDescent="0.45">
      <c r="B44">
        <f t="shared" si="0"/>
        <v>42</v>
      </c>
      <c r="C44">
        <f t="shared" si="2"/>
        <v>6</v>
      </c>
      <c r="D44" t="str">
        <f>VLOOKUP(C44,Lookup!$F$5:$G$11,2,FALSE)</f>
        <v>entities</v>
      </c>
      <c r="E44">
        <f>IF(D44=Lookup!$G$5,E43+1,E43)</f>
        <v>6</v>
      </c>
      <c r="F44" s="3">
        <f>INDEX(cards[Entities count],MATCH('card-code'!E44,cards[object_id order],0))</f>
        <v>6</v>
      </c>
      <c r="G44">
        <f>IF(D43=Lookup!$G$9,1,IF(D43=Lookup!$G$10,G43+1,""))</f>
        <v>3</v>
      </c>
      <c r="H44">
        <f>IF(F44=1,  IF(D44=Lookup!$G$9,2,1),  IF(G44&lt;F44-1,0,1)  )</f>
        <v>0</v>
      </c>
      <c r="I44">
        <f>IF(D44&lt;&gt;Lookup!$G$7,0,IF(INDEX(cards[name],MATCH(E44,cards[object_id order],0))&lt;&gt;"",0,1))</f>
        <v>0</v>
      </c>
      <c r="J44">
        <f>IF(D44&lt;&gt;Lookup!$G$7,0,IF(INDEX(cards[icon],MATCH(E44,cards[object_id order],0))&lt;&gt;"",0,1))</f>
        <v>0</v>
      </c>
      <c r="K44" t="str">
        <f>IF(D44=Lookup!$G$6,INDEX(cards[object_id],MATCH('card-code'!E44,cards[object_id order],0)),"")</f>
        <v/>
      </c>
      <c r="L44" t="str">
        <f>IF(D44=Lookup!$G$7,INDEX(cards[name],MATCH('card-code'!E44,cards[object_id order],0)),"")</f>
        <v/>
      </c>
      <c r="M44" t="str">
        <f>IF($D44=Lookup!$L$9,INDEX(cards[icon],MATCH($E44,cards[object_id order],0)),"")</f>
        <v/>
      </c>
      <c r="N44" t="str">
        <f>IF(OR(D44=Lookup!$G$10,D44=Lookup!$G$11),INDEX(cards[[1]:[25]],MATCH($E44,cards[object_id order],0),'card-code'!G44),"")</f>
        <v>automation.rmlvtv_tv_off_with_chromecast_from_idle</v>
      </c>
      <c r="O44" t="str">
        <f t="shared" si="1"/>
        <v/>
      </c>
      <c r="P44" s="8" t="str">
        <f>INDEX(Lookup!$H$5:$H$11,MATCH(D44,Lookup!$G$5:$G$11,0))&amp;
K44&amp;L44&amp;M44&amp;N44&amp;
INDEX(Lookup!$I$5:$I$11,MATCH(D44,Lookup!$G$5:$G$11,0))</f>
        <v xml:space="preserve">    - automation.rmlvtv_tv_off_with_chromecast_from_idle</v>
      </c>
    </row>
    <row r="45" spans="2:16" x14ac:dyDescent="0.45">
      <c r="B45">
        <f t="shared" si="0"/>
        <v>43</v>
      </c>
      <c r="C45">
        <f t="shared" si="2"/>
        <v>6</v>
      </c>
      <c r="D45" t="str">
        <f>VLOOKUP(C45,Lookup!$F$5:$G$11,2,FALSE)</f>
        <v>entities</v>
      </c>
      <c r="E45">
        <f>IF(D45=Lookup!$G$5,E44+1,E44)</f>
        <v>6</v>
      </c>
      <c r="F45" s="3">
        <f>INDEX(cards[Entities count],MATCH('card-code'!E45,cards[object_id order],0))</f>
        <v>6</v>
      </c>
      <c r="G45">
        <f>IF(D44=Lookup!$G$9,1,IF(D44=Lookup!$G$10,G44+1,""))</f>
        <v>4</v>
      </c>
      <c r="H45">
        <f>IF(F45=1,  IF(D45=Lookup!$G$9,2,1),  IF(G45&lt;F45-1,0,1)  )</f>
        <v>0</v>
      </c>
      <c r="I45">
        <f>IF(D45&lt;&gt;Lookup!$G$7,0,IF(INDEX(cards[name],MATCH(E45,cards[object_id order],0))&lt;&gt;"",0,1))</f>
        <v>0</v>
      </c>
      <c r="J45">
        <f>IF(D45&lt;&gt;Lookup!$G$7,0,IF(INDEX(cards[icon],MATCH(E45,cards[object_id order],0))&lt;&gt;"",0,1))</f>
        <v>0</v>
      </c>
      <c r="K45" t="str">
        <f>IF(D45=Lookup!$G$6,INDEX(cards[object_id],MATCH('card-code'!E45,cards[object_id order],0)),"")</f>
        <v/>
      </c>
      <c r="L45" t="str">
        <f>IF(D45=Lookup!$G$7,INDEX(cards[name],MATCH('card-code'!E45,cards[object_id order],0)),"")</f>
        <v/>
      </c>
      <c r="M45" t="str">
        <f>IF($D45=Lookup!$L$9,INDEX(cards[icon],MATCH($E45,cards[object_id order],0)),"")</f>
        <v/>
      </c>
      <c r="N45" t="str">
        <f>IF(OR(D45=Lookup!$G$10,D45=Lookup!$G$11),INDEX(cards[[1]:[25]],MATCH($E45,cards[object_id order],0),'card-code'!G45),"")</f>
        <v>automation.rmlvtv_tv_off_with_chromecast_from_paused</v>
      </c>
      <c r="O45" t="str">
        <f t="shared" si="1"/>
        <v/>
      </c>
      <c r="P45" s="8" t="str">
        <f>INDEX(Lookup!$H$5:$H$11,MATCH(D45,Lookup!$G$5:$G$11,0))&amp;
K45&amp;L45&amp;M45&amp;N45&amp;
INDEX(Lookup!$I$5:$I$11,MATCH(D45,Lookup!$G$5:$G$11,0))</f>
        <v xml:space="preserve">    - automation.rmlvtv_tv_off_with_chromecast_from_paused</v>
      </c>
    </row>
    <row r="46" spans="2:16" x14ac:dyDescent="0.45">
      <c r="B46">
        <f t="shared" si="0"/>
        <v>44</v>
      </c>
      <c r="C46">
        <f t="shared" si="2"/>
        <v>6</v>
      </c>
      <c r="D46" t="str">
        <f>VLOOKUP(C46,Lookup!$F$5:$G$11,2,FALSE)</f>
        <v>entities</v>
      </c>
      <c r="E46">
        <f>IF(D46=Lookup!$G$5,E45+1,E45)</f>
        <v>6</v>
      </c>
      <c r="F46" s="3">
        <f>INDEX(cards[Entities count],MATCH('card-code'!E46,cards[object_id order],0))</f>
        <v>6</v>
      </c>
      <c r="G46">
        <f>IF(D45=Lookup!$G$9,1,IF(D45=Lookup!$G$10,G45+1,""))</f>
        <v>5</v>
      </c>
      <c r="H46">
        <f>IF(F46=1,  IF(D46=Lookup!$G$9,2,1),  IF(G46&lt;F46-1,0,1)  )</f>
        <v>1</v>
      </c>
      <c r="I46">
        <f>IF(D46&lt;&gt;Lookup!$G$7,0,IF(INDEX(cards[name],MATCH(E46,cards[object_id order],0))&lt;&gt;"",0,1))</f>
        <v>0</v>
      </c>
      <c r="J46">
        <f>IF(D46&lt;&gt;Lookup!$G$7,0,IF(INDEX(cards[icon],MATCH(E46,cards[object_id order],0))&lt;&gt;"",0,1))</f>
        <v>0</v>
      </c>
      <c r="K46" t="str">
        <f>IF(D46=Lookup!$G$6,INDEX(cards[object_id],MATCH('card-code'!E46,cards[object_id order],0)),"")</f>
        <v/>
      </c>
      <c r="L46" t="str">
        <f>IF(D46=Lookup!$G$7,INDEX(cards[name],MATCH('card-code'!E46,cards[object_id order],0)),"")</f>
        <v/>
      </c>
      <c r="M46" t="str">
        <f>IF($D46=Lookup!$L$9,INDEX(cards[icon],MATCH($E46,cards[object_id order],0)),"")</f>
        <v/>
      </c>
      <c r="N46" t="str">
        <f>IF(OR(D46=Lookup!$G$10,D46=Lookup!$G$11),INDEX(cards[[1]:[25]],MATCH($E46,cards[object_id order],0),'card-code'!G46),"")</f>
        <v>automation.rmlvtv_tv_on_with_chromecast</v>
      </c>
      <c r="O46" t="str">
        <f t="shared" si="1"/>
        <v/>
      </c>
      <c r="P46" s="8" t="str">
        <f>INDEX(Lookup!$H$5:$H$11,MATCH(D46,Lookup!$G$5:$G$11,0))&amp;
K46&amp;L46&amp;M46&amp;N46&amp;
INDEX(Lookup!$I$5:$I$11,MATCH(D46,Lookup!$G$5:$G$11,0))</f>
        <v xml:space="preserve">    - automation.rmlvtv_tv_on_with_chromecast</v>
      </c>
    </row>
    <row r="47" spans="2:16" x14ac:dyDescent="0.45">
      <c r="B47">
        <f t="shared" si="0"/>
        <v>45</v>
      </c>
      <c r="C47">
        <f t="shared" si="2"/>
        <v>7</v>
      </c>
      <c r="D47" t="str">
        <f>VLOOKUP(C47,Lookup!$F$5:$G$11,2,FALSE)</f>
        <v>entities end</v>
      </c>
      <c r="E47">
        <f>IF(D47=Lookup!$G$5,E46+1,E46)</f>
        <v>6</v>
      </c>
      <c r="F47" s="3">
        <f>INDEX(cards[Entities count],MATCH('card-code'!E47,cards[object_id order],0))</f>
        <v>6</v>
      </c>
      <c r="G47">
        <f>IF(D46=Lookup!$G$9,1,IF(D46=Lookup!$G$10,G46+1,""))</f>
        <v>6</v>
      </c>
      <c r="H47">
        <f>IF(F47=1,  IF(D47=Lookup!$G$9,2,1),  IF(G47&lt;F47-1,0,1)  )</f>
        <v>1</v>
      </c>
      <c r="I47">
        <f>IF(D47&lt;&gt;Lookup!$G$7,0,IF(INDEX(cards[name],MATCH(E47,cards[object_id order],0))&lt;&gt;"",0,1))</f>
        <v>0</v>
      </c>
      <c r="J47">
        <f>IF(D47&lt;&gt;Lookup!$G$7,0,IF(INDEX(cards[icon],MATCH(E47,cards[object_id order],0))&lt;&gt;"",0,1))</f>
        <v>0</v>
      </c>
      <c r="K47" t="str">
        <f>IF(D47=Lookup!$G$6,INDEX(cards[object_id],MATCH('card-code'!E47,cards[object_id order],0)),"")</f>
        <v/>
      </c>
      <c r="L47" t="str">
        <f>IF(D47=Lookup!$G$7,INDEX(cards[name],MATCH('card-code'!E47,cards[object_id order],0)),"")</f>
        <v/>
      </c>
      <c r="M47" t="str">
        <f>IF($D47=Lookup!$L$9,INDEX(cards[icon],MATCH($E47,cards[object_id order],0)),"")</f>
        <v/>
      </c>
      <c r="N47" t="str">
        <f>IF(OR(D47=Lookup!$G$10,D47=Lookup!$G$11),INDEX(cards[[1]:[25]],MATCH($E47,cards[object_id order],0),'card-code'!G47),"")</f>
        <v>automation.rmlvtv_turn_off_tv_if_chromecast_off</v>
      </c>
      <c r="O47" t="str">
        <f t="shared" si="1"/>
        <v/>
      </c>
      <c r="P47" s="8" t="str">
        <f>INDEX(Lookup!$H$5:$H$11,MATCH(D47,Lookup!$G$5:$G$11,0))&amp;
K47&amp;L47&amp;M47&amp;N47&amp;
INDEX(Lookup!$I$5:$I$11,MATCH(D47,Lookup!$G$5:$G$11,0))</f>
        <v xml:space="preserve">    - automation.rmlvtv_turn_off_tv_if_chromecast_off</v>
      </c>
    </row>
    <row r="48" spans="2:16" x14ac:dyDescent="0.45">
      <c r="B48">
        <f t="shared" si="0"/>
        <v>46</v>
      </c>
      <c r="C48">
        <f t="shared" si="2"/>
        <v>1</v>
      </c>
      <c r="D48" t="str">
        <f>VLOOKUP(C48,Lookup!$F$5:$G$11,2,FALSE)</f>
        <v>blank</v>
      </c>
      <c r="E48">
        <f>IF(D48=Lookup!$G$5,E47+1,E47)</f>
        <v>7</v>
      </c>
      <c r="F48" s="3">
        <f>INDEX(cards[Entities count],MATCH('card-code'!E48,cards[object_id order],0))</f>
        <v>5</v>
      </c>
      <c r="G48" t="str">
        <f>IF(D47=Lookup!$G$9,1,IF(D47=Lookup!$G$10,G47+1,""))</f>
        <v/>
      </c>
      <c r="H48">
        <f>IF(F48=1,  IF(D48=Lookup!$G$9,2,1),  IF(G48&lt;F48-1,0,1)  )</f>
        <v>1</v>
      </c>
      <c r="I48">
        <f>IF(D48&lt;&gt;Lookup!$G$7,0,IF(INDEX(cards[name],MATCH(E48,cards[object_id order],0))&lt;&gt;"",0,1))</f>
        <v>0</v>
      </c>
      <c r="J48">
        <f>IF(D48&lt;&gt;Lookup!$G$7,0,IF(INDEX(cards[icon],MATCH(E48,cards[object_id order],0))&lt;&gt;"",0,1))</f>
        <v>0</v>
      </c>
      <c r="K48" t="str">
        <f>IF(D48=Lookup!$G$6,INDEX(cards[object_id],MATCH('card-code'!E48,cards[object_id order],0)),"")</f>
        <v/>
      </c>
      <c r="L48" t="str">
        <f>IF(D48=Lookup!$G$7,INDEX(cards[name],MATCH('card-code'!E48,cards[object_id order],0)),"")</f>
        <v/>
      </c>
      <c r="M48" t="str">
        <f>IF($D48=Lookup!$L$9,INDEX(cards[icon],MATCH($E48,cards[object_id order],0)),"")</f>
        <v/>
      </c>
      <c r="N48" t="str">
        <f>IF(OR(D48=Lookup!$G$10,D48=Lookup!$G$11),INDEX(cards[[1]:[25]],MATCH($E48,cards[object_id order],0),'card-code'!G48),"")</f>
        <v/>
      </c>
      <c r="O48" t="str">
        <f t="shared" si="1"/>
        <v/>
      </c>
      <c r="P48" s="8" t="str">
        <f>INDEX(Lookup!$H$5:$H$11,MATCH(D48,Lookup!$G$5:$G$11,0))&amp;
K48&amp;L48&amp;M48&amp;N48&amp;
INDEX(Lookup!$I$5:$I$11,MATCH(D48,Lookup!$G$5:$G$11,0))</f>
        <v/>
      </c>
    </row>
    <row r="49" spans="2:16" x14ac:dyDescent="0.45">
      <c r="B49">
        <f t="shared" si="0"/>
        <v>47</v>
      </c>
      <c r="C49">
        <f t="shared" si="2"/>
        <v>2</v>
      </c>
      <c r="D49" t="str">
        <f>VLOOKUP(C49,Lookup!$F$5:$G$11,2,FALSE)</f>
        <v>card</v>
      </c>
      <c r="E49">
        <f>IF(D49=Lookup!$G$5,E48+1,E48)</f>
        <v>7</v>
      </c>
      <c r="F49" s="3">
        <f>INDEX(cards[Entities count],MATCH('card-code'!E49,cards[object_id order],0))</f>
        <v>5</v>
      </c>
      <c r="G49" t="str">
        <f>IF(D48=Lookup!$G$9,1,IF(D48=Lookup!$G$10,G48+1,""))</f>
        <v/>
      </c>
      <c r="H49">
        <f>IF(F49=1,  IF(D49=Lookup!$G$9,2,1),  IF(G49&lt;F49-1,0,1)  )</f>
        <v>1</v>
      </c>
      <c r="I49">
        <f>IF(D49&lt;&gt;Lookup!$G$7,0,IF(INDEX(cards[name],MATCH(E49,cards[object_id order],0))&lt;&gt;"",0,1))</f>
        <v>0</v>
      </c>
      <c r="J49">
        <f>IF(D49&lt;&gt;Lookup!$G$7,0,IF(INDEX(cards[icon],MATCH(E49,cards[object_id order],0))&lt;&gt;"",0,1))</f>
        <v>0</v>
      </c>
      <c r="K49" t="str">
        <f>IF(D49=Lookup!$G$6,INDEX(cards[object_id],MATCH('card-code'!E49,cards[object_id order],0)),"")</f>
        <v>automation_statron</v>
      </c>
      <c r="L49" t="str">
        <f>IF(D49=Lookup!$G$7,INDEX(cards[name],MATCH('card-code'!E49,cards[object_id order],0)),"")</f>
        <v/>
      </c>
      <c r="M49" t="str">
        <f>IF($D49=Lookup!$L$9,INDEX(cards[icon],MATCH($E49,cards[object_id order],0)),"")</f>
        <v/>
      </c>
      <c r="N49" t="str">
        <f>IF(OR(D49=Lookup!$G$10,D49=Lookup!$G$11),INDEX(cards[[1]:[25]],MATCH($E49,cards[object_id order],0),'card-code'!G49),"")</f>
        <v/>
      </c>
      <c r="O49" t="str">
        <f t="shared" si="1"/>
        <v/>
      </c>
      <c r="P49" s="8" t="str">
        <f>INDEX(Lookup!$H$5:$H$11,MATCH(D49,Lookup!$G$5:$G$11,0))&amp;
K49&amp;L49&amp;M49&amp;N49&amp;
INDEX(Lookup!$I$5:$I$11,MATCH(D49,Lookup!$G$5:$G$11,0))</f>
        <v>automation_statron:</v>
      </c>
    </row>
    <row r="50" spans="2:16" x14ac:dyDescent="0.45">
      <c r="B50">
        <f t="shared" si="0"/>
        <v>48</v>
      </c>
      <c r="C50">
        <f t="shared" si="2"/>
        <v>3</v>
      </c>
      <c r="D50" t="str">
        <f>VLOOKUP(C50,Lookup!$F$5:$G$11,2,FALSE)</f>
        <v>name</v>
      </c>
      <c r="E50">
        <f>IF(D50=Lookup!$G$5,E49+1,E49)</f>
        <v>7</v>
      </c>
      <c r="F50" s="3">
        <f>INDEX(cards[Entities count],MATCH('card-code'!E50,cards[object_id order],0))</f>
        <v>5</v>
      </c>
      <c r="G50" t="str">
        <f>IF(D49=Lookup!$G$9,1,IF(D49=Lookup!$G$10,G49+1,""))</f>
        <v/>
      </c>
      <c r="H50">
        <f>IF(F50=1,  IF(D50=Lookup!$G$9,2,1),  IF(G50&lt;F50-1,0,1)  )</f>
        <v>1</v>
      </c>
      <c r="I50">
        <f>IF(D50&lt;&gt;Lookup!$G$7,0,IF(INDEX(cards[name],MATCH(E50,cards[object_id order],0))&lt;&gt;"",0,1))</f>
        <v>0</v>
      </c>
      <c r="J50">
        <f>IF(D50&lt;&gt;Lookup!$G$7,0,IF(INDEX(cards[icon],MATCH(E50,cards[object_id order],0))&lt;&gt;"",0,1))</f>
        <v>1</v>
      </c>
      <c r="K50" t="str">
        <f>IF(D50=Lookup!$G$6,INDEX(cards[object_id],MATCH('card-code'!E50,cards[object_id order],0)),"")</f>
        <v/>
      </c>
      <c r="L50" t="str">
        <f>IF(D50=Lookup!$G$7,INDEX(cards[name],MATCH('card-code'!E50,cards[object_id order],0)),"")</f>
        <v>Automation || Ron Status</v>
      </c>
      <c r="M50" t="str">
        <f>IF($D50=Lookup!$L$9,INDEX(cards[icon],MATCH($E50,cards[object_id order],0)),"")</f>
        <v/>
      </c>
      <c r="N50" t="str">
        <f>IF(OR(D50=Lookup!$G$10,D50=Lookup!$G$11),INDEX(cards[[1]:[25]],MATCH($E50,cards[object_id order],0),'card-code'!G50),"")</f>
        <v/>
      </c>
      <c r="O50" t="str">
        <f t="shared" si="1"/>
        <v/>
      </c>
      <c r="P50" s="8" t="str">
        <f>INDEX(Lookup!$H$5:$H$11,MATCH(D50,Lookup!$G$5:$G$11,0))&amp;
K50&amp;L50&amp;M50&amp;N50&amp;
INDEX(Lookup!$I$5:$I$11,MATCH(D50,Lookup!$G$5:$G$11,0))</f>
        <v xml:space="preserve">  name: "Automation || Ron Status"</v>
      </c>
    </row>
    <row r="51" spans="2:16" x14ac:dyDescent="0.45">
      <c r="B51">
        <f t="shared" si="0"/>
        <v>49</v>
      </c>
      <c r="C51">
        <f t="shared" si="2"/>
        <v>5</v>
      </c>
      <c r="D51" t="str">
        <f>VLOOKUP(C51,Lookup!$F$5:$G$11,2,FALSE)</f>
        <v>entities header</v>
      </c>
      <c r="E51">
        <f>IF(D51=Lookup!$G$5,E50+1,E50)</f>
        <v>7</v>
      </c>
      <c r="F51" s="3">
        <f>INDEX(cards[Entities count],MATCH('card-code'!E51,cards[object_id order],0))</f>
        <v>5</v>
      </c>
      <c r="G51" t="str">
        <f>IF(D50=Lookup!$G$9,1,IF(D50=Lookup!$G$10,G50+1,""))</f>
        <v/>
      </c>
      <c r="H51">
        <f>IF(F51=1,  IF(D51=Lookup!$G$9,2,1),  IF(G51&lt;F51-1,0,1)  )</f>
        <v>1</v>
      </c>
      <c r="I51">
        <f>IF(D51&lt;&gt;Lookup!$G$7,0,IF(INDEX(cards[name],MATCH(E51,cards[object_id order],0))&lt;&gt;"",0,1))</f>
        <v>0</v>
      </c>
      <c r="J51">
        <f>IF(D51&lt;&gt;Lookup!$G$7,0,IF(INDEX(cards[icon],MATCH(E51,cards[object_id order],0))&lt;&gt;"",0,1))</f>
        <v>0</v>
      </c>
      <c r="K51" t="str">
        <f>IF(D51=Lookup!$G$6,INDEX(cards[object_id],MATCH('card-code'!E51,cards[object_id order],0)),"")</f>
        <v/>
      </c>
      <c r="L51" t="str">
        <f>IF(D51=Lookup!$G$7,INDEX(cards[name],MATCH('card-code'!E51,cards[object_id order],0)),"")</f>
        <v/>
      </c>
      <c r="M51" t="str">
        <f>IF($D51=Lookup!$L$9,INDEX(cards[icon],MATCH($E51,cards[object_id order],0)),"")</f>
        <v/>
      </c>
      <c r="N51" t="str">
        <f>IF(OR(D51=Lookup!$G$10,D51=Lookup!$G$11),INDEX(cards[[1]:[25]],MATCH($E51,cards[object_id order],0),'card-code'!G51),"")</f>
        <v/>
      </c>
      <c r="O51" t="str">
        <f t="shared" si="1"/>
        <v/>
      </c>
      <c r="P51" s="8" t="str">
        <f>INDEX(Lookup!$H$5:$H$11,MATCH(D51,Lookup!$G$5:$G$11,0))&amp;
K51&amp;L51&amp;M51&amp;N51&amp;
INDEX(Lookup!$I$5:$I$11,MATCH(D51,Lookup!$G$5:$G$11,0))</f>
        <v xml:space="preserve">  entities:</v>
      </c>
    </row>
    <row r="52" spans="2:16" x14ac:dyDescent="0.45">
      <c r="B52">
        <f t="shared" si="0"/>
        <v>50</v>
      </c>
      <c r="C52">
        <f t="shared" si="2"/>
        <v>6</v>
      </c>
      <c r="D52" t="str">
        <f>VLOOKUP(C52,Lookup!$F$5:$G$11,2,FALSE)</f>
        <v>entities</v>
      </c>
      <c r="E52">
        <f>IF(D52=Lookup!$G$5,E51+1,E51)</f>
        <v>7</v>
      </c>
      <c r="F52" s="3">
        <f>INDEX(cards[Entities count],MATCH('card-code'!E52,cards[object_id order],0))</f>
        <v>5</v>
      </c>
      <c r="G52">
        <f>IF(D51=Lookup!$G$9,1,IF(D51=Lookup!$G$10,G51+1,""))</f>
        <v>1</v>
      </c>
      <c r="H52">
        <f>IF(F52=1,  IF(D52=Lookup!$G$9,2,1),  IF(G52&lt;F52-1,0,1)  )</f>
        <v>0</v>
      </c>
      <c r="I52">
        <f>IF(D52&lt;&gt;Lookup!$G$7,0,IF(INDEX(cards[name],MATCH(E52,cards[object_id order],0))&lt;&gt;"",0,1))</f>
        <v>0</v>
      </c>
      <c r="J52">
        <f>IF(D52&lt;&gt;Lookup!$G$7,0,IF(INDEX(cards[icon],MATCH(E52,cards[object_id order],0))&lt;&gt;"",0,1))</f>
        <v>0</v>
      </c>
      <c r="K52" t="str">
        <f>IF(D52=Lookup!$G$6,INDEX(cards[object_id],MATCH('card-code'!E52,cards[object_id order],0)),"")</f>
        <v/>
      </c>
      <c r="L52" t="str">
        <f>IF(D52=Lookup!$G$7,INDEX(cards[name],MATCH('card-code'!E52,cards[object_id order],0)),"")</f>
        <v/>
      </c>
      <c r="M52" t="str">
        <f>IF($D52=Lookup!$L$9,INDEX(cards[icon],MATCH($E52,cards[object_id order],0)),"")</f>
        <v/>
      </c>
      <c r="N52" t="str">
        <f>IF(OR(D52=Lookup!$G$10,D52=Lookup!$G$11),INDEX(cards[[1]:[25]],MATCH($E52,cards[object_id order],0),'card-code'!G52),"")</f>
        <v>automation.statron_away_status_from_device_tracker</v>
      </c>
      <c r="O52" t="str">
        <f t="shared" si="1"/>
        <v/>
      </c>
      <c r="P52" s="8" t="str">
        <f>INDEX(Lookup!$H$5:$H$11,MATCH(D52,Lookup!$G$5:$G$11,0))&amp;
K52&amp;L52&amp;M52&amp;N52&amp;
INDEX(Lookup!$I$5:$I$11,MATCH(D52,Lookup!$G$5:$G$11,0))</f>
        <v xml:space="preserve">    - automation.statron_away_status_from_device_tracker</v>
      </c>
    </row>
    <row r="53" spans="2:16" x14ac:dyDescent="0.45">
      <c r="B53">
        <f t="shared" si="0"/>
        <v>51</v>
      </c>
      <c r="C53">
        <f t="shared" si="2"/>
        <v>6</v>
      </c>
      <c r="D53" t="str">
        <f>VLOOKUP(C53,Lookup!$F$5:$G$11,2,FALSE)</f>
        <v>entities</v>
      </c>
      <c r="E53">
        <f>IF(D53=Lookup!$G$5,E52+1,E52)</f>
        <v>7</v>
      </c>
      <c r="F53" s="3">
        <f>INDEX(cards[Entities count],MATCH('card-code'!E53,cards[object_id order],0))</f>
        <v>5</v>
      </c>
      <c r="G53">
        <f>IF(D52=Lookup!$G$9,1,IF(D52=Lookup!$G$10,G52+1,""))</f>
        <v>2</v>
      </c>
      <c r="H53">
        <f>IF(F53=1,  IF(D53=Lookup!$G$9,2,1),  IF(G53&lt;F53-1,0,1)  )</f>
        <v>0</v>
      </c>
      <c r="I53">
        <f>IF(D53&lt;&gt;Lookup!$G$7,0,IF(INDEX(cards[name],MATCH(E53,cards[object_id order],0))&lt;&gt;"",0,1))</f>
        <v>0</v>
      </c>
      <c r="J53">
        <f>IF(D53&lt;&gt;Lookup!$G$7,0,IF(INDEX(cards[icon],MATCH(E53,cards[object_id order],0))&lt;&gt;"",0,1))</f>
        <v>0</v>
      </c>
      <c r="K53" t="str">
        <f>IF(D53=Lookup!$G$6,INDEX(cards[object_id],MATCH('card-code'!E53,cards[object_id order],0)),"")</f>
        <v/>
      </c>
      <c r="L53" t="str">
        <f>IF(D53=Lookup!$G$7,INDEX(cards[name],MATCH('card-code'!E53,cards[object_id order],0)),"")</f>
        <v/>
      </c>
      <c r="M53" t="str">
        <f>IF($D53=Lookup!$L$9,INDEX(cards[icon],MATCH($E53,cards[object_id order],0)),"")</f>
        <v/>
      </c>
      <c r="N53" t="str">
        <f>IF(OR(D53=Lookup!$G$10,D53=Lookup!$G$11),INDEX(cards[[1]:[25]],MATCH($E53,cards[object_id order],0),'card-code'!G53),"")</f>
        <v>automation.statron_computer_status_from_monitor_status</v>
      </c>
      <c r="O53" t="str">
        <f t="shared" si="1"/>
        <v/>
      </c>
      <c r="P53" s="8" t="str">
        <f>INDEX(Lookup!$H$5:$H$11,MATCH(D53,Lookup!$G$5:$G$11,0))&amp;
K53&amp;L53&amp;M53&amp;N53&amp;
INDEX(Lookup!$I$5:$I$11,MATCH(D53,Lookup!$G$5:$G$11,0))</f>
        <v xml:space="preserve">    - automation.statron_computer_status_from_monitor_status</v>
      </c>
    </row>
    <row r="54" spans="2:16" x14ac:dyDescent="0.45">
      <c r="B54">
        <f t="shared" si="0"/>
        <v>52</v>
      </c>
      <c r="C54">
        <f t="shared" si="2"/>
        <v>6</v>
      </c>
      <c r="D54" t="str">
        <f>VLOOKUP(C54,Lookup!$F$5:$G$11,2,FALSE)</f>
        <v>entities</v>
      </c>
      <c r="E54">
        <f>IF(D54=Lookup!$G$5,E53+1,E53)</f>
        <v>7</v>
      </c>
      <c r="F54" s="3">
        <f>INDEX(cards[Entities count],MATCH('card-code'!E54,cards[object_id order],0))</f>
        <v>5</v>
      </c>
      <c r="G54">
        <f>IF(D53=Lookup!$G$9,1,IF(D53=Lookup!$G$10,G53+1,""))</f>
        <v>3</v>
      </c>
      <c r="H54">
        <f>IF(F54=1,  IF(D54=Lookup!$G$9,2,1),  IF(G54&lt;F54-1,0,1)  )</f>
        <v>0</v>
      </c>
      <c r="I54">
        <f>IF(D54&lt;&gt;Lookup!$G$7,0,IF(INDEX(cards[name],MATCH(E54,cards[object_id order],0))&lt;&gt;"",0,1))</f>
        <v>0</v>
      </c>
      <c r="J54">
        <f>IF(D54&lt;&gt;Lookup!$G$7,0,IF(INDEX(cards[icon],MATCH(E54,cards[object_id order],0))&lt;&gt;"",0,1))</f>
        <v>0</v>
      </c>
      <c r="K54" t="str">
        <f>IF(D54=Lookup!$G$6,INDEX(cards[object_id],MATCH('card-code'!E54,cards[object_id order],0)),"")</f>
        <v/>
      </c>
      <c r="L54" t="str">
        <f>IF(D54=Lookup!$G$7,INDEX(cards[name],MATCH('card-code'!E54,cards[object_id order],0)),"")</f>
        <v/>
      </c>
      <c r="M54" t="str">
        <f>IF($D54=Lookup!$L$9,INDEX(cards[icon],MATCH($E54,cards[object_id order],0)),"")</f>
        <v/>
      </c>
      <c r="N54" t="str">
        <f>IF(OR(D54=Lookup!$G$10,D54=Lookup!$G$11),INDEX(cards[[1]:[25]],MATCH($E54,cards[object_id order],0),'card-code'!G54),"")</f>
        <v>automation.statron_tv_status_from_chromecast</v>
      </c>
      <c r="O54" t="str">
        <f t="shared" si="1"/>
        <v/>
      </c>
      <c r="P54" s="8" t="str">
        <f>INDEX(Lookup!$H$5:$H$11,MATCH(D54,Lookup!$G$5:$G$11,0))&amp;
K54&amp;L54&amp;M54&amp;N54&amp;
INDEX(Lookup!$I$5:$I$11,MATCH(D54,Lookup!$G$5:$G$11,0))</f>
        <v xml:space="preserve">    - automation.statron_tv_status_from_chromecast</v>
      </c>
    </row>
    <row r="55" spans="2:16" x14ac:dyDescent="0.45">
      <c r="B55">
        <f t="shared" si="0"/>
        <v>53</v>
      </c>
      <c r="C55">
        <f t="shared" si="2"/>
        <v>6</v>
      </c>
      <c r="D55" t="str">
        <f>VLOOKUP(C55,Lookup!$F$5:$G$11,2,FALSE)</f>
        <v>entities</v>
      </c>
      <c r="E55">
        <f>IF(D55=Lookup!$G$5,E54+1,E54)</f>
        <v>7</v>
      </c>
      <c r="F55" s="3">
        <f>INDEX(cards[Entities count],MATCH('card-code'!E55,cards[object_id order],0))</f>
        <v>5</v>
      </c>
      <c r="G55">
        <f>IF(D54=Lookup!$G$9,1,IF(D54=Lookup!$G$10,G54+1,""))</f>
        <v>4</v>
      </c>
      <c r="H55">
        <f>IF(F55=1,  IF(D55=Lookup!$G$9,2,1),  IF(G55&lt;F55-1,0,1)  )</f>
        <v>1</v>
      </c>
      <c r="I55">
        <f>IF(D55&lt;&gt;Lookup!$G$7,0,IF(INDEX(cards[name],MATCH(E55,cards[object_id order],0))&lt;&gt;"",0,1))</f>
        <v>0</v>
      </c>
      <c r="J55">
        <f>IF(D55&lt;&gt;Lookup!$G$7,0,IF(INDEX(cards[icon],MATCH(E55,cards[object_id order],0))&lt;&gt;"",0,1))</f>
        <v>0</v>
      </c>
      <c r="K55" t="str">
        <f>IF(D55=Lookup!$G$6,INDEX(cards[object_id],MATCH('card-code'!E55,cards[object_id order],0)),"")</f>
        <v/>
      </c>
      <c r="L55" t="str">
        <f>IF(D55=Lookup!$G$7,INDEX(cards[name],MATCH('card-code'!E55,cards[object_id order],0)),"")</f>
        <v/>
      </c>
      <c r="M55" t="str">
        <f>IF($D55=Lookup!$L$9,INDEX(cards[icon],MATCH($E55,cards[object_id order],0)),"")</f>
        <v/>
      </c>
      <c r="N55" t="str">
        <f>IF(OR(D55=Lookup!$G$10,D55=Lookup!$G$11),INDEX(cards[[1]:[25]],MATCH($E55,cards[object_id order],0),'card-code'!G55),"")</f>
        <v>automation.statron_home_status_from_device_tracker</v>
      </c>
      <c r="O55" t="str">
        <f t="shared" si="1"/>
        <v/>
      </c>
      <c r="P55" s="8" t="str">
        <f>INDEX(Lookup!$H$5:$H$11,MATCH(D55,Lookup!$G$5:$G$11,0))&amp;
K55&amp;L55&amp;M55&amp;N55&amp;
INDEX(Lookup!$I$5:$I$11,MATCH(D55,Lookup!$G$5:$G$11,0))</f>
        <v xml:space="preserve">    - automation.statron_home_status_from_device_tracker</v>
      </c>
    </row>
    <row r="56" spans="2:16" x14ac:dyDescent="0.45">
      <c r="B56">
        <f t="shared" si="0"/>
        <v>54</v>
      </c>
      <c r="C56">
        <f t="shared" si="2"/>
        <v>7</v>
      </c>
      <c r="D56" t="str">
        <f>VLOOKUP(C56,Lookup!$F$5:$G$11,2,FALSE)</f>
        <v>entities end</v>
      </c>
      <c r="E56">
        <f>IF(D56=Lookup!$G$5,E55+1,E55)</f>
        <v>7</v>
      </c>
      <c r="F56" s="3">
        <f>INDEX(cards[Entities count],MATCH('card-code'!E56,cards[object_id order],0))</f>
        <v>5</v>
      </c>
      <c r="G56">
        <f>IF(D55=Lookup!$G$9,1,IF(D55=Lookup!$G$10,G55+1,""))</f>
        <v>5</v>
      </c>
      <c r="H56">
        <f>IF(F56=1,  IF(D56=Lookup!$G$9,2,1),  IF(G56&lt;F56-1,0,1)  )</f>
        <v>1</v>
      </c>
      <c r="I56">
        <f>IF(D56&lt;&gt;Lookup!$G$7,0,IF(INDEX(cards[name],MATCH(E56,cards[object_id order],0))&lt;&gt;"",0,1))</f>
        <v>0</v>
      </c>
      <c r="J56">
        <f>IF(D56&lt;&gt;Lookup!$G$7,0,IF(INDEX(cards[icon],MATCH(E56,cards[object_id order],0))&lt;&gt;"",0,1))</f>
        <v>0</v>
      </c>
      <c r="K56" t="str">
        <f>IF(D56=Lookup!$G$6,INDEX(cards[object_id],MATCH('card-code'!E56,cards[object_id order],0)),"")</f>
        <v/>
      </c>
      <c r="L56" t="str">
        <f>IF(D56=Lookup!$G$7,INDEX(cards[name],MATCH('card-code'!E56,cards[object_id order],0)),"")</f>
        <v/>
      </c>
      <c r="M56" t="str">
        <f>IF($D56=Lookup!$L$9,INDEX(cards[icon],MATCH($E56,cards[object_id order],0)),"")</f>
        <v/>
      </c>
      <c r="N56" t="str">
        <f>IF(OR(D56=Lookup!$G$10,D56=Lookup!$G$11),INDEX(cards[[1]:[25]],MATCH($E56,cards[object_id order],0),'card-code'!G56),"")</f>
        <v>automation.statron_home_status_from_monitor_status</v>
      </c>
      <c r="O56" t="str">
        <f t="shared" si="1"/>
        <v/>
      </c>
      <c r="P56" s="8" t="str">
        <f>INDEX(Lookup!$H$5:$H$11,MATCH(D56,Lookup!$G$5:$G$11,0))&amp;
K56&amp;L56&amp;M56&amp;N56&amp;
INDEX(Lookup!$I$5:$I$11,MATCH(D56,Lookup!$G$5:$G$11,0))</f>
        <v xml:space="preserve">    - automation.statron_home_status_from_monitor_status</v>
      </c>
    </row>
    <row r="57" spans="2:16" x14ac:dyDescent="0.45">
      <c r="B57">
        <f t="shared" si="0"/>
        <v>55</v>
      </c>
      <c r="C57">
        <f t="shared" si="2"/>
        <v>1</v>
      </c>
      <c r="D57" t="str">
        <f>VLOOKUP(C57,Lookup!$F$5:$G$11,2,FALSE)</f>
        <v>blank</v>
      </c>
      <c r="E57">
        <f>IF(D57=Lookup!$G$5,E56+1,E56)</f>
        <v>8</v>
      </c>
      <c r="F57" s="3">
        <f>INDEX(cards[Entities count],MATCH('card-code'!E57,cards[object_id order],0))</f>
        <v>2</v>
      </c>
      <c r="G57" t="str">
        <f>IF(D56=Lookup!$G$9,1,IF(D56=Lookup!$G$10,G56+1,""))</f>
        <v/>
      </c>
      <c r="H57">
        <f>IF(F57=1,  IF(D57=Lookup!$G$9,2,1),  IF(G57&lt;F57-1,0,1)  )</f>
        <v>1</v>
      </c>
      <c r="I57">
        <f>IF(D57&lt;&gt;Lookup!$G$7,0,IF(INDEX(cards[name],MATCH(E57,cards[object_id order],0))&lt;&gt;"",0,1))</f>
        <v>0</v>
      </c>
      <c r="J57">
        <f>IF(D57&lt;&gt;Lookup!$G$7,0,IF(INDEX(cards[icon],MATCH(E57,cards[object_id order],0))&lt;&gt;"",0,1))</f>
        <v>0</v>
      </c>
      <c r="K57" t="str">
        <f>IF(D57=Lookup!$G$6,INDEX(cards[object_id],MATCH('card-code'!E57,cards[object_id order],0)),"")</f>
        <v/>
      </c>
      <c r="L57" t="str">
        <f>IF(D57=Lookup!$G$7,INDEX(cards[name],MATCH('card-code'!E57,cards[object_id order],0)),"")</f>
        <v/>
      </c>
      <c r="M57" t="str">
        <f>IF($D57=Lookup!$L$9,INDEX(cards[icon],MATCH($E57,cards[object_id order],0)),"")</f>
        <v/>
      </c>
      <c r="N57" t="str">
        <f>IF(OR(D57=Lookup!$G$10,D57=Lookup!$G$11),INDEX(cards[[1]:[25]],MATCH($E57,cards[object_id order],0),'card-code'!G57),"")</f>
        <v/>
      </c>
      <c r="O57" t="str">
        <f t="shared" si="1"/>
        <v/>
      </c>
      <c r="P57" s="8" t="str">
        <f>INDEX(Lookup!$H$5:$H$11,MATCH(D57,Lookup!$G$5:$G$11,0))&amp;
K57&amp;L57&amp;M57&amp;N57&amp;
INDEX(Lookup!$I$5:$I$11,MATCH(D57,Lookup!$G$5:$G$11,0))</f>
        <v/>
      </c>
    </row>
    <row r="58" spans="2:16" x14ac:dyDescent="0.45">
      <c r="B58">
        <f t="shared" si="0"/>
        <v>56</v>
      </c>
      <c r="C58">
        <f t="shared" si="2"/>
        <v>2</v>
      </c>
      <c r="D58" t="str">
        <f>VLOOKUP(C58,Lookup!$F$5:$G$11,2,FALSE)</f>
        <v>card</v>
      </c>
      <c r="E58">
        <f>IF(D58=Lookup!$G$5,E57+1,E57)</f>
        <v>8</v>
      </c>
      <c r="F58" s="3">
        <f>INDEX(cards[Entities count],MATCH('card-code'!E58,cards[object_id order],0))</f>
        <v>2</v>
      </c>
      <c r="G58" t="str">
        <f>IF(D57=Lookup!$G$9,1,IF(D57=Lookup!$G$10,G57+1,""))</f>
        <v/>
      </c>
      <c r="H58">
        <f>IF(F58=1,  IF(D58=Lookup!$G$9,2,1),  IF(G58&lt;F58-1,0,1)  )</f>
        <v>1</v>
      </c>
      <c r="I58">
        <f>IF(D58&lt;&gt;Lookup!$G$7,0,IF(INDEX(cards[name],MATCH(E58,cards[object_id order],0))&lt;&gt;"",0,1))</f>
        <v>0</v>
      </c>
      <c r="J58">
        <f>IF(D58&lt;&gt;Lookup!$G$7,0,IF(INDEX(cards[icon],MATCH(E58,cards[object_id order],0))&lt;&gt;"",0,1))</f>
        <v>0</v>
      </c>
      <c r="K58" t="str">
        <f>IF(D58=Lookup!$G$6,INDEX(cards[object_id],MATCH('card-code'!E58,cards[object_id order],0)),"")</f>
        <v>automation_statfriend</v>
      </c>
      <c r="L58" t="str">
        <f>IF(D58=Lookup!$G$7,INDEX(cards[name],MATCH('card-code'!E58,cards[object_id order],0)),"")</f>
        <v/>
      </c>
      <c r="M58" t="str">
        <f>IF($D58=Lookup!$L$9,INDEX(cards[icon],MATCH($E58,cards[object_id order],0)),"")</f>
        <v/>
      </c>
      <c r="N58" t="str">
        <f>IF(OR(D58=Lookup!$G$10,D58=Lookup!$G$11),INDEX(cards[[1]:[25]],MATCH($E58,cards[object_id order],0),'card-code'!G58),"")</f>
        <v/>
      </c>
      <c r="O58" t="str">
        <f t="shared" si="1"/>
        <v/>
      </c>
      <c r="P58" s="8" t="str">
        <f>INDEX(Lookup!$H$5:$H$11,MATCH(D58,Lookup!$G$5:$G$11,0))&amp;
K58&amp;L58&amp;M58&amp;N58&amp;
INDEX(Lookup!$I$5:$I$11,MATCH(D58,Lookup!$G$5:$G$11,0))</f>
        <v>automation_statfriend:</v>
      </c>
    </row>
    <row r="59" spans="2:16" x14ac:dyDescent="0.45">
      <c r="B59">
        <f t="shared" si="0"/>
        <v>57</v>
      </c>
      <c r="C59">
        <f t="shared" si="2"/>
        <v>3</v>
      </c>
      <c r="D59" t="str">
        <f>VLOOKUP(C59,Lookup!$F$5:$G$11,2,FALSE)</f>
        <v>name</v>
      </c>
      <c r="E59">
        <f>IF(D59=Lookup!$G$5,E58+1,E58)</f>
        <v>8</v>
      </c>
      <c r="F59" s="3">
        <f>INDEX(cards[Entities count],MATCH('card-code'!E59,cards[object_id order],0))</f>
        <v>2</v>
      </c>
      <c r="G59" t="str">
        <f>IF(D58=Lookup!$G$9,1,IF(D58=Lookup!$G$10,G58+1,""))</f>
        <v/>
      </c>
      <c r="H59">
        <f>IF(F59=1,  IF(D59=Lookup!$G$9,2,1),  IF(G59&lt;F59-1,0,1)  )</f>
        <v>1</v>
      </c>
      <c r="I59">
        <f>IF(D59&lt;&gt;Lookup!$G$7,0,IF(INDEX(cards[name],MATCH(E59,cards[object_id order],0))&lt;&gt;"",0,1))</f>
        <v>0</v>
      </c>
      <c r="J59">
        <f>IF(D59&lt;&gt;Lookup!$G$7,0,IF(INDEX(cards[icon],MATCH(E59,cards[object_id order],0))&lt;&gt;"",0,1))</f>
        <v>1</v>
      </c>
      <c r="K59" t="str">
        <f>IF(D59=Lookup!$G$6,INDEX(cards[object_id],MATCH('card-code'!E59,cards[object_id order],0)),"")</f>
        <v/>
      </c>
      <c r="L59" t="str">
        <f>IF(D59=Lookup!$G$7,INDEX(cards[name],MATCH('card-code'!E59,cards[object_id order],0)),"")</f>
        <v>Automation || Friend Status</v>
      </c>
      <c r="M59" t="str">
        <f>IF($D59=Lookup!$L$9,INDEX(cards[icon],MATCH($E59,cards[object_id order],0)),"")</f>
        <v/>
      </c>
      <c r="N59" t="str">
        <f>IF(OR(D59=Lookup!$G$10,D59=Lookup!$G$11),INDEX(cards[[1]:[25]],MATCH($E59,cards[object_id order],0),'card-code'!G59),"")</f>
        <v/>
      </c>
      <c r="O59" t="str">
        <f t="shared" si="1"/>
        <v/>
      </c>
      <c r="P59" s="8" t="str">
        <f>INDEX(Lookup!$H$5:$H$11,MATCH(D59,Lookup!$G$5:$G$11,0))&amp;
K59&amp;L59&amp;M59&amp;N59&amp;
INDEX(Lookup!$I$5:$I$11,MATCH(D59,Lookup!$G$5:$G$11,0))</f>
        <v xml:space="preserve">  name: "Automation || Friend Status"</v>
      </c>
    </row>
    <row r="60" spans="2:16" x14ac:dyDescent="0.45">
      <c r="B60">
        <f t="shared" si="0"/>
        <v>58</v>
      </c>
      <c r="C60">
        <f t="shared" si="2"/>
        <v>5</v>
      </c>
      <c r="D60" t="str">
        <f>VLOOKUP(C60,Lookup!$F$5:$G$11,2,FALSE)</f>
        <v>entities header</v>
      </c>
      <c r="E60">
        <f>IF(D60=Lookup!$G$5,E59+1,E59)</f>
        <v>8</v>
      </c>
      <c r="F60" s="3">
        <f>INDEX(cards[Entities count],MATCH('card-code'!E60,cards[object_id order],0))</f>
        <v>2</v>
      </c>
      <c r="G60" t="str">
        <f>IF(D59=Lookup!$G$9,1,IF(D59=Lookup!$G$10,G59+1,""))</f>
        <v/>
      </c>
      <c r="H60">
        <f>IF(F60=1,  IF(D60=Lookup!$G$9,2,1),  IF(G60&lt;F60-1,0,1)  )</f>
        <v>1</v>
      </c>
      <c r="I60">
        <f>IF(D60&lt;&gt;Lookup!$G$7,0,IF(INDEX(cards[name],MATCH(E60,cards[object_id order],0))&lt;&gt;"",0,1))</f>
        <v>0</v>
      </c>
      <c r="J60">
        <f>IF(D60&lt;&gt;Lookup!$G$7,0,IF(INDEX(cards[icon],MATCH(E60,cards[object_id order],0))&lt;&gt;"",0,1))</f>
        <v>0</v>
      </c>
      <c r="K60" t="str">
        <f>IF(D60=Lookup!$G$6,INDEX(cards[object_id],MATCH('card-code'!E60,cards[object_id order],0)),"")</f>
        <v/>
      </c>
      <c r="L60" t="str">
        <f>IF(D60=Lookup!$G$7,INDEX(cards[name],MATCH('card-code'!E60,cards[object_id order],0)),"")</f>
        <v/>
      </c>
      <c r="M60" t="str">
        <f>IF($D60=Lookup!$L$9,INDEX(cards[icon],MATCH($E60,cards[object_id order],0)),"")</f>
        <v/>
      </c>
      <c r="N60" t="str">
        <f>IF(OR(D60=Lookup!$G$10,D60=Lookup!$G$11),INDEX(cards[[1]:[25]],MATCH($E60,cards[object_id order],0),'card-code'!G60),"")</f>
        <v/>
      </c>
      <c r="O60" t="str">
        <f t="shared" si="1"/>
        <v/>
      </c>
      <c r="P60" s="8" t="str">
        <f>INDEX(Lookup!$H$5:$H$11,MATCH(D60,Lookup!$G$5:$G$11,0))&amp;
K60&amp;L60&amp;M60&amp;N60&amp;
INDEX(Lookup!$I$5:$I$11,MATCH(D60,Lookup!$G$5:$G$11,0))</f>
        <v xml:space="preserve">  entities:</v>
      </c>
    </row>
    <row r="61" spans="2:16" x14ac:dyDescent="0.45">
      <c r="B61">
        <f t="shared" si="0"/>
        <v>59</v>
      </c>
      <c r="C61">
        <f t="shared" si="2"/>
        <v>6</v>
      </c>
      <c r="D61" t="str">
        <f>VLOOKUP(C61,Lookup!$F$5:$G$11,2,FALSE)</f>
        <v>entities</v>
      </c>
      <c r="E61">
        <f>IF(D61=Lookup!$G$5,E60+1,E60)</f>
        <v>8</v>
      </c>
      <c r="F61" s="3">
        <f>INDEX(cards[Entities count],MATCH('card-code'!E61,cards[object_id order],0))</f>
        <v>2</v>
      </c>
      <c r="G61">
        <f>IF(D60=Lookup!$G$9,1,IF(D60=Lookup!$G$10,G60+1,""))</f>
        <v>1</v>
      </c>
      <c r="H61">
        <f>IF(F61=1,  IF(D61=Lookup!$G$9,2,1),  IF(G61&lt;F61-1,0,1)  )</f>
        <v>1</v>
      </c>
      <c r="I61">
        <f>IF(D61&lt;&gt;Lookup!$G$7,0,IF(INDEX(cards[name],MATCH(E61,cards[object_id order],0))&lt;&gt;"",0,1))</f>
        <v>0</v>
      </c>
      <c r="J61">
        <f>IF(D61&lt;&gt;Lookup!$G$7,0,IF(INDEX(cards[icon],MATCH(E61,cards[object_id order],0))&lt;&gt;"",0,1))</f>
        <v>0</v>
      </c>
      <c r="K61" t="str">
        <f>IF(D61=Lookup!$G$6,INDEX(cards[object_id],MATCH('card-code'!E61,cards[object_id order],0)),"")</f>
        <v/>
      </c>
      <c r="L61" t="str">
        <f>IF(D61=Lookup!$G$7,INDEX(cards[name],MATCH('card-code'!E61,cards[object_id order],0)),"")</f>
        <v/>
      </c>
      <c r="M61" t="str">
        <f>IF($D61=Lookup!$L$9,INDEX(cards[icon],MATCH($E61,cards[object_id order],0)),"")</f>
        <v/>
      </c>
      <c r="N61" t="str">
        <f>IF(OR(D61=Lookup!$G$10,D61=Lookup!$G$11),INDEX(cards[[1]:[25]],MATCH($E61,cards[object_id order],0),'card-code'!G61),"")</f>
        <v>automation.statfriend_friend_visiting_off_from_device_tracker</v>
      </c>
      <c r="O61" t="str">
        <f t="shared" si="1"/>
        <v/>
      </c>
      <c r="P61" s="8" t="str">
        <f>INDEX(Lookup!$H$5:$H$11,MATCH(D61,Lookup!$G$5:$G$11,0))&amp;
K61&amp;L61&amp;M61&amp;N61&amp;
INDEX(Lookup!$I$5:$I$11,MATCH(D61,Lookup!$G$5:$G$11,0))</f>
        <v xml:space="preserve">    - automation.statfriend_friend_visiting_off_from_device_tracker</v>
      </c>
    </row>
    <row r="62" spans="2:16" x14ac:dyDescent="0.45">
      <c r="B62">
        <f t="shared" si="0"/>
        <v>60</v>
      </c>
      <c r="C62">
        <f t="shared" si="2"/>
        <v>7</v>
      </c>
      <c r="D62" t="str">
        <f>VLOOKUP(C62,Lookup!$F$5:$G$11,2,FALSE)</f>
        <v>entities end</v>
      </c>
      <c r="E62">
        <f>IF(D62=Lookup!$G$5,E61+1,E61)</f>
        <v>8</v>
      </c>
      <c r="F62" s="3">
        <f>INDEX(cards[Entities count],MATCH('card-code'!E62,cards[object_id order],0))</f>
        <v>2</v>
      </c>
      <c r="G62">
        <f>IF(D61=Lookup!$G$9,1,IF(D61=Lookup!$G$10,G61+1,""))</f>
        <v>2</v>
      </c>
      <c r="H62">
        <f>IF(F62=1,  IF(D62=Lookup!$G$9,2,1),  IF(G62&lt;F62-1,0,1)  )</f>
        <v>1</v>
      </c>
      <c r="I62">
        <f>IF(D62&lt;&gt;Lookup!$G$7,0,IF(INDEX(cards[name],MATCH(E62,cards[object_id order],0))&lt;&gt;"",0,1))</f>
        <v>0</v>
      </c>
      <c r="J62">
        <f>IF(D62&lt;&gt;Lookup!$G$7,0,IF(INDEX(cards[icon],MATCH(E62,cards[object_id order],0))&lt;&gt;"",0,1))</f>
        <v>0</v>
      </c>
      <c r="K62" t="str">
        <f>IF(D62=Lookup!$G$6,INDEX(cards[object_id],MATCH('card-code'!E62,cards[object_id order],0)),"")</f>
        <v/>
      </c>
      <c r="L62" t="str">
        <f>IF(D62=Lookup!$G$7,INDEX(cards[name],MATCH('card-code'!E62,cards[object_id order],0)),"")</f>
        <v/>
      </c>
      <c r="M62" t="str">
        <f>IF($D62=Lookup!$L$9,INDEX(cards[icon],MATCH($E62,cards[object_id order],0)),"")</f>
        <v/>
      </c>
      <c r="N62" t="str">
        <f>IF(OR(D62=Lookup!$G$10,D62=Lookup!$G$11),INDEX(cards[[1]:[25]],MATCH($E62,cards[object_id order],0),'card-code'!G62),"")</f>
        <v>automation.statfriend_friend_visiting_on_from_device_tracker</v>
      </c>
      <c r="O62" t="str">
        <f t="shared" si="1"/>
        <v/>
      </c>
      <c r="P62" s="8" t="str">
        <f>INDEX(Lookup!$H$5:$H$11,MATCH(D62,Lookup!$G$5:$G$11,0))&amp;
K62&amp;L62&amp;M62&amp;N62&amp;
INDEX(Lookup!$I$5:$I$11,MATCH(D62,Lookup!$G$5:$G$11,0))</f>
        <v xml:space="preserve">    - automation.statfriend_friend_visiting_on_from_device_tracker</v>
      </c>
    </row>
    <row r="63" spans="2:16" x14ac:dyDescent="0.45">
      <c r="B63">
        <f t="shared" si="0"/>
        <v>61</v>
      </c>
      <c r="C63">
        <f t="shared" si="2"/>
        <v>1</v>
      </c>
      <c r="D63" t="str">
        <f>VLOOKUP(C63,Lookup!$F$5:$G$11,2,FALSE)</f>
        <v>blank</v>
      </c>
      <c r="E63">
        <f>IF(D63=Lookup!$G$5,E62+1,E62)</f>
        <v>9</v>
      </c>
      <c r="F63" s="3">
        <f>INDEX(cards[Entities count],MATCH('card-code'!E63,cards[object_id order],0))</f>
        <v>2</v>
      </c>
      <c r="G63" t="str">
        <f>IF(D62=Lookup!$G$9,1,IF(D62=Lookup!$G$10,G62+1,""))</f>
        <v/>
      </c>
      <c r="H63">
        <f>IF(F63=1,  IF(D63=Lookup!$G$9,2,1),  IF(G63&lt;F63-1,0,1)  )</f>
        <v>1</v>
      </c>
      <c r="I63">
        <f>IF(D63&lt;&gt;Lookup!$G$7,0,IF(INDEX(cards[name],MATCH(E63,cards[object_id order],0))&lt;&gt;"",0,1))</f>
        <v>0</v>
      </c>
      <c r="J63">
        <f>IF(D63&lt;&gt;Lookup!$G$7,0,IF(INDEX(cards[icon],MATCH(E63,cards[object_id order],0))&lt;&gt;"",0,1))</f>
        <v>0</v>
      </c>
      <c r="K63" t="str">
        <f>IF(D63=Lookup!$G$6,INDEX(cards[object_id],MATCH('card-code'!E63,cards[object_id order],0)),"")</f>
        <v/>
      </c>
      <c r="L63" t="str">
        <f>IF(D63=Lookup!$G$7,INDEX(cards[name],MATCH('card-code'!E63,cards[object_id order],0)),"")</f>
        <v/>
      </c>
      <c r="M63" t="str">
        <f>IF($D63=Lookup!$L$9,INDEX(cards[icon],MATCH($E63,cards[object_id order],0)),"")</f>
        <v/>
      </c>
      <c r="N63" t="str">
        <f>IF(OR(D63=Lookup!$G$10,D63=Lookup!$G$11),INDEX(cards[[1]:[25]],MATCH($E63,cards[object_id order],0),'card-code'!G63),"")</f>
        <v/>
      </c>
      <c r="O63" t="str">
        <f t="shared" si="1"/>
        <v/>
      </c>
      <c r="P63" s="8" t="str">
        <f>INDEX(Lookup!$H$5:$H$11,MATCH(D63,Lookup!$G$5:$G$11,0))&amp;
K63&amp;L63&amp;M63&amp;N63&amp;
INDEX(Lookup!$I$5:$I$11,MATCH(D63,Lookup!$G$5:$G$11,0))</f>
        <v/>
      </c>
    </row>
    <row r="64" spans="2:16" x14ac:dyDescent="0.45">
      <c r="B64">
        <f t="shared" si="0"/>
        <v>62</v>
      </c>
      <c r="C64">
        <f t="shared" si="2"/>
        <v>2</v>
      </c>
      <c r="D64" t="str">
        <f>VLOOKUP(C64,Lookup!$F$5:$G$11,2,FALSE)</f>
        <v>card</v>
      </c>
      <c r="E64">
        <f>IF(D64=Lookup!$G$5,E63+1,E63)</f>
        <v>9</v>
      </c>
      <c r="F64" s="3">
        <f>INDEX(cards[Entities count],MATCH('card-code'!E64,cards[object_id order],0))</f>
        <v>2</v>
      </c>
      <c r="G64" t="str">
        <f>IF(D63=Lookup!$G$9,1,IF(D63=Lookup!$G$10,G63+1,""))</f>
        <v/>
      </c>
      <c r="H64">
        <f>IF(F64=1,  IF(D64=Lookup!$G$9,2,1),  IF(G64&lt;F64-1,0,1)  )</f>
        <v>1</v>
      </c>
      <c r="I64">
        <f>IF(D64&lt;&gt;Lookup!$G$7,0,IF(INDEX(cards[name],MATCH(E64,cards[object_id order],0))&lt;&gt;"",0,1))</f>
        <v>0</v>
      </c>
      <c r="J64">
        <f>IF(D64&lt;&gt;Lookup!$G$7,0,IF(INDEX(cards[icon],MATCH(E64,cards[object_id order],0))&lt;&gt;"",0,1))</f>
        <v>0</v>
      </c>
      <c r="K64" t="str">
        <f>IF(D64=Lookup!$G$6,INDEX(cards[object_id],MATCH('card-code'!E64,cards[object_id order],0)),"")</f>
        <v>automation_statvac</v>
      </c>
      <c r="L64" t="str">
        <f>IF(D64=Lookup!$G$7,INDEX(cards[name],MATCH('card-code'!E64,cards[object_id order],0)),"")</f>
        <v/>
      </c>
      <c r="M64" t="str">
        <f>IF($D64=Lookup!$L$9,INDEX(cards[icon],MATCH($E64,cards[object_id order],0)),"")</f>
        <v/>
      </c>
      <c r="N64" t="str">
        <f>IF(OR(D64=Lookup!$G$10,D64=Lookup!$G$11),INDEX(cards[[1]:[25]],MATCH($E64,cards[object_id order],0),'card-code'!G64),"")</f>
        <v/>
      </c>
      <c r="O64" t="str">
        <f t="shared" si="1"/>
        <v/>
      </c>
      <c r="P64" s="8" t="str">
        <f>INDEX(Lookup!$H$5:$H$11,MATCH(D64,Lookup!$G$5:$G$11,0))&amp;
K64&amp;L64&amp;M64&amp;N64&amp;
INDEX(Lookup!$I$5:$I$11,MATCH(D64,Lookup!$G$5:$G$11,0))</f>
        <v>automation_statvac:</v>
      </c>
    </row>
    <row r="65" spans="2:16" x14ac:dyDescent="0.45">
      <c r="B65">
        <f t="shared" si="0"/>
        <v>63</v>
      </c>
      <c r="C65">
        <f t="shared" si="2"/>
        <v>3</v>
      </c>
      <c r="D65" t="str">
        <f>VLOOKUP(C65,Lookup!$F$5:$G$11,2,FALSE)</f>
        <v>name</v>
      </c>
      <c r="E65">
        <f>IF(D65=Lookup!$G$5,E64+1,E64)</f>
        <v>9</v>
      </c>
      <c r="F65" s="3">
        <f>INDEX(cards[Entities count],MATCH('card-code'!E65,cards[object_id order],0))</f>
        <v>2</v>
      </c>
      <c r="G65" t="str">
        <f>IF(D64=Lookup!$G$9,1,IF(D64=Lookup!$G$10,G64+1,""))</f>
        <v/>
      </c>
      <c r="H65">
        <f>IF(F65=1,  IF(D65=Lookup!$G$9,2,1),  IF(G65&lt;F65-1,0,1)  )</f>
        <v>1</v>
      </c>
      <c r="I65">
        <f>IF(D65&lt;&gt;Lookup!$G$7,0,IF(INDEX(cards[name],MATCH(E65,cards[object_id order],0))&lt;&gt;"",0,1))</f>
        <v>0</v>
      </c>
      <c r="J65">
        <f>IF(D65&lt;&gt;Lookup!$G$7,0,IF(INDEX(cards[icon],MATCH(E65,cards[object_id order],0))&lt;&gt;"",0,1))</f>
        <v>1</v>
      </c>
      <c r="K65" t="str">
        <f>IF(D65=Lookup!$G$6,INDEX(cards[object_id],MATCH('card-code'!E65,cards[object_id order],0)),"")</f>
        <v/>
      </c>
      <c r="L65" t="str">
        <f>IF(D65=Lookup!$G$7,INDEX(cards[name],MATCH('card-code'!E65,cards[object_id order],0)),"")</f>
        <v>Automation - Vacation Status</v>
      </c>
      <c r="M65" t="str">
        <f>IF($D65=Lookup!$L$9,INDEX(cards[icon],MATCH($E65,cards[object_id order],0)),"")</f>
        <v/>
      </c>
      <c r="N65" t="str">
        <f>IF(OR(D65=Lookup!$G$10,D65=Lookup!$G$11),INDEX(cards[[1]:[25]],MATCH($E65,cards[object_id order],0),'card-code'!G65),"")</f>
        <v/>
      </c>
      <c r="O65" t="str">
        <f t="shared" si="1"/>
        <v/>
      </c>
      <c r="P65" s="8" t="str">
        <f>INDEX(Lookup!$H$5:$H$11,MATCH(D65,Lookup!$G$5:$G$11,0))&amp;
K65&amp;L65&amp;M65&amp;N65&amp;
INDEX(Lookup!$I$5:$I$11,MATCH(D65,Lookup!$G$5:$G$11,0))</f>
        <v xml:space="preserve">  name: "Automation - Vacation Status"</v>
      </c>
    </row>
    <row r="66" spans="2:16" x14ac:dyDescent="0.45">
      <c r="B66">
        <f t="shared" si="0"/>
        <v>64</v>
      </c>
      <c r="C66">
        <f t="shared" si="2"/>
        <v>5</v>
      </c>
      <c r="D66" t="str">
        <f>VLOOKUP(C66,Lookup!$F$5:$G$11,2,FALSE)</f>
        <v>entities header</v>
      </c>
      <c r="E66">
        <f>IF(D66=Lookup!$G$5,E65+1,E65)</f>
        <v>9</v>
      </c>
      <c r="F66" s="3">
        <f>INDEX(cards[Entities count],MATCH('card-code'!E66,cards[object_id order],0))</f>
        <v>2</v>
      </c>
      <c r="G66" t="str">
        <f>IF(D65=Lookup!$G$9,1,IF(D65=Lookup!$G$10,G65+1,""))</f>
        <v/>
      </c>
      <c r="H66">
        <f>IF(F66=1,  IF(D66=Lookup!$G$9,2,1),  IF(G66&lt;F66-1,0,1)  )</f>
        <v>1</v>
      </c>
      <c r="I66">
        <f>IF(D66&lt;&gt;Lookup!$G$7,0,IF(INDEX(cards[name],MATCH(E66,cards[object_id order],0))&lt;&gt;"",0,1))</f>
        <v>0</v>
      </c>
      <c r="J66">
        <f>IF(D66&lt;&gt;Lookup!$G$7,0,IF(INDEX(cards[icon],MATCH(E66,cards[object_id order],0))&lt;&gt;"",0,1))</f>
        <v>0</v>
      </c>
      <c r="K66" t="str">
        <f>IF(D66=Lookup!$G$6,INDEX(cards[object_id],MATCH('card-code'!E66,cards[object_id order],0)),"")</f>
        <v/>
      </c>
      <c r="L66" t="str">
        <f>IF(D66=Lookup!$G$7,INDEX(cards[name],MATCH('card-code'!E66,cards[object_id order],0)),"")</f>
        <v/>
      </c>
      <c r="M66" t="str">
        <f>IF($D66=Lookup!$L$9,INDEX(cards[icon],MATCH($E66,cards[object_id order],0)),"")</f>
        <v/>
      </c>
      <c r="N66" t="str">
        <f>IF(OR(D66=Lookup!$G$10,D66=Lookup!$G$11),INDEX(cards[[1]:[25]],MATCH($E66,cards[object_id order],0),'card-code'!G66),"")</f>
        <v/>
      </c>
      <c r="O66" t="str">
        <f t="shared" si="1"/>
        <v/>
      </c>
      <c r="P66" s="8" t="str">
        <f>INDEX(Lookup!$H$5:$H$11,MATCH(D66,Lookup!$G$5:$G$11,0))&amp;
K66&amp;L66&amp;M66&amp;N66&amp;
INDEX(Lookup!$I$5:$I$11,MATCH(D66,Lookup!$G$5:$G$11,0))</f>
        <v xml:space="preserve">  entities:</v>
      </c>
    </row>
    <row r="67" spans="2:16" x14ac:dyDescent="0.45">
      <c r="B67">
        <f t="shared" si="0"/>
        <v>65</v>
      </c>
      <c r="C67">
        <f t="shared" si="2"/>
        <v>6</v>
      </c>
      <c r="D67" t="str">
        <f>VLOOKUP(C67,Lookup!$F$5:$G$11,2,FALSE)</f>
        <v>entities</v>
      </c>
      <c r="E67">
        <f>IF(D67=Lookup!$G$5,E66+1,E66)</f>
        <v>9</v>
      </c>
      <c r="F67" s="3">
        <f>INDEX(cards[Entities count],MATCH('card-code'!E67,cards[object_id order],0))</f>
        <v>2</v>
      </c>
      <c r="G67">
        <f>IF(D66=Lookup!$G$9,1,IF(D66=Lookup!$G$10,G66+1,""))</f>
        <v>1</v>
      </c>
      <c r="H67">
        <f>IF(F67=1,  IF(D67=Lookup!$G$9,2,1),  IF(G67&lt;F67-1,0,1)  )</f>
        <v>1</v>
      </c>
      <c r="I67">
        <f>IF(D67&lt;&gt;Lookup!$G$7,0,IF(INDEX(cards[name],MATCH(E67,cards[object_id order],0))&lt;&gt;"",0,1))</f>
        <v>0</v>
      </c>
      <c r="J67">
        <f>IF(D67&lt;&gt;Lookup!$G$7,0,IF(INDEX(cards[icon],MATCH(E67,cards[object_id order],0))&lt;&gt;"",0,1))</f>
        <v>0</v>
      </c>
      <c r="K67" t="str">
        <f>IF(D67=Lookup!$G$6,INDEX(cards[object_id],MATCH('card-code'!E67,cards[object_id order],0)),"")</f>
        <v/>
      </c>
      <c r="L67" t="str">
        <f>IF(D67=Lookup!$G$7,INDEX(cards[name],MATCH('card-code'!E67,cards[object_id order],0)),"")</f>
        <v/>
      </c>
      <c r="M67" t="str">
        <f>IF($D67=Lookup!$L$9,INDEX(cards[icon],MATCH($E67,cards[object_id order],0)),"")</f>
        <v/>
      </c>
      <c r="N67" t="str">
        <f>IF(OR(D67=Lookup!$G$10,D67=Lookup!$G$11),INDEX(cards[[1]:[25]],MATCH($E67,cards[object_id order],0),'card-code'!G67),"")</f>
        <v>automation.statvac_vacation_mode_off_when_home</v>
      </c>
      <c r="O67" t="str">
        <f t="shared" si="1"/>
        <v/>
      </c>
      <c r="P67" s="8" t="str">
        <f>INDEX(Lookup!$H$5:$H$11,MATCH(D67,Lookup!$G$5:$G$11,0))&amp;
K67&amp;L67&amp;M67&amp;N67&amp;
INDEX(Lookup!$I$5:$I$11,MATCH(D67,Lookup!$G$5:$G$11,0))</f>
        <v xml:space="preserve">    - automation.statvac_vacation_mode_off_when_home</v>
      </c>
    </row>
    <row r="68" spans="2:16" x14ac:dyDescent="0.45">
      <c r="B68">
        <f t="shared" si="0"/>
        <v>66</v>
      </c>
      <c r="C68">
        <f t="shared" si="2"/>
        <v>7</v>
      </c>
      <c r="D68" t="str">
        <f>VLOOKUP(C68,Lookup!$F$5:$G$11,2,FALSE)</f>
        <v>entities end</v>
      </c>
      <c r="E68">
        <f>IF(D68=Lookup!$G$5,E67+1,E67)</f>
        <v>9</v>
      </c>
      <c r="F68" s="3">
        <f>INDEX(cards[Entities count],MATCH('card-code'!E68,cards[object_id order],0))</f>
        <v>2</v>
      </c>
      <c r="G68">
        <f>IF(D67=Lookup!$G$9,1,IF(D67=Lookup!$G$10,G67+1,""))</f>
        <v>2</v>
      </c>
      <c r="H68">
        <f>IF(F68=1,  IF(D68=Lookup!$G$9,2,1),  IF(G68&lt;F68-1,0,1)  )</f>
        <v>1</v>
      </c>
      <c r="I68">
        <f>IF(D68&lt;&gt;Lookup!$G$7,0,IF(INDEX(cards[name],MATCH(E68,cards[object_id order],0))&lt;&gt;"",0,1))</f>
        <v>0</v>
      </c>
      <c r="J68">
        <f>IF(D68&lt;&gt;Lookup!$G$7,0,IF(INDEX(cards[icon],MATCH(E68,cards[object_id order],0))&lt;&gt;"",0,1))</f>
        <v>0</v>
      </c>
      <c r="K68" t="str">
        <f>IF(D68=Lookup!$G$6,INDEX(cards[object_id],MATCH('card-code'!E68,cards[object_id order],0)),"")</f>
        <v/>
      </c>
      <c r="L68" t="str">
        <f>IF(D68=Lookup!$G$7,INDEX(cards[name],MATCH('card-code'!E68,cards[object_id order],0)),"")</f>
        <v/>
      </c>
      <c r="M68" t="str">
        <f>IF($D68=Lookup!$L$9,INDEX(cards[icon],MATCH($E68,cards[object_id order],0)),"")</f>
        <v/>
      </c>
      <c r="N68" t="str">
        <f>IF(OR(D68=Lookup!$G$10,D68=Lookup!$G$11),INDEX(cards[[1]:[25]],MATCH($E68,cards[object_id order],0),'card-code'!G68),"")</f>
        <v>automation.statvac_vacation_mode_on_when_gone_24_hours</v>
      </c>
      <c r="O68" t="str">
        <f t="shared" si="1"/>
        <v/>
      </c>
      <c r="P68" s="8" t="str">
        <f>INDEX(Lookup!$H$5:$H$11,MATCH(D68,Lookup!$G$5:$G$11,0))&amp;
K68&amp;L68&amp;M68&amp;N68&amp;
INDEX(Lookup!$I$5:$I$11,MATCH(D68,Lookup!$G$5:$G$11,0))</f>
        <v xml:space="preserve">    - automation.statvac_vacation_mode_on_when_gone_24_hours</v>
      </c>
    </row>
    <row r="69" spans="2:16" x14ac:dyDescent="0.45">
      <c r="B69">
        <f t="shared" ref="B69:B132" si="3">B68+1</f>
        <v>67</v>
      </c>
      <c r="C69">
        <f t="shared" si="2"/>
        <v>1</v>
      </c>
      <c r="D69" t="str">
        <f>VLOOKUP(C69,Lookup!$F$5:$G$11,2,FALSE)</f>
        <v>blank</v>
      </c>
      <c r="E69">
        <f>IF(D69=Lookup!$G$5,E68+1,E68)</f>
        <v>10</v>
      </c>
      <c r="F69" s="3">
        <f>INDEX(cards[Entities count],MATCH('card-code'!E69,cards[object_id order],0))</f>
        <v>3</v>
      </c>
      <c r="G69" t="str">
        <f>IF(D68=Lookup!$G$9,1,IF(D68=Lookup!$G$10,G68+1,""))</f>
        <v/>
      </c>
      <c r="H69">
        <f>IF(F69=1,  IF(D69=Lookup!$G$9,2,1),  IF(G69&lt;F69-1,0,1)  )</f>
        <v>1</v>
      </c>
      <c r="I69">
        <f>IF(D69&lt;&gt;Lookup!$G$7,0,IF(INDEX(cards[name],MATCH(E69,cards[object_id order],0))&lt;&gt;"",0,1))</f>
        <v>0</v>
      </c>
      <c r="J69">
        <f>IF(D69&lt;&gt;Lookup!$G$7,0,IF(INDEX(cards[icon],MATCH(E69,cards[object_id order],0))&lt;&gt;"",0,1))</f>
        <v>0</v>
      </c>
      <c r="K69" t="str">
        <f>IF(D69=Lookup!$G$6,INDEX(cards[object_id],MATCH('card-code'!E69,cards[object_id order],0)),"")</f>
        <v/>
      </c>
      <c r="L69" t="str">
        <f>IF(D69=Lookup!$G$7,INDEX(cards[name],MATCH('card-code'!E69,cards[object_id order],0)),"")</f>
        <v/>
      </c>
      <c r="M69" t="str">
        <f>IF($D69=Lookup!$L$9,INDEX(cards[icon],MATCH($E69,cards[object_id order],0)),"")</f>
        <v/>
      </c>
      <c r="N69" t="str">
        <f>IF(OR(D69=Lookup!$G$10,D69=Lookup!$G$11),INDEX(cards[[1]:[25]],MATCH($E69,cards[object_id order],0),'card-code'!G69),"")</f>
        <v/>
      </c>
      <c r="O69" t="str">
        <f t="shared" ref="O69:O132" si="4">IF(AND(NOT(ISNA(F68)),ISNA(F69)),"END","")</f>
        <v/>
      </c>
      <c r="P69" s="8" t="str">
        <f>INDEX(Lookup!$H$5:$H$11,MATCH(D69,Lookup!$G$5:$G$11,0))&amp;
K69&amp;L69&amp;M69&amp;N69&amp;
INDEX(Lookup!$I$5:$I$11,MATCH(D69,Lookup!$G$5:$G$11,0))</f>
        <v/>
      </c>
    </row>
    <row r="70" spans="2:16" x14ac:dyDescent="0.45">
      <c r="B70">
        <f t="shared" si="3"/>
        <v>68</v>
      </c>
      <c r="C70">
        <f t="shared" si="2"/>
        <v>2</v>
      </c>
      <c r="D70" t="str">
        <f>VLOOKUP(C70,Lookup!$F$5:$G$11,2,FALSE)</f>
        <v>card</v>
      </c>
      <c r="E70">
        <f>IF(D70=Lookup!$G$5,E69+1,E69)</f>
        <v>10</v>
      </c>
      <c r="F70" s="3">
        <f>INDEX(cards[Entities count],MATCH('card-code'!E70,cards[object_id order],0))</f>
        <v>3</v>
      </c>
      <c r="G70" t="str">
        <f>IF(D69=Lookup!$G$9,1,IF(D69=Lookup!$G$10,G69+1,""))</f>
        <v/>
      </c>
      <c r="H70">
        <f>IF(F70=1,  IF(D70=Lookup!$G$9,2,1),  IF(G70&lt;F70-1,0,1)  )</f>
        <v>1</v>
      </c>
      <c r="I70">
        <f>IF(D70&lt;&gt;Lookup!$G$7,0,IF(INDEX(cards[name],MATCH(E70,cards[object_id order],0))&lt;&gt;"",0,1))</f>
        <v>0</v>
      </c>
      <c r="J70">
        <f>IF(D70&lt;&gt;Lookup!$G$7,0,IF(INDEX(cards[icon],MATCH(E70,cards[object_id order],0))&lt;&gt;"",0,1))</f>
        <v>0</v>
      </c>
      <c r="K70" t="str">
        <f>IF(D70=Lookup!$G$6,INDEX(cards[object_id],MATCH('card-code'!E70,cards[object_id order],0)),"")</f>
        <v>status</v>
      </c>
      <c r="L70" t="str">
        <f>IF(D70=Lookup!$G$7,INDEX(cards[name],MATCH('card-code'!E70,cards[object_id order],0)),"")</f>
        <v/>
      </c>
      <c r="M70" t="str">
        <f>IF($D70=Lookup!$L$9,INDEX(cards[icon],MATCH($E70,cards[object_id order],0)),"")</f>
        <v/>
      </c>
      <c r="N70" t="str">
        <f>IF(OR(D70=Lookup!$G$10,D70=Lookup!$G$11),INDEX(cards[[1]:[25]],MATCH($E70,cards[object_id order],0),'card-code'!G70),"")</f>
        <v/>
      </c>
      <c r="O70" t="str">
        <f t="shared" si="4"/>
        <v/>
      </c>
      <c r="P70" s="8" t="str">
        <f>INDEX(Lookup!$H$5:$H$11,MATCH(D70,Lookup!$G$5:$G$11,0))&amp;
K70&amp;L70&amp;M70&amp;N70&amp;
INDEX(Lookup!$I$5:$I$11,MATCH(D70,Lookup!$G$5:$G$11,0))</f>
        <v>status:</v>
      </c>
    </row>
    <row r="71" spans="2:16" x14ac:dyDescent="0.45">
      <c r="B71">
        <f t="shared" si="3"/>
        <v>69</v>
      </c>
      <c r="C71">
        <f t="shared" ref="C71:C134" si="5">IF(C70=7,  1,  C70+SUM(H70:J70)  )</f>
        <v>3</v>
      </c>
      <c r="D71" t="str">
        <f>VLOOKUP(C71,Lookup!$F$5:$G$11,2,FALSE)</f>
        <v>name</v>
      </c>
      <c r="E71">
        <f>IF(D71=Lookup!$G$5,E70+1,E70)</f>
        <v>10</v>
      </c>
      <c r="F71" s="3">
        <f>INDEX(cards[Entities count],MATCH('card-code'!E71,cards[object_id order],0))</f>
        <v>3</v>
      </c>
      <c r="G71" t="str">
        <f>IF(D70=Lookup!$G$9,1,IF(D70=Lookup!$G$10,G70+1,""))</f>
        <v/>
      </c>
      <c r="H71">
        <f>IF(F71=1,  IF(D71=Lookup!$G$9,2,1),  IF(G71&lt;F71-1,0,1)  )</f>
        <v>1</v>
      </c>
      <c r="I71">
        <f>IF(D71&lt;&gt;Lookup!$G$7,0,IF(INDEX(cards[name],MATCH(E71,cards[object_id order],0))&lt;&gt;"",0,1))</f>
        <v>0</v>
      </c>
      <c r="J71">
        <f>IF(D71&lt;&gt;Lookup!$G$7,0,IF(INDEX(cards[icon],MATCH(E71,cards[object_id order],0))&lt;&gt;"",0,1))</f>
        <v>1</v>
      </c>
      <c r="K71" t="str">
        <f>IF(D71=Lookup!$G$6,INDEX(cards[object_id],MATCH('card-code'!E71,cards[object_id order],0)),"")</f>
        <v/>
      </c>
      <c r="L71" t="str">
        <f>IF(D71=Lookup!$G$7,INDEX(cards[name],MATCH('card-code'!E71,cards[object_id order],0)),"")</f>
        <v>Status</v>
      </c>
      <c r="M71" t="str">
        <f>IF($D71=Lookup!$L$9,INDEX(cards[icon],MATCH($E71,cards[object_id order],0)),"")</f>
        <v/>
      </c>
      <c r="N71" t="str">
        <f>IF(OR(D71=Lookup!$G$10,D71=Lookup!$G$11),INDEX(cards[[1]:[25]],MATCH($E71,cards[object_id order],0),'card-code'!G71),"")</f>
        <v/>
      </c>
      <c r="O71" t="str">
        <f t="shared" si="4"/>
        <v/>
      </c>
      <c r="P71" s="8" t="str">
        <f>INDEX(Lookup!$H$5:$H$11,MATCH(D71,Lookup!$G$5:$G$11,0))&amp;
K71&amp;L71&amp;M71&amp;N71&amp;
INDEX(Lookup!$I$5:$I$11,MATCH(D71,Lookup!$G$5:$G$11,0))</f>
        <v xml:space="preserve">  name: "Status"</v>
      </c>
    </row>
    <row r="72" spans="2:16" x14ac:dyDescent="0.45">
      <c r="B72">
        <f t="shared" si="3"/>
        <v>70</v>
      </c>
      <c r="C72">
        <f t="shared" si="5"/>
        <v>5</v>
      </c>
      <c r="D72" t="str">
        <f>VLOOKUP(C72,Lookup!$F$5:$G$11,2,FALSE)</f>
        <v>entities header</v>
      </c>
      <c r="E72">
        <f>IF(D72=Lookup!$G$5,E71+1,E71)</f>
        <v>10</v>
      </c>
      <c r="F72" s="3">
        <f>INDEX(cards[Entities count],MATCH('card-code'!E72,cards[object_id order],0))</f>
        <v>3</v>
      </c>
      <c r="G72" t="str">
        <f>IF(D71=Lookup!$G$9,1,IF(D71=Lookup!$G$10,G71+1,""))</f>
        <v/>
      </c>
      <c r="H72">
        <f>IF(F72=1,  IF(D72=Lookup!$G$9,2,1),  IF(G72&lt;F72-1,0,1)  )</f>
        <v>1</v>
      </c>
      <c r="I72">
        <f>IF(D72&lt;&gt;Lookup!$G$7,0,IF(INDEX(cards[name],MATCH(E72,cards[object_id order],0))&lt;&gt;"",0,1))</f>
        <v>0</v>
      </c>
      <c r="J72">
        <f>IF(D72&lt;&gt;Lookup!$G$7,0,IF(INDEX(cards[icon],MATCH(E72,cards[object_id order],0))&lt;&gt;"",0,1))</f>
        <v>0</v>
      </c>
      <c r="K72" t="str">
        <f>IF(D72=Lookup!$G$6,INDEX(cards[object_id],MATCH('card-code'!E72,cards[object_id order],0)),"")</f>
        <v/>
      </c>
      <c r="L72" t="str">
        <f>IF(D72=Lookup!$G$7,INDEX(cards[name],MATCH('card-code'!E72,cards[object_id order],0)),"")</f>
        <v/>
      </c>
      <c r="M72" t="str">
        <f>IF($D72=Lookup!$L$9,INDEX(cards[icon],MATCH($E72,cards[object_id order],0)),"")</f>
        <v/>
      </c>
      <c r="N72" t="str">
        <f>IF(OR(D72=Lookup!$G$10,D72=Lookup!$G$11),INDEX(cards[[1]:[25]],MATCH($E72,cards[object_id order],0),'card-code'!G72),"")</f>
        <v/>
      </c>
      <c r="O72" t="str">
        <f t="shared" si="4"/>
        <v/>
      </c>
      <c r="P72" s="8" t="str">
        <f>INDEX(Lookup!$H$5:$H$11,MATCH(D72,Lookup!$G$5:$G$11,0))&amp;
K72&amp;L72&amp;M72&amp;N72&amp;
INDEX(Lookup!$I$5:$I$11,MATCH(D72,Lookup!$G$5:$G$11,0))</f>
        <v xml:space="preserve">  entities:</v>
      </c>
    </row>
    <row r="73" spans="2:16" x14ac:dyDescent="0.45">
      <c r="B73">
        <f t="shared" si="3"/>
        <v>71</v>
      </c>
      <c r="C73">
        <f t="shared" si="5"/>
        <v>6</v>
      </c>
      <c r="D73" t="str">
        <f>VLOOKUP(C73,Lookup!$F$5:$G$11,2,FALSE)</f>
        <v>entities</v>
      </c>
      <c r="E73">
        <f>IF(D73=Lookup!$G$5,E72+1,E72)</f>
        <v>10</v>
      </c>
      <c r="F73" s="3">
        <f>INDEX(cards[Entities count],MATCH('card-code'!E73,cards[object_id order],0))</f>
        <v>3</v>
      </c>
      <c r="G73">
        <f>IF(D72=Lookup!$G$9,1,IF(D72=Lookup!$G$10,G72+1,""))</f>
        <v>1</v>
      </c>
      <c r="H73">
        <f>IF(F73=1,  IF(D73=Lookup!$G$9,2,1),  IF(G73&lt;F73-1,0,1)  )</f>
        <v>0</v>
      </c>
      <c r="I73">
        <f>IF(D73&lt;&gt;Lookup!$G$7,0,IF(INDEX(cards[name],MATCH(E73,cards[object_id order],0))&lt;&gt;"",0,1))</f>
        <v>0</v>
      </c>
      <c r="J73">
        <f>IF(D73&lt;&gt;Lookup!$G$7,0,IF(INDEX(cards[icon],MATCH(E73,cards[object_id order],0))&lt;&gt;"",0,1))</f>
        <v>0</v>
      </c>
      <c r="K73" t="str">
        <f>IF(D73=Lookup!$G$6,INDEX(cards[object_id],MATCH('card-code'!E73,cards[object_id order],0)),"")</f>
        <v/>
      </c>
      <c r="L73" t="str">
        <f>IF(D73=Lookup!$G$7,INDEX(cards[name],MATCH('card-code'!E73,cards[object_id order],0)),"")</f>
        <v/>
      </c>
      <c r="M73" t="str">
        <f>IF($D73=Lookup!$L$9,INDEX(cards[icon],MATCH($E73,cards[object_id order],0)),"")</f>
        <v/>
      </c>
      <c r="N73" t="str">
        <f>IF(OR(D73=Lookup!$G$10,D73=Lookup!$G$11),INDEX(cards[[1]:[25]],MATCH($E73,cards[object_id order],0),'card-code'!G73),"")</f>
        <v>input_select.ron_status</v>
      </c>
      <c r="O73" t="str">
        <f t="shared" si="4"/>
        <v/>
      </c>
      <c r="P73" s="8" t="str">
        <f>INDEX(Lookup!$H$5:$H$11,MATCH(D73,Lookup!$G$5:$G$11,0))&amp;
K73&amp;L73&amp;M73&amp;N73&amp;
INDEX(Lookup!$I$5:$I$11,MATCH(D73,Lookup!$G$5:$G$11,0))</f>
        <v xml:space="preserve">    - input_select.ron_status</v>
      </c>
    </row>
    <row r="74" spans="2:16" x14ac:dyDescent="0.45">
      <c r="B74">
        <f t="shared" si="3"/>
        <v>72</v>
      </c>
      <c r="C74">
        <f t="shared" si="5"/>
        <v>6</v>
      </c>
      <c r="D74" t="str">
        <f>VLOOKUP(C74,Lookup!$F$5:$G$11,2,FALSE)</f>
        <v>entities</v>
      </c>
      <c r="E74">
        <f>IF(D74=Lookup!$G$5,E73+1,E73)</f>
        <v>10</v>
      </c>
      <c r="F74" s="3">
        <f>INDEX(cards[Entities count],MATCH('card-code'!E74,cards[object_id order],0))</f>
        <v>3</v>
      </c>
      <c r="G74">
        <f>IF(D73=Lookup!$G$9,1,IF(D73=Lookup!$G$10,G73+1,""))</f>
        <v>2</v>
      </c>
      <c r="H74">
        <f>IF(F74=1,  IF(D74=Lookup!$G$9,2,1),  IF(G74&lt;F74-1,0,1)  )</f>
        <v>1</v>
      </c>
      <c r="I74">
        <f>IF(D74&lt;&gt;Lookup!$G$7,0,IF(INDEX(cards[name],MATCH(E74,cards[object_id order],0))&lt;&gt;"",0,1))</f>
        <v>0</v>
      </c>
      <c r="J74">
        <f>IF(D74&lt;&gt;Lookup!$G$7,0,IF(INDEX(cards[icon],MATCH(E74,cards[object_id order],0))&lt;&gt;"",0,1))</f>
        <v>0</v>
      </c>
      <c r="K74" t="str">
        <f>IF(D74=Lookup!$G$6,INDEX(cards[object_id],MATCH('card-code'!E74,cards[object_id order],0)),"")</f>
        <v/>
      </c>
      <c r="L74" t="str">
        <f>IF(D74=Lookup!$G$7,INDEX(cards[name],MATCH('card-code'!E74,cards[object_id order],0)),"")</f>
        <v/>
      </c>
      <c r="M74" t="str">
        <f>IF($D74=Lookup!$L$9,INDEX(cards[icon],MATCH($E74,cards[object_id order],0)),"")</f>
        <v/>
      </c>
      <c r="N74" t="str">
        <f>IF(OR(D74=Lookup!$G$10,D74=Lookup!$G$11),INDEX(cards[[1]:[25]],MATCH($E74,cards[object_id order],0),'card-code'!G74),"")</f>
        <v>input_boolean.friend_visiting</v>
      </c>
      <c r="O74" t="str">
        <f t="shared" si="4"/>
        <v/>
      </c>
      <c r="P74" s="8" t="str">
        <f>INDEX(Lookup!$H$5:$H$11,MATCH(D74,Lookup!$G$5:$G$11,0))&amp;
K74&amp;L74&amp;M74&amp;N74&amp;
INDEX(Lookup!$I$5:$I$11,MATCH(D74,Lookup!$G$5:$G$11,0))</f>
        <v xml:space="preserve">    - input_boolean.friend_visiting</v>
      </c>
    </row>
    <row r="75" spans="2:16" x14ac:dyDescent="0.45">
      <c r="B75">
        <f t="shared" si="3"/>
        <v>73</v>
      </c>
      <c r="C75">
        <f t="shared" si="5"/>
        <v>7</v>
      </c>
      <c r="D75" t="str">
        <f>VLOOKUP(C75,Lookup!$F$5:$G$11,2,FALSE)</f>
        <v>entities end</v>
      </c>
      <c r="E75">
        <f>IF(D75=Lookup!$G$5,E74+1,E74)</f>
        <v>10</v>
      </c>
      <c r="F75" s="3">
        <f>INDEX(cards[Entities count],MATCH('card-code'!E75,cards[object_id order],0))</f>
        <v>3</v>
      </c>
      <c r="G75">
        <f>IF(D74=Lookup!$G$9,1,IF(D74=Lookup!$G$10,G74+1,""))</f>
        <v>3</v>
      </c>
      <c r="H75">
        <f>IF(F75=1,  IF(D75=Lookup!$G$9,2,1),  IF(G75&lt;F75-1,0,1)  )</f>
        <v>1</v>
      </c>
      <c r="I75">
        <f>IF(D75&lt;&gt;Lookup!$G$7,0,IF(INDEX(cards[name],MATCH(E75,cards[object_id order],0))&lt;&gt;"",0,1))</f>
        <v>0</v>
      </c>
      <c r="J75">
        <f>IF(D75&lt;&gt;Lookup!$G$7,0,IF(INDEX(cards[icon],MATCH(E75,cards[object_id order],0))&lt;&gt;"",0,1))</f>
        <v>0</v>
      </c>
      <c r="K75" t="str">
        <f>IF(D75=Lookup!$G$6,INDEX(cards[object_id],MATCH('card-code'!E75,cards[object_id order],0)),"")</f>
        <v/>
      </c>
      <c r="L75" t="str">
        <f>IF(D75=Lookup!$G$7,INDEX(cards[name],MATCH('card-code'!E75,cards[object_id order],0)),"")</f>
        <v/>
      </c>
      <c r="M75" t="str">
        <f>IF($D75=Lookup!$L$9,INDEX(cards[icon],MATCH($E75,cards[object_id order],0)),"")</f>
        <v/>
      </c>
      <c r="N75" t="str">
        <f>IF(OR(D75=Lookup!$G$10,D75=Lookup!$G$11),INDEX(cards[[1]:[25]],MATCH($E75,cards[object_id order],0),'card-code'!G75),"")</f>
        <v>input_boolean.vacation_mode</v>
      </c>
      <c r="O75" t="str">
        <f t="shared" si="4"/>
        <v/>
      </c>
      <c r="P75" s="8" t="str">
        <f>INDEX(Lookup!$H$5:$H$11,MATCH(D75,Lookup!$G$5:$G$11,0))&amp;
K75&amp;L75&amp;M75&amp;N75&amp;
INDEX(Lookup!$I$5:$I$11,MATCH(D75,Lookup!$G$5:$G$11,0))</f>
        <v xml:space="preserve">    - input_boolean.vacation_mode</v>
      </c>
    </row>
    <row r="76" spans="2:16" x14ac:dyDescent="0.45">
      <c r="B76">
        <f t="shared" si="3"/>
        <v>74</v>
      </c>
      <c r="C76">
        <f t="shared" si="5"/>
        <v>1</v>
      </c>
      <c r="D76" t="str">
        <f>VLOOKUP(C76,Lookup!$F$5:$G$11,2,FALSE)</f>
        <v>blank</v>
      </c>
      <c r="E76">
        <f>IF(D76=Lookup!$G$5,E75+1,E75)</f>
        <v>11</v>
      </c>
      <c r="F76" s="3">
        <f>INDEX(cards[Entities count],MATCH('card-code'!E76,cards[object_id order],0))</f>
        <v>1</v>
      </c>
      <c r="G76" t="str">
        <f>IF(D75=Lookup!$G$9,1,IF(D75=Lookup!$G$10,G75+1,""))</f>
        <v/>
      </c>
      <c r="H76">
        <f>IF(F76=1,  IF(D76=Lookup!$G$9,2,1),  IF(G76&lt;F76-1,0,1)  )</f>
        <v>1</v>
      </c>
      <c r="I76">
        <f>IF(D76&lt;&gt;Lookup!$G$7,0,IF(INDEX(cards[name],MATCH(E76,cards[object_id order],0))&lt;&gt;"",0,1))</f>
        <v>0</v>
      </c>
      <c r="J76">
        <f>IF(D76&lt;&gt;Lookup!$G$7,0,IF(INDEX(cards[icon],MATCH(E76,cards[object_id order],0))&lt;&gt;"",0,1))</f>
        <v>0</v>
      </c>
      <c r="K76" t="str">
        <f>IF(D76=Lookup!$G$6,INDEX(cards[object_id],MATCH('card-code'!E76,cards[object_id order],0)),"")</f>
        <v/>
      </c>
      <c r="L76" t="str">
        <f>IF(D76=Lookup!$G$7,INDEX(cards[name],MATCH('card-code'!E76,cards[object_id order],0)),"")</f>
        <v/>
      </c>
      <c r="M76" t="str">
        <f>IF($D76=Lookup!$L$9,INDEX(cards[icon],MATCH($E76,cards[object_id order],0)),"")</f>
        <v/>
      </c>
      <c r="N76" t="str">
        <f>IF(OR(D76=Lookup!$G$10,D76=Lookup!$G$11),INDEX(cards[[1]:[25]],MATCH($E76,cards[object_id order],0),'card-code'!G76),"")</f>
        <v/>
      </c>
      <c r="O76" t="str">
        <f t="shared" si="4"/>
        <v/>
      </c>
      <c r="P76" s="8" t="str">
        <f>INDEX(Lookup!$H$5:$H$11,MATCH(D76,Lookup!$G$5:$G$11,0))&amp;
K76&amp;L76&amp;M76&amp;N76&amp;
INDEX(Lookup!$I$5:$I$11,MATCH(D76,Lookup!$G$5:$G$11,0))</f>
        <v/>
      </c>
    </row>
    <row r="77" spans="2:16" x14ac:dyDescent="0.45">
      <c r="B77">
        <f t="shared" si="3"/>
        <v>75</v>
      </c>
      <c r="C77">
        <f t="shared" si="5"/>
        <v>2</v>
      </c>
      <c r="D77" t="str">
        <f>VLOOKUP(C77,Lookup!$F$5:$G$11,2,FALSE)</f>
        <v>card</v>
      </c>
      <c r="E77">
        <f>IF(D77=Lookup!$G$5,E76+1,E76)</f>
        <v>11</v>
      </c>
      <c r="F77" s="3">
        <f>INDEX(cards[Entities count],MATCH('card-code'!E77,cards[object_id order],0))</f>
        <v>1</v>
      </c>
      <c r="G77" t="str">
        <f>IF(D76=Lookup!$G$9,1,IF(D76=Lookup!$G$10,G76+1,""))</f>
        <v/>
      </c>
      <c r="H77">
        <f>IF(F77=1,  IF(D77=Lookup!$G$9,2,1),  IF(G77&lt;F77-1,0,1)  )</f>
        <v>1</v>
      </c>
      <c r="I77">
        <f>IF(D77&lt;&gt;Lookup!$G$7,0,IF(INDEX(cards[name],MATCH(E77,cards[object_id order],0))&lt;&gt;"",0,1))</f>
        <v>0</v>
      </c>
      <c r="J77">
        <f>IF(D77&lt;&gt;Lookup!$G$7,0,IF(INDEX(cards[icon],MATCH(E77,cards[object_id order],0))&lt;&gt;"",0,1))</f>
        <v>0</v>
      </c>
      <c r="K77" t="str">
        <f>IF(D77=Lookup!$G$6,INDEX(cards[object_id],MATCH('card-code'!E77,cards[object_id order],0)),"")</f>
        <v>living_room</v>
      </c>
      <c r="L77" t="str">
        <f>IF(D77=Lookup!$G$7,INDEX(cards[name],MATCH('card-code'!E77,cards[object_id order],0)),"")</f>
        <v/>
      </c>
      <c r="M77" t="str">
        <f>IF($D77=Lookup!$L$9,INDEX(cards[icon],MATCH($E77,cards[object_id order],0)),"")</f>
        <v/>
      </c>
      <c r="N77" t="str">
        <f>IF(OR(D77=Lookup!$G$10,D77=Lookup!$G$11),INDEX(cards[[1]:[25]],MATCH($E77,cards[object_id order],0),'card-code'!G77),"")</f>
        <v/>
      </c>
      <c r="O77" t="str">
        <f t="shared" si="4"/>
        <v/>
      </c>
      <c r="P77" s="8" t="str">
        <f>INDEX(Lookup!$H$5:$H$11,MATCH(D77,Lookup!$G$5:$G$11,0))&amp;
K77&amp;L77&amp;M77&amp;N77&amp;
INDEX(Lookup!$I$5:$I$11,MATCH(D77,Lookup!$G$5:$G$11,0))</f>
        <v>living_room:</v>
      </c>
    </row>
    <row r="78" spans="2:16" x14ac:dyDescent="0.45">
      <c r="B78">
        <f t="shared" si="3"/>
        <v>76</v>
      </c>
      <c r="C78">
        <f t="shared" si="5"/>
        <v>3</v>
      </c>
      <c r="D78" t="str">
        <f>VLOOKUP(C78,Lookup!$F$5:$G$11,2,FALSE)</f>
        <v>name</v>
      </c>
      <c r="E78">
        <f>IF(D78=Lookup!$G$5,E77+1,E77)</f>
        <v>11</v>
      </c>
      <c r="F78" s="3">
        <f>INDEX(cards[Entities count],MATCH('card-code'!E78,cards[object_id order],0))</f>
        <v>1</v>
      </c>
      <c r="G78" t="str">
        <f>IF(D77=Lookup!$G$9,1,IF(D77=Lookup!$G$10,G77+1,""))</f>
        <v/>
      </c>
      <c r="H78">
        <f>IF(F78=1,  IF(D78=Lookup!$G$9,2,1),  IF(G78&lt;F78-1,0,1)  )</f>
        <v>1</v>
      </c>
      <c r="I78">
        <f>IF(D78&lt;&gt;Lookup!$G$7,0,IF(INDEX(cards[name],MATCH(E78,cards[object_id order],0))&lt;&gt;"",0,1))</f>
        <v>0</v>
      </c>
      <c r="J78">
        <f>IF(D78&lt;&gt;Lookup!$G$7,0,IF(INDEX(cards[icon],MATCH(E78,cards[object_id order],0))&lt;&gt;"",0,1))</f>
        <v>1</v>
      </c>
      <c r="K78" t="str">
        <f>IF(D78=Lookup!$G$6,INDEX(cards[object_id],MATCH('card-code'!E78,cards[object_id order],0)),"")</f>
        <v/>
      </c>
      <c r="L78" t="str">
        <f>IF(D78=Lookup!$G$7,INDEX(cards[name],MATCH('card-code'!E78,cards[object_id order],0)),"")</f>
        <v>Living Room</v>
      </c>
      <c r="M78" t="str">
        <f>IF($D78=Lookup!$L$9,INDEX(cards[icon],MATCH($E78,cards[object_id order],0)),"")</f>
        <v/>
      </c>
      <c r="N78" t="str">
        <f>IF(OR(D78=Lookup!$G$10,D78=Lookup!$G$11),INDEX(cards[[1]:[25]],MATCH($E78,cards[object_id order],0),'card-code'!G78),"")</f>
        <v/>
      </c>
      <c r="O78" t="str">
        <f t="shared" si="4"/>
        <v/>
      </c>
      <c r="P78" s="8" t="str">
        <f>INDEX(Lookup!$H$5:$H$11,MATCH(D78,Lookup!$G$5:$G$11,0))&amp;
K78&amp;L78&amp;M78&amp;N78&amp;
INDEX(Lookup!$I$5:$I$11,MATCH(D78,Lookup!$G$5:$G$11,0))</f>
        <v xml:space="preserve">  name: "Living Room"</v>
      </c>
    </row>
    <row r="79" spans="2:16" x14ac:dyDescent="0.45">
      <c r="B79">
        <f t="shared" si="3"/>
        <v>77</v>
      </c>
      <c r="C79">
        <f t="shared" si="5"/>
        <v>5</v>
      </c>
      <c r="D79" t="str">
        <f>VLOOKUP(C79,Lookup!$F$5:$G$11,2,FALSE)</f>
        <v>entities header</v>
      </c>
      <c r="E79">
        <f>IF(D79=Lookup!$G$5,E78+1,E78)</f>
        <v>11</v>
      </c>
      <c r="F79" s="3">
        <f>INDEX(cards[Entities count],MATCH('card-code'!E79,cards[object_id order],0))</f>
        <v>1</v>
      </c>
      <c r="G79" t="str">
        <f>IF(D78=Lookup!$G$9,1,IF(D78=Lookup!$G$10,G78+1,""))</f>
        <v/>
      </c>
      <c r="H79">
        <f>IF(F79=1,  IF(D79=Lookup!$G$9,2,1),  IF(G79&lt;F79-1,0,1)  )</f>
        <v>2</v>
      </c>
      <c r="I79">
        <f>IF(D79&lt;&gt;Lookup!$G$7,0,IF(INDEX(cards[name],MATCH(E79,cards[object_id order],0))&lt;&gt;"",0,1))</f>
        <v>0</v>
      </c>
      <c r="J79">
        <f>IF(D79&lt;&gt;Lookup!$G$7,0,IF(INDEX(cards[icon],MATCH(E79,cards[object_id order],0))&lt;&gt;"",0,1))</f>
        <v>0</v>
      </c>
      <c r="K79" t="str">
        <f>IF(D79=Lookup!$G$6,INDEX(cards[object_id],MATCH('card-code'!E79,cards[object_id order],0)),"")</f>
        <v/>
      </c>
      <c r="L79" t="str">
        <f>IF(D79=Lookup!$G$7,INDEX(cards[name],MATCH('card-code'!E79,cards[object_id order],0)),"")</f>
        <v/>
      </c>
      <c r="M79" t="str">
        <f>IF($D79=Lookup!$L$9,INDEX(cards[icon],MATCH($E79,cards[object_id order],0)),"")</f>
        <v/>
      </c>
      <c r="N79" t="str">
        <f>IF(OR(D79=Lookup!$G$10,D79=Lookup!$G$11),INDEX(cards[[1]:[25]],MATCH($E79,cards[object_id order],0),'card-code'!G79),"")</f>
        <v/>
      </c>
      <c r="O79" t="str">
        <f t="shared" si="4"/>
        <v/>
      </c>
      <c r="P79" s="8" t="str">
        <f>INDEX(Lookup!$H$5:$H$11,MATCH(D79,Lookup!$G$5:$G$11,0))&amp;
K79&amp;L79&amp;M79&amp;N79&amp;
INDEX(Lookup!$I$5:$I$11,MATCH(D79,Lookup!$G$5:$G$11,0))</f>
        <v xml:space="preserve">  entities:</v>
      </c>
    </row>
    <row r="80" spans="2:16" x14ac:dyDescent="0.45">
      <c r="B80">
        <f t="shared" si="3"/>
        <v>78</v>
      </c>
      <c r="C80">
        <f t="shared" si="5"/>
        <v>7</v>
      </c>
      <c r="D80" t="str">
        <f>VLOOKUP(C80,Lookup!$F$5:$G$11,2,FALSE)</f>
        <v>entities end</v>
      </c>
      <c r="E80">
        <f>IF(D80=Lookup!$G$5,E79+1,E79)</f>
        <v>11</v>
      </c>
      <c r="F80" s="3">
        <f>INDEX(cards[Entities count],MATCH('card-code'!E80,cards[object_id order],0))</f>
        <v>1</v>
      </c>
      <c r="G80">
        <f>IF(D79=Lookup!$G$9,1,IF(D79=Lookup!$G$10,G79+1,""))</f>
        <v>1</v>
      </c>
      <c r="H80">
        <f>IF(F80=1,  IF(D80=Lookup!$G$9,2,1),  IF(G80&lt;F80-1,0,1)  )</f>
        <v>1</v>
      </c>
      <c r="I80">
        <f>IF(D80&lt;&gt;Lookup!$G$7,0,IF(INDEX(cards[name],MATCH(E80,cards[object_id order],0))&lt;&gt;"",0,1))</f>
        <v>0</v>
      </c>
      <c r="J80">
        <f>IF(D80&lt;&gt;Lookup!$G$7,0,IF(INDEX(cards[icon],MATCH(E80,cards[object_id order],0))&lt;&gt;"",0,1))</f>
        <v>0</v>
      </c>
      <c r="K80" t="str">
        <f>IF(D80=Lookup!$G$6,INDEX(cards[object_id],MATCH('card-code'!E80,cards[object_id order],0)),"")</f>
        <v/>
      </c>
      <c r="L80" t="str">
        <f>IF(D80=Lookup!$G$7,INDEX(cards[name],MATCH('card-code'!E80,cards[object_id order],0)),"")</f>
        <v/>
      </c>
      <c r="M80" t="str">
        <f>IF($D80=Lookup!$L$9,INDEX(cards[icon],MATCH($E80,cards[object_id order],0)),"")</f>
        <v/>
      </c>
      <c r="N80" t="str">
        <f>IF(OR(D80=Lookup!$G$10,D80=Lookup!$G$11),INDEX(cards[[1]:[25]],MATCH($E80,cards[object_id order],0),'card-code'!G80),"")</f>
        <v>switch.amp</v>
      </c>
      <c r="O80" t="str">
        <f t="shared" si="4"/>
        <v/>
      </c>
      <c r="P80" s="8" t="str">
        <f>INDEX(Lookup!$H$5:$H$11,MATCH(D80,Lookup!$G$5:$G$11,0))&amp;
K80&amp;L80&amp;M80&amp;N80&amp;
INDEX(Lookup!$I$5:$I$11,MATCH(D80,Lookup!$G$5:$G$11,0))</f>
        <v xml:space="preserve">    - switch.amp</v>
      </c>
    </row>
    <row r="81" spans="2:16" x14ac:dyDescent="0.45">
      <c r="B81">
        <f t="shared" si="3"/>
        <v>79</v>
      </c>
      <c r="C81">
        <f t="shared" si="5"/>
        <v>1</v>
      </c>
      <c r="D81" t="str">
        <f>VLOOKUP(C81,Lookup!$F$5:$G$11,2,FALSE)</f>
        <v>blank</v>
      </c>
      <c r="E81">
        <f>IF(D81=Lookup!$G$5,E80+1,E80)</f>
        <v>12</v>
      </c>
      <c r="F81" s="3">
        <f>INDEX(cards[Entities count],MATCH('card-code'!E81,cards[object_id order],0))</f>
        <v>6</v>
      </c>
      <c r="G81" t="str">
        <f>IF(D80=Lookup!$G$9,1,IF(D80=Lookup!$G$10,G80+1,""))</f>
        <v/>
      </c>
      <c r="H81">
        <f>IF(F81=1,  IF(D81=Lookup!$G$9,2,1),  IF(G81&lt;F81-1,0,1)  )</f>
        <v>1</v>
      </c>
      <c r="I81">
        <f>IF(D81&lt;&gt;Lookup!$G$7,0,IF(INDEX(cards[name],MATCH(E81,cards[object_id order],0))&lt;&gt;"",0,1))</f>
        <v>0</v>
      </c>
      <c r="J81">
        <f>IF(D81&lt;&gt;Lookup!$G$7,0,IF(INDEX(cards[icon],MATCH(E81,cards[object_id order],0))&lt;&gt;"",0,1))</f>
        <v>0</v>
      </c>
      <c r="K81" t="str">
        <f>IF(D81=Lookup!$G$6,INDEX(cards[object_id],MATCH('card-code'!E81,cards[object_id order],0)),"")</f>
        <v/>
      </c>
      <c r="L81" t="str">
        <f>IF(D81=Lookup!$G$7,INDEX(cards[name],MATCH('card-code'!E81,cards[object_id order],0)),"")</f>
        <v/>
      </c>
      <c r="M81" t="str">
        <f>IF($D81=Lookup!$L$9,INDEX(cards[icon],MATCH($E81,cards[object_id order],0)),"")</f>
        <v/>
      </c>
      <c r="N81" t="str">
        <f>IF(OR(D81=Lookup!$G$10,D81=Lookup!$G$11),INDEX(cards[[1]:[25]],MATCH($E81,cards[object_id order],0),'card-code'!G81),"")</f>
        <v/>
      </c>
      <c r="O81" t="str">
        <f t="shared" si="4"/>
        <v/>
      </c>
      <c r="P81" s="8" t="str">
        <f>INDEX(Lookup!$H$5:$H$11,MATCH(D81,Lookup!$G$5:$G$11,0))&amp;
K81&amp;L81&amp;M81&amp;N81&amp;
INDEX(Lookup!$I$5:$I$11,MATCH(D81,Lookup!$G$5:$G$11,0))</f>
        <v/>
      </c>
    </row>
    <row r="82" spans="2:16" x14ac:dyDescent="0.45">
      <c r="B82">
        <f t="shared" si="3"/>
        <v>80</v>
      </c>
      <c r="C82">
        <f t="shared" si="5"/>
        <v>2</v>
      </c>
      <c r="D82" t="str">
        <f>VLOOKUP(C82,Lookup!$F$5:$G$11,2,FALSE)</f>
        <v>card</v>
      </c>
      <c r="E82">
        <f>IF(D82=Lookup!$G$5,E81+1,E81)</f>
        <v>12</v>
      </c>
      <c r="F82" s="3">
        <f>INDEX(cards[Entities count],MATCH('card-code'!E82,cards[object_id order],0))</f>
        <v>6</v>
      </c>
      <c r="G82" t="str">
        <f>IF(D81=Lookup!$G$9,1,IF(D81=Lookup!$G$10,G81+1,""))</f>
        <v/>
      </c>
      <c r="H82">
        <f>IF(F82=1,  IF(D82=Lookup!$G$9,2,1),  IF(G82&lt;F82-1,0,1)  )</f>
        <v>1</v>
      </c>
      <c r="I82">
        <f>IF(D82&lt;&gt;Lookup!$G$7,0,IF(INDEX(cards[name],MATCH(E82,cards[object_id order],0))&lt;&gt;"",0,1))</f>
        <v>0</v>
      </c>
      <c r="J82">
        <f>IF(D82&lt;&gt;Lookup!$G$7,0,IF(INDEX(cards[icon],MATCH(E82,cards[object_id order],0))&lt;&gt;"",0,1))</f>
        <v>0</v>
      </c>
      <c r="K82" t="str">
        <f>IF(D82=Lookup!$G$6,INDEX(cards[object_id],MATCH('card-code'!E82,cards[object_id order],0)),"")</f>
        <v>bedroom</v>
      </c>
      <c r="L82" t="str">
        <f>IF(D82=Lookup!$G$7,INDEX(cards[name],MATCH('card-code'!E82,cards[object_id order],0)),"")</f>
        <v/>
      </c>
      <c r="M82" t="str">
        <f>IF($D82=Lookup!$L$9,INDEX(cards[icon],MATCH($E82,cards[object_id order],0)),"")</f>
        <v/>
      </c>
      <c r="N82" t="str">
        <f>IF(OR(D82=Lookup!$G$10,D82=Lookup!$G$11),INDEX(cards[[1]:[25]],MATCH($E82,cards[object_id order],0),'card-code'!G82),"")</f>
        <v/>
      </c>
      <c r="O82" t="str">
        <f t="shared" si="4"/>
        <v/>
      </c>
      <c r="P82" s="8" t="str">
        <f>INDEX(Lookup!$H$5:$H$11,MATCH(D82,Lookup!$G$5:$G$11,0))&amp;
K82&amp;L82&amp;M82&amp;N82&amp;
INDEX(Lookup!$I$5:$I$11,MATCH(D82,Lookup!$G$5:$G$11,0))</f>
        <v>bedroom:</v>
      </c>
    </row>
    <row r="83" spans="2:16" x14ac:dyDescent="0.45">
      <c r="B83">
        <f t="shared" si="3"/>
        <v>81</v>
      </c>
      <c r="C83">
        <f t="shared" si="5"/>
        <v>3</v>
      </c>
      <c r="D83" t="str">
        <f>VLOOKUP(C83,Lookup!$F$5:$G$11,2,FALSE)</f>
        <v>name</v>
      </c>
      <c r="E83">
        <f>IF(D83=Lookup!$G$5,E82+1,E82)</f>
        <v>12</v>
      </c>
      <c r="F83" s="3">
        <f>INDEX(cards[Entities count],MATCH('card-code'!E83,cards[object_id order],0))</f>
        <v>6</v>
      </c>
      <c r="G83" t="str">
        <f>IF(D82=Lookup!$G$9,1,IF(D82=Lookup!$G$10,G82+1,""))</f>
        <v/>
      </c>
      <c r="H83">
        <f>IF(F83=1,  IF(D83=Lookup!$G$9,2,1),  IF(G83&lt;F83-1,0,1)  )</f>
        <v>1</v>
      </c>
      <c r="I83">
        <f>IF(D83&lt;&gt;Lookup!$G$7,0,IF(INDEX(cards[name],MATCH(E83,cards[object_id order],0))&lt;&gt;"",0,1))</f>
        <v>0</v>
      </c>
      <c r="J83">
        <f>IF(D83&lt;&gt;Lookup!$G$7,0,IF(INDEX(cards[icon],MATCH(E83,cards[object_id order],0))&lt;&gt;"",0,1))</f>
        <v>1</v>
      </c>
      <c r="K83" t="str">
        <f>IF(D83=Lookup!$G$6,INDEX(cards[object_id],MATCH('card-code'!E83,cards[object_id order],0)),"")</f>
        <v/>
      </c>
      <c r="L83" t="str">
        <f>IF(D83=Lookup!$G$7,INDEX(cards[name],MATCH('card-code'!E83,cards[object_id order],0)),"")</f>
        <v>Bedroom</v>
      </c>
      <c r="M83" t="str">
        <f>IF($D83=Lookup!$L$9,INDEX(cards[icon],MATCH($E83,cards[object_id order],0)),"")</f>
        <v/>
      </c>
      <c r="N83" t="str">
        <f>IF(OR(D83=Lookup!$G$10,D83=Lookup!$G$11),INDEX(cards[[1]:[25]],MATCH($E83,cards[object_id order],0),'card-code'!G83),"")</f>
        <v/>
      </c>
      <c r="O83" t="str">
        <f t="shared" si="4"/>
        <v/>
      </c>
      <c r="P83" s="8" t="str">
        <f>INDEX(Lookup!$H$5:$H$11,MATCH(D83,Lookup!$G$5:$G$11,0))&amp;
K83&amp;L83&amp;M83&amp;N83&amp;
INDEX(Lookup!$I$5:$I$11,MATCH(D83,Lookup!$G$5:$G$11,0))</f>
        <v xml:space="preserve">  name: "Bedroom"</v>
      </c>
    </row>
    <row r="84" spans="2:16" x14ac:dyDescent="0.45">
      <c r="B84">
        <f t="shared" si="3"/>
        <v>82</v>
      </c>
      <c r="C84">
        <f t="shared" si="5"/>
        <v>5</v>
      </c>
      <c r="D84" t="str">
        <f>VLOOKUP(C84,Lookup!$F$5:$G$11,2,FALSE)</f>
        <v>entities header</v>
      </c>
      <c r="E84">
        <f>IF(D84=Lookup!$G$5,E83+1,E83)</f>
        <v>12</v>
      </c>
      <c r="F84" s="3">
        <f>INDEX(cards[Entities count],MATCH('card-code'!E84,cards[object_id order],0))</f>
        <v>6</v>
      </c>
      <c r="G84" t="str">
        <f>IF(D83=Lookup!$G$9,1,IF(D83=Lookup!$G$10,G83+1,""))</f>
        <v/>
      </c>
      <c r="H84">
        <f>IF(F84=1,  IF(D84=Lookup!$G$9,2,1),  IF(G84&lt;F84-1,0,1)  )</f>
        <v>1</v>
      </c>
      <c r="I84">
        <f>IF(D84&lt;&gt;Lookup!$G$7,0,IF(INDEX(cards[name],MATCH(E84,cards[object_id order],0))&lt;&gt;"",0,1))</f>
        <v>0</v>
      </c>
      <c r="J84">
        <f>IF(D84&lt;&gt;Lookup!$G$7,0,IF(INDEX(cards[icon],MATCH(E84,cards[object_id order],0))&lt;&gt;"",0,1))</f>
        <v>0</v>
      </c>
      <c r="K84" t="str">
        <f>IF(D84=Lookup!$G$6,INDEX(cards[object_id],MATCH('card-code'!E84,cards[object_id order],0)),"")</f>
        <v/>
      </c>
      <c r="L84" t="str">
        <f>IF(D84=Lookup!$G$7,INDEX(cards[name],MATCH('card-code'!E84,cards[object_id order],0)),"")</f>
        <v/>
      </c>
      <c r="M84" t="str">
        <f>IF($D84=Lookup!$L$9,INDEX(cards[icon],MATCH($E84,cards[object_id order],0)),"")</f>
        <v/>
      </c>
      <c r="N84" t="str">
        <f>IF(OR(D84=Lookup!$G$10,D84=Lookup!$G$11),INDEX(cards[[1]:[25]],MATCH($E84,cards[object_id order],0),'card-code'!G84),"")</f>
        <v/>
      </c>
      <c r="O84" t="str">
        <f t="shared" si="4"/>
        <v/>
      </c>
      <c r="P84" s="8" t="str">
        <f>INDEX(Lookup!$H$5:$H$11,MATCH(D84,Lookup!$G$5:$G$11,0))&amp;
K84&amp;L84&amp;M84&amp;N84&amp;
INDEX(Lookup!$I$5:$I$11,MATCH(D84,Lookup!$G$5:$G$11,0))</f>
        <v xml:space="preserve">  entities:</v>
      </c>
    </row>
    <row r="85" spans="2:16" x14ac:dyDescent="0.45">
      <c r="B85">
        <f t="shared" si="3"/>
        <v>83</v>
      </c>
      <c r="C85">
        <f t="shared" si="5"/>
        <v>6</v>
      </c>
      <c r="D85" t="str">
        <f>VLOOKUP(C85,Lookup!$F$5:$G$11,2,FALSE)</f>
        <v>entities</v>
      </c>
      <c r="E85">
        <f>IF(D85=Lookup!$G$5,E84+1,E84)</f>
        <v>12</v>
      </c>
      <c r="F85" s="3">
        <f>INDEX(cards[Entities count],MATCH('card-code'!E85,cards[object_id order],0))</f>
        <v>6</v>
      </c>
      <c r="G85">
        <f>IF(D84=Lookup!$G$9,1,IF(D84=Lookup!$G$10,G84+1,""))</f>
        <v>1</v>
      </c>
      <c r="H85">
        <f>IF(F85=1,  IF(D85=Lookup!$G$9,2,1),  IF(G85&lt;F85-1,0,1)  )</f>
        <v>0</v>
      </c>
      <c r="I85">
        <f>IF(D85&lt;&gt;Lookup!$G$7,0,IF(INDEX(cards[name],MATCH(E85,cards[object_id order],0))&lt;&gt;"",0,1))</f>
        <v>0</v>
      </c>
      <c r="J85">
        <f>IF(D85&lt;&gt;Lookup!$G$7,0,IF(INDEX(cards[icon],MATCH(E85,cards[object_id order],0))&lt;&gt;"",0,1))</f>
        <v>0</v>
      </c>
      <c r="K85" t="str">
        <f>IF(D85=Lookup!$G$6,INDEX(cards[object_id],MATCH('card-code'!E85,cards[object_id order],0)),"")</f>
        <v/>
      </c>
      <c r="L85" t="str">
        <f>IF(D85=Lookup!$G$7,INDEX(cards[name],MATCH('card-code'!E85,cards[object_id order],0)),"")</f>
        <v/>
      </c>
      <c r="M85" t="str">
        <f>IF($D85=Lookup!$L$9,INDEX(cards[icon],MATCH($E85,cards[object_id order],0)),"")</f>
        <v/>
      </c>
      <c r="N85" t="str">
        <f>IF(OR(D85=Lookup!$G$10,D85=Lookup!$G$11),INDEX(cards[[1]:[25]],MATCH($E85,cards[object_id order],0),'card-code'!G85),"")</f>
        <v>script.bright</v>
      </c>
      <c r="O85" t="str">
        <f t="shared" si="4"/>
        <v/>
      </c>
      <c r="P85" s="8" t="str">
        <f>INDEX(Lookup!$H$5:$H$11,MATCH(D85,Lookup!$G$5:$G$11,0))&amp;
K85&amp;L85&amp;M85&amp;N85&amp;
INDEX(Lookup!$I$5:$I$11,MATCH(D85,Lookup!$G$5:$G$11,0))</f>
        <v xml:space="preserve">    - script.bright</v>
      </c>
    </row>
    <row r="86" spans="2:16" x14ac:dyDescent="0.45">
      <c r="B86">
        <f t="shared" si="3"/>
        <v>84</v>
      </c>
      <c r="C86">
        <f t="shared" si="5"/>
        <v>6</v>
      </c>
      <c r="D86" t="str">
        <f>VLOOKUP(C86,Lookup!$F$5:$G$11,2,FALSE)</f>
        <v>entities</v>
      </c>
      <c r="E86">
        <f>IF(D86=Lookup!$G$5,E85+1,E85)</f>
        <v>12</v>
      </c>
      <c r="F86" s="3">
        <f>INDEX(cards[Entities count],MATCH('card-code'!E86,cards[object_id order],0))</f>
        <v>6</v>
      </c>
      <c r="G86">
        <f>IF(D85=Lookup!$G$9,1,IF(D85=Lookup!$G$10,G85+1,""))</f>
        <v>2</v>
      </c>
      <c r="H86">
        <f>IF(F86=1,  IF(D86=Lookup!$G$9,2,1),  IF(G86&lt;F86-1,0,1)  )</f>
        <v>0</v>
      </c>
      <c r="I86">
        <f>IF(D86&lt;&gt;Lookup!$G$7,0,IF(INDEX(cards[name],MATCH(E86,cards[object_id order],0))&lt;&gt;"",0,1))</f>
        <v>0</v>
      </c>
      <c r="J86">
        <f>IF(D86&lt;&gt;Lookup!$G$7,0,IF(INDEX(cards[icon],MATCH(E86,cards[object_id order],0))&lt;&gt;"",0,1))</f>
        <v>0</v>
      </c>
      <c r="K86" t="str">
        <f>IF(D86=Lookup!$G$6,INDEX(cards[object_id],MATCH('card-code'!E86,cards[object_id order],0)),"")</f>
        <v/>
      </c>
      <c r="L86" t="str">
        <f>IF(D86=Lookup!$G$7,INDEX(cards[name],MATCH('card-code'!E86,cards[object_id order],0)),"")</f>
        <v/>
      </c>
      <c r="M86" t="str">
        <f>IF($D86=Lookup!$L$9,INDEX(cards[icon],MATCH($E86,cards[object_id order],0)),"")</f>
        <v/>
      </c>
      <c r="N86" t="str">
        <f>IF(OR(D86=Lookup!$G$10,D86=Lookup!$G$11),INDEX(cards[[1]:[25]],MATCH($E86,cards[object_id order],0),'card-code'!G86),"")</f>
        <v>script.twilight</v>
      </c>
      <c r="O86" t="str">
        <f t="shared" si="4"/>
        <v/>
      </c>
      <c r="P86" s="8" t="str">
        <f>INDEX(Lookup!$H$5:$H$11,MATCH(D86,Lookup!$G$5:$G$11,0))&amp;
K86&amp;L86&amp;M86&amp;N86&amp;
INDEX(Lookup!$I$5:$I$11,MATCH(D86,Lookup!$G$5:$G$11,0))</f>
        <v xml:space="preserve">    - script.twilight</v>
      </c>
    </row>
    <row r="87" spans="2:16" x14ac:dyDescent="0.45">
      <c r="B87">
        <f t="shared" si="3"/>
        <v>85</v>
      </c>
      <c r="C87">
        <f t="shared" si="5"/>
        <v>6</v>
      </c>
      <c r="D87" t="str">
        <f>VLOOKUP(C87,Lookup!$F$5:$G$11,2,FALSE)</f>
        <v>entities</v>
      </c>
      <c r="E87">
        <f>IF(D87=Lookup!$G$5,E86+1,E86)</f>
        <v>12</v>
      </c>
      <c r="F87" s="3">
        <f>INDEX(cards[Entities count],MATCH('card-code'!E87,cards[object_id order],0))</f>
        <v>6</v>
      </c>
      <c r="G87">
        <f>IF(D86=Lookup!$G$9,1,IF(D86=Lookup!$G$10,G86+1,""))</f>
        <v>3</v>
      </c>
      <c r="H87">
        <f>IF(F87=1,  IF(D87=Lookup!$G$9,2,1),  IF(G87&lt;F87-1,0,1)  )</f>
        <v>0</v>
      </c>
      <c r="I87">
        <f>IF(D87&lt;&gt;Lookup!$G$7,0,IF(INDEX(cards[name],MATCH(E87,cards[object_id order],0))&lt;&gt;"",0,1))</f>
        <v>0</v>
      </c>
      <c r="J87">
        <f>IF(D87&lt;&gt;Lookup!$G$7,0,IF(INDEX(cards[icon],MATCH(E87,cards[object_id order],0))&lt;&gt;"",0,1))</f>
        <v>0</v>
      </c>
      <c r="K87" t="str">
        <f>IF(D87=Lookup!$G$6,INDEX(cards[object_id],MATCH('card-code'!E87,cards[object_id order],0)),"")</f>
        <v/>
      </c>
      <c r="L87" t="str">
        <f>IF(D87=Lookup!$G$7,INDEX(cards[name],MATCH('card-code'!E87,cards[object_id order],0)),"")</f>
        <v/>
      </c>
      <c r="M87" t="str">
        <f>IF($D87=Lookup!$L$9,INDEX(cards[icon],MATCH($E87,cards[object_id order],0)),"")</f>
        <v/>
      </c>
      <c r="N87" t="str">
        <f>IF(OR(D87=Lookup!$G$10,D87=Lookup!$G$11),INDEX(cards[[1]:[25]],MATCH($E87,cards[object_id order],0),'card-code'!G87),"")</f>
        <v>script.dusk</v>
      </c>
      <c r="O87" t="str">
        <f t="shared" si="4"/>
        <v/>
      </c>
      <c r="P87" s="8" t="str">
        <f>INDEX(Lookup!$H$5:$H$11,MATCH(D87,Lookup!$G$5:$G$11,0))&amp;
K87&amp;L87&amp;M87&amp;N87&amp;
INDEX(Lookup!$I$5:$I$11,MATCH(D87,Lookup!$G$5:$G$11,0))</f>
        <v xml:space="preserve">    - script.dusk</v>
      </c>
    </row>
    <row r="88" spans="2:16" x14ac:dyDescent="0.45">
      <c r="B88">
        <f t="shared" si="3"/>
        <v>86</v>
      </c>
      <c r="C88">
        <f t="shared" si="5"/>
        <v>6</v>
      </c>
      <c r="D88" t="str">
        <f>VLOOKUP(C88,Lookup!$F$5:$G$11,2,FALSE)</f>
        <v>entities</v>
      </c>
      <c r="E88">
        <f>IF(D88=Lookup!$G$5,E87+1,E87)</f>
        <v>12</v>
      </c>
      <c r="F88" s="3">
        <f>INDEX(cards[Entities count],MATCH('card-code'!E88,cards[object_id order],0))</f>
        <v>6</v>
      </c>
      <c r="G88">
        <f>IF(D87=Lookup!$G$9,1,IF(D87=Lookup!$G$10,G87+1,""))</f>
        <v>4</v>
      </c>
      <c r="H88">
        <f>IF(F88=1,  IF(D88=Lookup!$G$9,2,1),  IF(G88&lt;F88-1,0,1)  )</f>
        <v>0</v>
      </c>
      <c r="I88">
        <f>IF(D88&lt;&gt;Lookup!$G$7,0,IF(INDEX(cards[name],MATCH(E88,cards[object_id order],0))&lt;&gt;"",0,1))</f>
        <v>0</v>
      </c>
      <c r="J88">
        <f>IF(D88&lt;&gt;Lookup!$G$7,0,IF(INDEX(cards[icon],MATCH(E88,cards[object_id order],0))&lt;&gt;"",0,1))</f>
        <v>0</v>
      </c>
      <c r="K88" t="str">
        <f>IF(D88=Lookup!$G$6,INDEX(cards[object_id],MATCH('card-code'!E88,cards[object_id order],0)),"")</f>
        <v/>
      </c>
      <c r="L88" t="str">
        <f>IF(D88=Lookup!$G$7,INDEX(cards[name],MATCH('card-code'!E88,cards[object_id order],0)),"")</f>
        <v/>
      </c>
      <c r="M88" t="str">
        <f>IF($D88=Lookup!$L$9,INDEX(cards[icon],MATCH($E88,cards[object_id order],0)),"")</f>
        <v/>
      </c>
      <c r="N88" t="str">
        <f>IF(OR(D88=Lookup!$G$10,D88=Lookup!$G$11),INDEX(cards[[1]:[25]],MATCH($E88,cards[object_id order],0),'card-code'!G88),"")</f>
        <v>script.reading</v>
      </c>
      <c r="O88" t="str">
        <f t="shared" si="4"/>
        <v/>
      </c>
      <c r="P88" s="8" t="str">
        <f>INDEX(Lookup!$H$5:$H$11,MATCH(D88,Lookup!$G$5:$G$11,0))&amp;
K88&amp;L88&amp;M88&amp;N88&amp;
INDEX(Lookup!$I$5:$I$11,MATCH(D88,Lookup!$G$5:$G$11,0))</f>
        <v xml:space="preserve">    - script.reading</v>
      </c>
    </row>
    <row r="89" spans="2:16" x14ac:dyDescent="0.45">
      <c r="B89">
        <f t="shared" si="3"/>
        <v>87</v>
      </c>
      <c r="C89">
        <f t="shared" si="5"/>
        <v>6</v>
      </c>
      <c r="D89" t="str">
        <f>VLOOKUP(C89,Lookup!$F$5:$G$11,2,FALSE)</f>
        <v>entities</v>
      </c>
      <c r="E89">
        <f>IF(D89=Lookup!$G$5,E88+1,E88)</f>
        <v>12</v>
      </c>
      <c r="F89" s="3">
        <f>INDEX(cards[Entities count],MATCH('card-code'!E89,cards[object_id order],0))</f>
        <v>6</v>
      </c>
      <c r="G89">
        <f>IF(D88=Lookup!$G$9,1,IF(D88=Lookup!$G$10,G88+1,""))</f>
        <v>5</v>
      </c>
      <c r="H89">
        <f>IF(F89=1,  IF(D89=Lookup!$G$9,2,1),  IF(G89&lt;F89-1,0,1)  )</f>
        <v>1</v>
      </c>
      <c r="I89">
        <f>IF(D89&lt;&gt;Lookup!$G$7,0,IF(INDEX(cards[name],MATCH(E89,cards[object_id order],0))&lt;&gt;"",0,1))</f>
        <v>0</v>
      </c>
      <c r="J89">
        <f>IF(D89&lt;&gt;Lookup!$G$7,0,IF(INDEX(cards[icon],MATCH(E89,cards[object_id order],0))&lt;&gt;"",0,1))</f>
        <v>0</v>
      </c>
      <c r="K89" t="str">
        <f>IF(D89=Lookup!$G$6,INDEX(cards[object_id],MATCH('card-code'!E89,cards[object_id order],0)),"")</f>
        <v/>
      </c>
      <c r="L89" t="str">
        <f>IF(D89=Lookup!$G$7,INDEX(cards[name],MATCH('card-code'!E89,cards[object_id order],0)),"")</f>
        <v/>
      </c>
      <c r="M89" t="str">
        <f>IF($D89=Lookup!$L$9,INDEX(cards[icon],MATCH($E89,cards[object_id order],0)),"")</f>
        <v/>
      </c>
      <c r="N89" t="str">
        <f>IF(OR(D89=Lookup!$G$10,D89=Lookup!$G$11),INDEX(cards[[1]:[25]],MATCH($E89,cards[object_id order],0),'card-code'!G89),"")</f>
        <v>script.all_off</v>
      </c>
      <c r="O89" t="str">
        <f t="shared" si="4"/>
        <v/>
      </c>
      <c r="P89" s="8" t="str">
        <f>INDEX(Lookup!$H$5:$H$11,MATCH(D89,Lookup!$G$5:$G$11,0))&amp;
K89&amp;L89&amp;M89&amp;N89&amp;
INDEX(Lookup!$I$5:$I$11,MATCH(D89,Lookup!$G$5:$G$11,0))</f>
        <v xml:space="preserve">    - script.all_off</v>
      </c>
    </row>
    <row r="90" spans="2:16" x14ac:dyDescent="0.45">
      <c r="B90">
        <f t="shared" si="3"/>
        <v>88</v>
      </c>
      <c r="C90">
        <f t="shared" si="5"/>
        <v>7</v>
      </c>
      <c r="D90" t="str">
        <f>VLOOKUP(C90,Lookup!$F$5:$G$11,2,FALSE)</f>
        <v>entities end</v>
      </c>
      <c r="E90">
        <f>IF(D90=Lookup!$G$5,E89+1,E89)</f>
        <v>12</v>
      </c>
      <c r="F90" s="3">
        <f>INDEX(cards[Entities count],MATCH('card-code'!E90,cards[object_id order],0))</f>
        <v>6</v>
      </c>
      <c r="G90">
        <f>IF(D89=Lookup!$G$9,1,IF(D89=Lookup!$G$10,G89+1,""))</f>
        <v>6</v>
      </c>
      <c r="H90">
        <f>IF(F90=1,  IF(D90=Lookup!$G$9,2,1),  IF(G90&lt;F90-1,0,1)  )</f>
        <v>1</v>
      </c>
      <c r="I90">
        <f>IF(D90&lt;&gt;Lookup!$G$7,0,IF(INDEX(cards[name],MATCH(E90,cards[object_id order],0))&lt;&gt;"",0,1))</f>
        <v>0</v>
      </c>
      <c r="J90">
        <f>IF(D90&lt;&gt;Lookup!$G$7,0,IF(INDEX(cards[icon],MATCH(E90,cards[object_id order],0))&lt;&gt;"",0,1))</f>
        <v>0</v>
      </c>
      <c r="K90" t="str">
        <f>IF(D90=Lookup!$G$6,INDEX(cards[object_id],MATCH('card-code'!E90,cards[object_id order],0)),"")</f>
        <v/>
      </c>
      <c r="L90" t="str">
        <f>IF(D90=Lookup!$G$7,INDEX(cards[name],MATCH('card-code'!E90,cards[object_id order],0)),"")</f>
        <v/>
      </c>
      <c r="M90" t="str">
        <f>IF($D90=Lookup!$L$9,INDEX(cards[icon],MATCH($E90,cards[object_id order],0)),"")</f>
        <v/>
      </c>
      <c r="N90" t="str">
        <f>IF(OR(D90=Lookup!$G$10,D90=Lookup!$G$11),INDEX(cards[[1]:[25]],MATCH($E90,cards[object_id order],0),'card-code'!G90),"")</f>
        <v>script.good_night</v>
      </c>
      <c r="O90" t="str">
        <f t="shared" si="4"/>
        <v/>
      </c>
      <c r="P90" s="8" t="str">
        <f>INDEX(Lookup!$H$5:$H$11,MATCH(D90,Lookup!$G$5:$G$11,0))&amp;
K90&amp;L90&amp;M90&amp;N90&amp;
INDEX(Lookup!$I$5:$I$11,MATCH(D90,Lookup!$G$5:$G$11,0))</f>
        <v xml:space="preserve">    - script.good_night</v>
      </c>
    </row>
    <row r="91" spans="2:16" x14ac:dyDescent="0.45">
      <c r="B91">
        <f t="shared" si="3"/>
        <v>89</v>
      </c>
      <c r="C91">
        <f t="shared" si="5"/>
        <v>1</v>
      </c>
      <c r="D91" t="str">
        <f>VLOOKUP(C91,Lookup!$F$5:$G$11,2,FALSE)</f>
        <v>blank</v>
      </c>
      <c r="E91">
        <f>IF(D91=Lookup!$G$5,E90+1,E90)</f>
        <v>13</v>
      </c>
      <c r="F91" s="3">
        <f>INDEX(cards[Entities count],MATCH('card-code'!E91,cards[object_id order],0))</f>
        <v>3</v>
      </c>
      <c r="G91" t="str">
        <f>IF(D90=Lookup!$G$9,1,IF(D90=Lookup!$G$10,G90+1,""))</f>
        <v/>
      </c>
      <c r="H91">
        <f>IF(F91=1,  IF(D91=Lookup!$G$9,2,1),  IF(G91&lt;F91-1,0,1)  )</f>
        <v>1</v>
      </c>
      <c r="I91">
        <f>IF(D91&lt;&gt;Lookup!$G$7,0,IF(INDEX(cards[name],MATCH(E91,cards[object_id order],0))&lt;&gt;"",0,1))</f>
        <v>0</v>
      </c>
      <c r="J91">
        <f>IF(D91&lt;&gt;Lookup!$G$7,0,IF(INDEX(cards[icon],MATCH(E91,cards[object_id order],0))&lt;&gt;"",0,1))</f>
        <v>0</v>
      </c>
      <c r="K91" t="str">
        <f>IF(D91=Lookup!$G$6,INDEX(cards[object_id],MATCH('card-code'!E91,cards[object_id order],0)),"")</f>
        <v/>
      </c>
      <c r="L91" t="str">
        <f>IF(D91=Lookup!$G$7,INDEX(cards[name],MATCH('card-code'!E91,cards[object_id order],0)),"")</f>
        <v/>
      </c>
      <c r="M91" t="str">
        <f>IF($D91=Lookup!$L$9,INDEX(cards[icon],MATCH($E91,cards[object_id order],0)),"")</f>
        <v/>
      </c>
      <c r="N91" t="str">
        <f>IF(OR(D91=Lookup!$G$10,D91=Lookup!$G$11),INDEX(cards[[1]:[25]],MATCH($E91,cards[object_id order],0),'card-code'!G91),"")</f>
        <v/>
      </c>
      <c r="O91" t="str">
        <f t="shared" si="4"/>
        <v/>
      </c>
      <c r="P91" s="8" t="str">
        <f>INDEX(Lookup!$H$5:$H$11,MATCH(D91,Lookup!$G$5:$G$11,0))&amp;
K91&amp;L91&amp;M91&amp;N91&amp;
INDEX(Lookup!$I$5:$I$11,MATCH(D91,Lookup!$G$5:$G$11,0))</f>
        <v/>
      </c>
    </row>
    <row r="92" spans="2:16" x14ac:dyDescent="0.45">
      <c r="B92">
        <f t="shared" si="3"/>
        <v>90</v>
      </c>
      <c r="C92">
        <f t="shared" si="5"/>
        <v>2</v>
      </c>
      <c r="D92" t="str">
        <f>VLOOKUP(C92,Lookup!$F$5:$G$11,2,FALSE)</f>
        <v>card</v>
      </c>
      <c r="E92">
        <f>IF(D92=Lookup!$G$5,E91+1,E91)</f>
        <v>13</v>
      </c>
      <c r="F92" s="3">
        <f>INDEX(cards[Entities count],MATCH('card-code'!E92,cards[object_id order],0))</f>
        <v>3</v>
      </c>
      <c r="G92" t="str">
        <f>IF(D91=Lookup!$G$9,1,IF(D91=Lookup!$G$10,G91+1,""))</f>
        <v/>
      </c>
      <c r="H92">
        <f>IF(F92=1,  IF(D92=Lookup!$G$9,2,1),  IF(G92&lt;F92-1,0,1)  )</f>
        <v>1</v>
      </c>
      <c r="I92">
        <f>IF(D92&lt;&gt;Lookup!$G$7,0,IF(INDEX(cards[name],MATCH(E92,cards[object_id order],0))&lt;&gt;"",0,1))</f>
        <v>0</v>
      </c>
      <c r="J92">
        <f>IF(D92&lt;&gt;Lookup!$G$7,0,IF(INDEX(cards[icon],MATCH(E92,cards[object_id order],0))&lt;&gt;"",0,1))</f>
        <v>0</v>
      </c>
      <c r="K92" t="str">
        <f>IF(D92=Lookup!$G$6,INDEX(cards[object_id],MATCH('card-code'!E92,cards[object_id order],0)),"")</f>
        <v>bedroom_devices</v>
      </c>
      <c r="L92" t="str">
        <f>IF(D92=Lookup!$G$7,INDEX(cards[name],MATCH('card-code'!E92,cards[object_id order],0)),"")</f>
        <v/>
      </c>
      <c r="M92" t="str">
        <f>IF($D92=Lookup!$L$9,INDEX(cards[icon],MATCH($E92,cards[object_id order],0)),"")</f>
        <v/>
      </c>
      <c r="N92" t="str">
        <f>IF(OR(D92=Lookup!$G$10,D92=Lookup!$G$11),INDEX(cards[[1]:[25]],MATCH($E92,cards[object_id order],0),'card-code'!G92),"")</f>
        <v/>
      </c>
      <c r="O92" t="str">
        <f t="shared" si="4"/>
        <v/>
      </c>
      <c r="P92" s="8" t="str">
        <f>INDEX(Lookup!$H$5:$H$11,MATCH(D92,Lookup!$G$5:$G$11,0))&amp;
K92&amp;L92&amp;M92&amp;N92&amp;
INDEX(Lookup!$I$5:$I$11,MATCH(D92,Lookup!$G$5:$G$11,0))</f>
        <v>bedroom_devices:</v>
      </c>
    </row>
    <row r="93" spans="2:16" x14ac:dyDescent="0.45">
      <c r="B93">
        <f t="shared" si="3"/>
        <v>91</v>
      </c>
      <c r="C93">
        <f t="shared" si="5"/>
        <v>3</v>
      </c>
      <c r="D93" t="str">
        <f>VLOOKUP(C93,Lookup!$F$5:$G$11,2,FALSE)</f>
        <v>name</v>
      </c>
      <c r="E93">
        <f>IF(D93=Lookup!$G$5,E92+1,E92)</f>
        <v>13</v>
      </c>
      <c r="F93" s="3">
        <f>INDEX(cards[Entities count],MATCH('card-code'!E93,cards[object_id order],0))</f>
        <v>3</v>
      </c>
      <c r="G93" t="str">
        <f>IF(D92=Lookup!$G$9,1,IF(D92=Lookup!$G$10,G92+1,""))</f>
        <v/>
      </c>
      <c r="H93">
        <f>IF(F93=1,  IF(D93=Lookup!$G$9,2,1),  IF(G93&lt;F93-1,0,1)  )</f>
        <v>1</v>
      </c>
      <c r="I93">
        <f>IF(D93&lt;&gt;Lookup!$G$7,0,IF(INDEX(cards[name],MATCH(E93,cards[object_id order],0))&lt;&gt;"",0,1))</f>
        <v>0</v>
      </c>
      <c r="J93">
        <f>IF(D93&lt;&gt;Lookup!$G$7,0,IF(INDEX(cards[icon],MATCH(E93,cards[object_id order],0))&lt;&gt;"",0,1))</f>
        <v>1</v>
      </c>
      <c r="K93" t="str">
        <f>IF(D93=Lookup!$G$6,INDEX(cards[object_id],MATCH('card-code'!E93,cards[object_id order],0)),"")</f>
        <v/>
      </c>
      <c r="L93" t="str">
        <f>IF(D93=Lookup!$G$7,INDEX(cards[name],MATCH('card-code'!E93,cards[object_id order],0)),"")</f>
        <v>Bedroom || Devices</v>
      </c>
      <c r="M93" t="str">
        <f>IF($D93=Lookup!$L$9,INDEX(cards[icon],MATCH($E93,cards[object_id order],0)),"")</f>
        <v/>
      </c>
      <c r="N93" t="str">
        <f>IF(OR(D93=Lookup!$G$10,D93=Lookup!$G$11),INDEX(cards[[1]:[25]],MATCH($E93,cards[object_id order],0),'card-code'!G93),"")</f>
        <v/>
      </c>
      <c r="O93" t="str">
        <f t="shared" si="4"/>
        <v/>
      </c>
      <c r="P93" s="8" t="str">
        <f>INDEX(Lookup!$H$5:$H$11,MATCH(D93,Lookup!$G$5:$G$11,0))&amp;
K93&amp;L93&amp;M93&amp;N93&amp;
INDEX(Lookup!$I$5:$I$11,MATCH(D93,Lookup!$G$5:$G$11,0))</f>
        <v xml:space="preserve">  name: "Bedroom || Devices"</v>
      </c>
    </row>
    <row r="94" spans="2:16" x14ac:dyDescent="0.45">
      <c r="B94">
        <f t="shared" si="3"/>
        <v>92</v>
      </c>
      <c r="C94">
        <f t="shared" si="5"/>
        <v>5</v>
      </c>
      <c r="D94" t="str">
        <f>VLOOKUP(C94,Lookup!$F$5:$G$11,2,FALSE)</f>
        <v>entities header</v>
      </c>
      <c r="E94">
        <f>IF(D94=Lookup!$G$5,E93+1,E93)</f>
        <v>13</v>
      </c>
      <c r="F94" s="3">
        <f>INDEX(cards[Entities count],MATCH('card-code'!E94,cards[object_id order],0))</f>
        <v>3</v>
      </c>
      <c r="G94" t="str">
        <f>IF(D93=Lookup!$G$9,1,IF(D93=Lookup!$G$10,G93+1,""))</f>
        <v/>
      </c>
      <c r="H94">
        <f>IF(F94=1,  IF(D94=Lookup!$G$9,2,1),  IF(G94&lt;F94-1,0,1)  )</f>
        <v>1</v>
      </c>
      <c r="I94">
        <f>IF(D94&lt;&gt;Lookup!$G$7,0,IF(INDEX(cards[name],MATCH(E94,cards[object_id order],0))&lt;&gt;"",0,1))</f>
        <v>0</v>
      </c>
      <c r="J94">
        <f>IF(D94&lt;&gt;Lookup!$G$7,0,IF(INDEX(cards[icon],MATCH(E94,cards[object_id order],0))&lt;&gt;"",0,1))</f>
        <v>0</v>
      </c>
      <c r="K94" t="str">
        <f>IF(D94=Lookup!$G$6,INDEX(cards[object_id],MATCH('card-code'!E94,cards[object_id order],0)),"")</f>
        <v/>
      </c>
      <c r="L94" t="str">
        <f>IF(D94=Lookup!$G$7,INDEX(cards[name],MATCH('card-code'!E94,cards[object_id order],0)),"")</f>
        <v/>
      </c>
      <c r="M94" t="str">
        <f>IF($D94=Lookup!$L$9,INDEX(cards[icon],MATCH($E94,cards[object_id order],0)),"")</f>
        <v/>
      </c>
      <c r="N94" t="str">
        <f>IF(OR(D94=Lookup!$G$10,D94=Lookup!$G$11),INDEX(cards[[1]:[25]],MATCH($E94,cards[object_id order],0),'card-code'!G94),"")</f>
        <v/>
      </c>
      <c r="O94" t="str">
        <f t="shared" si="4"/>
        <v/>
      </c>
      <c r="P94" s="8" t="str">
        <f>INDEX(Lookup!$H$5:$H$11,MATCH(D94,Lookup!$G$5:$G$11,0))&amp;
K94&amp;L94&amp;M94&amp;N94&amp;
INDEX(Lookup!$I$5:$I$11,MATCH(D94,Lookup!$G$5:$G$11,0))</f>
        <v xml:space="preserve">  entities:</v>
      </c>
    </row>
    <row r="95" spans="2:16" x14ac:dyDescent="0.45">
      <c r="B95">
        <f t="shared" si="3"/>
        <v>93</v>
      </c>
      <c r="C95">
        <f t="shared" si="5"/>
        <v>6</v>
      </c>
      <c r="D95" t="str">
        <f>VLOOKUP(C95,Lookup!$F$5:$G$11,2,FALSE)</f>
        <v>entities</v>
      </c>
      <c r="E95">
        <f>IF(D95=Lookup!$G$5,E94+1,E94)</f>
        <v>13</v>
      </c>
      <c r="F95" s="3">
        <f>INDEX(cards[Entities count],MATCH('card-code'!E95,cards[object_id order],0))</f>
        <v>3</v>
      </c>
      <c r="G95">
        <f>IF(D94=Lookup!$G$9,1,IF(D94=Lookup!$G$10,G94+1,""))</f>
        <v>1</v>
      </c>
      <c r="H95">
        <f>IF(F95=1,  IF(D95=Lookup!$G$9,2,1),  IF(G95&lt;F95-1,0,1)  )</f>
        <v>0</v>
      </c>
      <c r="I95">
        <f>IF(D95&lt;&gt;Lookup!$G$7,0,IF(INDEX(cards[name],MATCH(E95,cards[object_id order],0))&lt;&gt;"",0,1))</f>
        <v>0</v>
      </c>
      <c r="J95">
        <f>IF(D95&lt;&gt;Lookup!$G$7,0,IF(INDEX(cards[icon],MATCH(E95,cards[object_id order],0))&lt;&gt;"",0,1))</f>
        <v>0</v>
      </c>
      <c r="K95" t="str">
        <f>IF(D95=Lookup!$G$6,INDEX(cards[object_id],MATCH('card-code'!E95,cards[object_id order],0)),"")</f>
        <v/>
      </c>
      <c r="L95" t="str">
        <f>IF(D95=Lookup!$G$7,INDEX(cards[name],MATCH('card-code'!E95,cards[object_id order],0)),"")</f>
        <v/>
      </c>
      <c r="M95" t="str">
        <f>IF($D95=Lookup!$L$9,INDEX(cards[icon],MATCH($E95,cards[object_id order],0)),"")</f>
        <v/>
      </c>
      <c r="N95" t="str">
        <f>IF(OR(D95=Lookup!$G$10,D95=Lookup!$G$11),INDEX(cards[[1]:[25]],MATCH($E95,cards[object_id order],0),'card-code'!G95),"")</f>
        <v>group.bedroom_lights</v>
      </c>
      <c r="O95" t="str">
        <f t="shared" si="4"/>
        <v/>
      </c>
      <c r="P95" s="8" t="str">
        <f>INDEX(Lookup!$H$5:$H$11,MATCH(D95,Lookup!$G$5:$G$11,0))&amp;
K95&amp;L95&amp;M95&amp;N95&amp;
INDEX(Lookup!$I$5:$I$11,MATCH(D95,Lookup!$G$5:$G$11,0))</f>
        <v xml:space="preserve">    - group.bedroom_lights</v>
      </c>
    </row>
    <row r="96" spans="2:16" x14ac:dyDescent="0.45">
      <c r="B96">
        <f t="shared" si="3"/>
        <v>94</v>
      </c>
      <c r="C96">
        <f t="shared" si="5"/>
        <v>6</v>
      </c>
      <c r="D96" t="str">
        <f>VLOOKUP(C96,Lookup!$F$5:$G$11,2,FALSE)</f>
        <v>entities</v>
      </c>
      <c r="E96">
        <f>IF(D96=Lookup!$G$5,E95+1,E95)</f>
        <v>13</v>
      </c>
      <c r="F96" s="3">
        <f>INDEX(cards[Entities count],MATCH('card-code'!E96,cards[object_id order],0))</f>
        <v>3</v>
      </c>
      <c r="G96">
        <f>IF(D95=Lookup!$G$9,1,IF(D95=Lookup!$G$10,G95+1,""))</f>
        <v>2</v>
      </c>
      <c r="H96">
        <f>IF(F96=1,  IF(D96=Lookup!$G$9,2,1),  IF(G96&lt;F96-1,0,1)  )</f>
        <v>1</v>
      </c>
      <c r="I96">
        <f>IF(D96&lt;&gt;Lookup!$G$7,0,IF(INDEX(cards[name],MATCH(E96,cards[object_id order],0))&lt;&gt;"",0,1))</f>
        <v>0</v>
      </c>
      <c r="J96">
        <f>IF(D96&lt;&gt;Lookup!$G$7,0,IF(INDEX(cards[icon],MATCH(E96,cards[object_id order],0))&lt;&gt;"",0,1))</f>
        <v>0</v>
      </c>
      <c r="K96" t="str">
        <f>IF(D96=Lookup!$G$6,INDEX(cards[object_id],MATCH('card-code'!E96,cards[object_id order],0)),"")</f>
        <v/>
      </c>
      <c r="L96" t="str">
        <f>IF(D96=Lookup!$G$7,INDEX(cards[name],MATCH('card-code'!E96,cards[object_id order],0)),"")</f>
        <v/>
      </c>
      <c r="M96" t="str">
        <f>IF($D96=Lookup!$L$9,INDEX(cards[icon],MATCH($E96,cards[object_id order],0)),"")</f>
        <v/>
      </c>
      <c r="N96" t="str">
        <f>IF(OR(D96=Lookup!$G$10,D96=Lookup!$G$11),INDEX(cards[[1]:[25]],MATCH($E96,cards[object_id order],0),'card-code'!G96),"")</f>
        <v>switch.bedroom_nightstand</v>
      </c>
      <c r="O96" t="str">
        <f t="shared" si="4"/>
        <v/>
      </c>
      <c r="P96" s="8" t="str">
        <f>INDEX(Lookup!$H$5:$H$11,MATCH(D96,Lookup!$G$5:$G$11,0))&amp;
K96&amp;L96&amp;M96&amp;N96&amp;
INDEX(Lookup!$I$5:$I$11,MATCH(D96,Lookup!$G$5:$G$11,0))</f>
        <v xml:space="preserve">    - switch.bedroom_nightstand</v>
      </c>
    </row>
    <row r="97" spans="2:16" x14ac:dyDescent="0.45">
      <c r="B97">
        <f t="shared" si="3"/>
        <v>95</v>
      </c>
      <c r="C97">
        <f t="shared" si="5"/>
        <v>7</v>
      </c>
      <c r="D97" t="str">
        <f>VLOOKUP(C97,Lookup!$F$5:$G$11,2,FALSE)</f>
        <v>entities end</v>
      </c>
      <c r="E97">
        <f>IF(D97=Lookup!$G$5,E96+1,E96)</f>
        <v>13</v>
      </c>
      <c r="F97" s="3">
        <f>INDEX(cards[Entities count],MATCH('card-code'!E97,cards[object_id order],0))</f>
        <v>3</v>
      </c>
      <c r="G97">
        <f>IF(D96=Lookup!$G$9,1,IF(D96=Lookup!$G$10,G96+1,""))</f>
        <v>3</v>
      </c>
      <c r="H97">
        <f>IF(F97=1,  IF(D97=Lookup!$G$9,2,1),  IF(G97&lt;F97-1,0,1)  )</f>
        <v>1</v>
      </c>
      <c r="I97">
        <f>IF(D97&lt;&gt;Lookup!$G$7,0,IF(INDEX(cards[name],MATCH(E97,cards[object_id order],0))&lt;&gt;"",0,1))</f>
        <v>0</v>
      </c>
      <c r="J97">
        <f>IF(D97&lt;&gt;Lookup!$G$7,0,IF(INDEX(cards[icon],MATCH(E97,cards[object_id order],0))&lt;&gt;"",0,1))</f>
        <v>0</v>
      </c>
      <c r="K97" t="str">
        <f>IF(D97=Lookup!$G$6,INDEX(cards[object_id],MATCH('card-code'!E97,cards[object_id order],0)),"")</f>
        <v/>
      </c>
      <c r="L97" t="str">
        <f>IF(D97=Lookup!$G$7,INDEX(cards[name],MATCH('card-code'!E97,cards[object_id order],0)),"")</f>
        <v/>
      </c>
      <c r="M97" t="str">
        <f>IF($D97=Lookup!$L$9,INDEX(cards[icon],MATCH($E97,cards[object_id order],0)),"")</f>
        <v/>
      </c>
      <c r="N97" t="str">
        <f>IF(OR(D97=Lookup!$G$10,D97=Lookup!$G$11),INDEX(cards[[1]:[25]],MATCH($E97,cards[object_id order],0),'card-code'!G97),"")</f>
        <v>switch.bedroom_fan</v>
      </c>
      <c r="O97" t="str">
        <f t="shared" si="4"/>
        <v/>
      </c>
      <c r="P97" s="8" t="str">
        <f>INDEX(Lookup!$H$5:$H$11,MATCH(D97,Lookup!$G$5:$G$11,0))&amp;
K97&amp;L97&amp;M97&amp;N97&amp;
INDEX(Lookup!$I$5:$I$11,MATCH(D97,Lookup!$G$5:$G$11,0))</f>
        <v xml:space="preserve">    - switch.bedroom_fan</v>
      </c>
    </row>
    <row r="98" spans="2:16" x14ac:dyDescent="0.45">
      <c r="B98">
        <f t="shared" si="3"/>
        <v>96</v>
      </c>
      <c r="C98">
        <f t="shared" si="5"/>
        <v>1</v>
      </c>
      <c r="D98" t="str">
        <f>VLOOKUP(C98,Lookup!$F$5:$G$11,2,FALSE)</f>
        <v>blank</v>
      </c>
      <c r="E98">
        <f>IF(D98=Lookup!$G$5,E97+1,E97)</f>
        <v>14</v>
      </c>
      <c r="F98" s="3">
        <f>INDEX(cards[Entities count],MATCH('card-code'!E98,cards[object_id order],0))</f>
        <v>2</v>
      </c>
      <c r="G98" t="str">
        <f>IF(D97=Lookup!$G$9,1,IF(D97=Lookup!$G$10,G97+1,""))</f>
        <v/>
      </c>
      <c r="H98">
        <f>IF(F98=1,  IF(D98=Lookup!$G$9,2,1),  IF(G98&lt;F98-1,0,1)  )</f>
        <v>1</v>
      </c>
      <c r="I98">
        <f>IF(D98&lt;&gt;Lookup!$G$7,0,IF(INDEX(cards[name],MATCH(E98,cards[object_id order],0))&lt;&gt;"",0,1))</f>
        <v>0</v>
      </c>
      <c r="J98">
        <f>IF(D98&lt;&gt;Lookup!$G$7,0,IF(INDEX(cards[icon],MATCH(E98,cards[object_id order],0))&lt;&gt;"",0,1))</f>
        <v>0</v>
      </c>
      <c r="K98" t="str">
        <f>IF(D98=Lookup!$G$6,INDEX(cards[object_id],MATCH('card-code'!E98,cards[object_id order],0)),"")</f>
        <v/>
      </c>
      <c r="L98" t="str">
        <f>IF(D98=Lookup!$G$7,INDEX(cards[name],MATCH('card-code'!E98,cards[object_id order],0)),"")</f>
        <v/>
      </c>
      <c r="M98" t="str">
        <f>IF($D98=Lookup!$L$9,INDEX(cards[icon],MATCH($E98,cards[object_id order],0)),"")</f>
        <v/>
      </c>
      <c r="N98" t="str">
        <f>IF(OR(D98=Lookup!$G$10,D98=Lookup!$G$11),INDEX(cards[[1]:[25]],MATCH($E98,cards[object_id order],0),'card-code'!G98),"")</f>
        <v/>
      </c>
      <c r="O98" t="str">
        <f t="shared" si="4"/>
        <v/>
      </c>
      <c r="P98" s="8" t="str">
        <f>INDEX(Lookup!$H$5:$H$11,MATCH(D98,Lookup!$G$5:$G$11,0))&amp;
K98&amp;L98&amp;M98&amp;N98&amp;
INDEX(Lookup!$I$5:$I$11,MATCH(D98,Lookup!$G$5:$G$11,0))</f>
        <v/>
      </c>
    </row>
    <row r="99" spans="2:16" x14ac:dyDescent="0.45">
      <c r="B99">
        <f t="shared" si="3"/>
        <v>97</v>
      </c>
      <c r="C99">
        <f t="shared" si="5"/>
        <v>2</v>
      </c>
      <c r="D99" t="str">
        <f>VLOOKUP(C99,Lookup!$F$5:$G$11,2,FALSE)</f>
        <v>card</v>
      </c>
      <c r="E99">
        <f>IF(D99=Lookup!$G$5,E98+1,E98)</f>
        <v>14</v>
      </c>
      <c r="F99" s="3">
        <f>INDEX(cards[Entities count],MATCH('card-code'!E99,cards[object_id order],0))</f>
        <v>2</v>
      </c>
      <c r="G99" t="str">
        <f>IF(D98=Lookup!$G$9,1,IF(D98=Lookup!$G$10,G98+1,""))</f>
        <v/>
      </c>
      <c r="H99">
        <f>IF(F99=1,  IF(D99=Lookup!$G$9,2,1),  IF(G99&lt;F99-1,0,1)  )</f>
        <v>1</v>
      </c>
      <c r="I99">
        <f>IF(D99&lt;&gt;Lookup!$G$7,0,IF(INDEX(cards[name],MATCH(E99,cards[object_id order],0))&lt;&gt;"",0,1))</f>
        <v>0</v>
      </c>
      <c r="J99">
        <f>IF(D99&lt;&gt;Lookup!$G$7,0,IF(INDEX(cards[icon],MATCH(E99,cards[object_id order],0))&lt;&gt;"",0,1))</f>
        <v>0</v>
      </c>
      <c r="K99" t="str">
        <f>IF(D99=Lookup!$G$6,INDEX(cards[object_id],MATCH('card-code'!E99,cards[object_id order],0)),"")</f>
        <v>bedroom_lights</v>
      </c>
      <c r="L99" t="str">
        <f>IF(D99=Lookup!$G$7,INDEX(cards[name],MATCH('card-code'!E99,cards[object_id order],0)),"")</f>
        <v/>
      </c>
      <c r="M99" t="str">
        <f>IF($D99=Lookup!$L$9,INDEX(cards[icon],MATCH($E99,cards[object_id order],0)),"")</f>
        <v/>
      </c>
      <c r="N99" t="str">
        <f>IF(OR(D99=Lookup!$G$10,D99=Lookup!$G$11),INDEX(cards[[1]:[25]],MATCH($E99,cards[object_id order],0),'card-code'!G99),"")</f>
        <v/>
      </c>
      <c r="O99" t="str">
        <f t="shared" si="4"/>
        <v/>
      </c>
      <c r="P99" s="8" t="str">
        <f>INDEX(Lookup!$H$5:$H$11,MATCH(D99,Lookup!$G$5:$G$11,0))&amp;
K99&amp;L99&amp;M99&amp;N99&amp;
INDEX(Lookup!$I$5:$I$11,MATCH(D99,Lookup!$G$5:$G$11,0))</f>
        <v>bedroom_lights:</v>
      </c>
    </row>
    <row r="100" spans="2:16" x14ac:dyDescent="0.45">
      <c r="B100">
        <f t="shared" si="3"/>
        <v>98</v>
      </c>
      <c r="C100">
        <f t="shared" si="5"/>
        <v>3</v>
      </c>
      <c r="D100" t="str">
        <f>VLOOKUP(C100,Lookup!$F$5:$G$11,2,FALSE)</f>
        <v>name</v>
      </c>
      <c r="E100">
        <f>IF(D100=Lookup!$G$5,E99+1,E99)</f>
        <v>14</v>
      </c>
      <c r="F100" s="3">
        <f>INDEX(cards[Entities count],MATCH('card-code'!E100,cards[object_id order],0))</f>
        <v>2</v>
      </c>
      <c r="G100" t="str">
        <f>IF(D99=Lookup!$G$9,1,IF(D99=Lookup!$G$10,G99+1,""))</f>
        <v/>
      </c>
      <c r="H100">
        <f>IF(F100=1,  IF(D100=Lookup!$G$9,2,1),  IF(G100&lt;F100-1,0,1)  )</f>
        <v>1</v>
      </c>
      <c r="I100">
        <f>IF(D100&lt;&gt;Lookup!$G$7,0,IF(INDEX(cards[name],MATCH(E100,cards[object_id order],0))&lt;&gt;"",0,1))</f>
        <v>0</v>
      </c>
      <c r="J100">
        <f>IF(D100&lt;&gt;Lookup!$G$7,0,IF(INDEX(cards[icon],MATCH(E100,cards[object_id order],0))&lt;&gt;"",0,1))</f>
        <v>1</v>
      </c>
      <c r="K100" t="str">
        <f>IF(D100=Lookup!$G$6,INDEX(cards[object_id],MATCH('card-code'!E100,cards[object_id order],0)),"")</f>
        <v/>
      </c>
      <c r="L100" t="str">
        <f>IF(D100=Lookup!$G$7,INDEX(cards[name],MATCH('card-code'!E100,cards[object_id order],0)),"")</f>
        <v>Bedroom Lights</v>
      </c>
      <c r="M100" t="str">
        <f>IF($D100=Lookup!$L$9,INDEX(cards[icon],MATCH($E100,cards[object_id order],0)),"")</f>
        <v/>
      </c>
      <c r="N100" t="str">
        <f>IF(OR(D100=Lookup!$G$10,D100=Lookup!$G$11),INDEX(cards[[1]:[25]],MATCH($E100,cards[object_id order],0),'card-code'!G100),"")</f>
        <v/>
      </c>
      <c r="O100" t="str">
        <f t="shared" si="4"/>
        <v/>
      </c>
      <c r="P100" s="8" t="str">
        <f>INDEX(Lookup!$H$5:$H$11,MATCH(D100,Lookup!$G$5:$G$11,0))&amp;
K100&amp;L100&amp;M100&amp;N100&amp;
INDEX(Lookup!$I$5:$I$11,MATCH(D100,Lookup!$G$5:$G$11,0))</f>
        <v xml:space="preserve">  name: "Bedroom Lights"</v>
      </c>
    </row>
    <row r="101" spans="2:16" x14ac:dyDescent="0.45">
      <c r="B101">
        <f t="shared" si="3"/>
        <v>99</v>
      </c>
      <c r="C101">
        <f t="shared" si="5"/>
        <v>5</v>
      </c>
      <c r="D101" t="str">
        <f>VLOOKUP(C101,Lookup!$F$5:$G$11,2,FALSE)</f>
        <v>entities header</v>
      </c>
      <c r="E101">
        <f>IF(D101=Lookup!$G$5,E100+1,E100)</f>
        <v>14</v>
      </c>
      <c r="F101" s="3">
        <f>INDEX(cards[Entities count],MATCH('card-code'!E101,cards[object_id order],0))</f>
        <v>2</v>
      </c>
      <c r="G101" t="str">
        <f>IF(D100=Lookup!$G$9,1,IF(D100=Lookup!$G$10,G100+1,""))</f>
        <v/>
      </c>
      <c r="H101">
        <f>IF(F101=1,  IF(D101=Lookup!$G$9,2,1),  IF(G101&lt;F101-1,0,1)  )</f>
        <v>1</v>
      </c>
      <c r="I101">
        <f>IF(D101&lt;&gt;Lookup!$G$7,0,IF(INDEX(cards[name],MATCH(E101,cards[object_id order],0))&lt;&gt;"",0,1))</f>
        <v>0</v>
      </c>
      <c r="J101">
        <f>IF(D101&lt;&gt;Lookup!$G$7,0,IF(INDEX(cards[icon],MATCH(E101,cards[object_id order],0))&lt;&gt;"",0,1))</f>
        <v>0</v>
      </c>
      <c r="K101" t="str">
        <f>IF(D101=Lookup!$G$6,INDEX(cards[object_id],MATCH('card-code'!E101,cards[object_id order],0)),"")</f>
        <v/>
      </c>
      <c r="L101" t="str">
        <f>IF(D101=Lookup!$G$7,INDEX(cards[name],MATCH('card-code'!E101,cards[object_id order],0)),"")</f>
        <v/>
      </c>
      <c r="M101" t="str">
        <f>IF($D101=Lookup!$L$9,INDEX(cards[icon],MATCH($E101,cards[object_id order],0)),"")</f>
        <v/>
      </c>
      <c r="N101" t="str">
        <f>IF(OR(D101=Lookup!$G$10,D101=Lookup!$G$11),INDEX(cards[[1]:[25]],MATCH($E101,cards[object_id order],0),'card-code'!G101),"")</f>
        <v/>
      </c>
      <c r="O101" t="str">
        <f t="shared" si="4"/>
        <v/>
      </c>
      <c r="P101" s="8" t="str">
        <f>INDEX(Lookup!$H$5:$H$11,MATCH(D101,Lookup!$G$5:$G$11,0))&amp;
K101&amp;L101&amp;M101&amp;N101&amp;
INDEX(Lookup!$I$5:$I$11,MATCH(D101,Lookup!$G$5:$G$11,0))</f>
        <v xml:space="preserve">  entities:</v>
      </c>
    </row>
    <row r="102" spans="2:16" x14ac:dyDescent="0.45">
      <c r="B102">
        <f t="shared" si="3"/>
        <v>100</v>
      </c>
      <c r="C102">
        <f t="shared" si="5"/>
        <v>6</v>
      </c>
      <c r="D102" t="str">
        <f>VLOOKUP(C102,Lookup!$F$5:$G$11,2,FALSE)</f>
        <v>entities</v>
      </c>
      <c r="E102">
        <f>IF(D102=Lookup!$G$5,E101+1,E101)</f>
        <v>14</v>
      </c>
      <c r="F102" s="3">
        <f>INDEX(cards[Entities count],MATCH('card-code'!E102,cards[object_id order],0))</f>
        <v>2</v>
      </c>
      <c r="G102">
        <f>IF(D101=Lookup!$G$9,1,IF(D101=Lookup!$G$10,G101+1,""))</f>
        <v>1</v>
      </c>
      <c r="H102">
        <f>IF(F102=1,  IF(D102=Lookup!$G$9,2,1),  IF(G102&lt;F102-1,0,1)  )</f>
        <v>1</v>
      </c>
      <c r="I102">
        <f>IF(D102&lt;&gt;Lookup!$G$7,0,IF(INDEX(cards[name],MATCH(E102,cards[object_id order],0))&lt;&gt;"",0,1))</f>
        <v>0</v>
      </c>
      <c r="J102">
        <f>IF(D102&lt;&gt;Lookup!$G$7,0,IF(INDEX(cards[icon],MATCH(E102,cards[object_id order],0))&lt;&gt;"",0,1))</f>
        <v>0</v>
      </c>
      <c r="K102" t="str">
        <f>IF(D102=Lookup!$G$6,INDEX(cards[object_id],MATCH('card-code'!E102,cards[object_id order],0)),"")</f>
        <v/>
      </c>
      <c r="L102" t="str">
        <f>IF(D102=Lookup!$G$7,INDEX(cards[name],MATCH('card-code'!E102,cards[object_id order],0)),"")</f>
        <v/>
      </c>
      <c r="M102" t="str">
        <f>IF($D102=Lookup!$L$9,INDEX(cards[icon],MATCH($E102,cards[object_id order],0)),"")</f>
        <v/>
      </c>
      <c r="N102" t="str">
        <f>IF(OR(D102=Lookup!$G$10,D102=Lookup!$G$11),INDEX(cards[[1]:[25]],MATCH($E102,cards[object_id order],0),'card-code'!G102),"")</f>
        <v>light.lux_lamp</v>
      </c>
      <c r="O102" t="str">
        <f t="shared" si="4"/>
        <v/>
      </c>
      <c r="P102" s="8" t="str">
        <f>INDEX(Lookup!$H$5:$H$11,MATCH(D102,Lookup!$G$5:$G$11,0))&amp;
K102&amp;L102&amp;M102&amp;N102&amp;
INDEX(Lookup!$I$5:$I$11,MATCH(D102,Lookup!$G$5:$G$11,0))</f>
        <v xml:space="preserve">    - light.lux_lamp</v>
      </c>
    </row>
    <row r="103" spans="2:16" x14ac:dyDescent="0.45">
      <c r="B103">
        <f t="shared" si="3"/>
        <v>101</v>
      </c>
      <c r="C103">
        <f t="shared" si="5"/>
        <v>7</v>
      </c>
      <c r="D103" t="str">
        <f>VLOOKUP(C103,Lookup!$F$5:$G$11,2,FALSE)</f>
        <v>entities end</v>
      </c>
      <c r="E103">
        <f>IF(D103=Lookup!$G$5,E102+1,E102)</f>
        <v>14</v>
      </c>
      <c r="F103" s="3">
        <f>INDEX(cards[Entities count],MATCH('card-code'!E103,cards[object_id order],0))</f>
        <v>2</v>
      </c>
      <c r="G103">
        <f>IF(D102=Lookup!$G$9,1,IF(D102=Lookup!$G$10,G102+1,""))</f>
        <v>2</v>
      </c>
      <c r="H103">
        <f>IF(F103=1,  IF(D103=Lookup!$G$9,2,1),  IF(G103&lt;F103-1,0,1)  )</f>
        <v>1</v>
      </c>
      <c r="I103">
        <f>IF(D103&lt;&gt;Lookup!$G$7,0,IF(INDEX(cards[name],MATCH(E103,cards[object_id order],0))&lt;&gt;"",0,1))</f>
        <v>0</v>
      </c>
      <c r="J103">
        <f>IF(D103&lt;&gt;Lookup!$G$7,0,IF(INDEX(cards[icon],MATCH(E103,cards[object_id order],0))&lt;&gt;"",0,1))</f>
        <v>0</v>
      </c>
      <c r="K103" t="str">
        <f>IF(D103=Lookup!$G$6,INDEX(cards[object_id],MATCH('card-code'!E103,cards[object_id order],0)),"")</f>
        <v/>
      </c>
      <c r="L103" t="str">
        <f>IF(D103=Lookup!$G$7,INDEX(cards[name],MATCH('card-code'!E103,cards[object_id order],0)),"")</f>
        <v/>
      </c>
      <c r="M103" t="str">
        <f>IF($D103=Lookup!$L$9,INDEX(cards[icon],MATCH($E103,cards[object_id order],0)),"")</f>
        <v/>
      </c>
      <c r="N103" t="str">
        <f>IF(OR(D103=Lookup!$G$10,D103=Lookup!$G$11),INDEX(cards[[1]:[25]],MATCH($E103,cards[object_id order],0),'card-code'!G103),"")</f>
        <v>light.lux_lamp_1</v>
      </c>
      <c r="O103" t="str">
        <f t="shared" si="4"/>
        <v/>
      </c>
      <c r="P103" s="8" t="str">
        <f>INDEX(Lookup!$H$5:$H$11,MATCH(D103,Lookup!$G$5:$G$11,0))&amp;
K103&amp;L103&amp;M103&amp;N103&amp;
INDEX(Lookup!$I$5:$I$11,MATCH(D103,Lookup!$G$5:$G$11,0))</f>
        <v xml:space="preserve">    - light.lux_lamp_1</v>
      </c>
    </row>
    <row r="104" spans="2:16" x14ac:dyDescent="0.45">
      <c r="B104">
        <f t="shared" si="3"/>
        <v>102</v>
      </c>
      <c r="C104">
        <f t="shared" si="5"/>
        <v>1</v>
      </c>
      <c r="D104" t="str">
        <f>VLOOKUP(C104,Lookup!$F$5:$G$11,2,FALSE)</f>
        <v>blank</v>
      </c>
      <c r="E104">
        <f>IF(D104=Lookup!$G$5,E103+1,E103)</f>
        <v>15</v>
      </c>
      <c r="F104" s="3">
        <f>INDEX(cards[Entities count],MATCH('card-code'!E104,cards[object_id order],0))</f>
        <v>4</v>
      </c>
      <c r="G104" t="str">
        <f>IF(D103=Lookup!$G$9,1,IF(D103=Lookup!$G$10,G103+1,""))</f>
        <v/>
      </c>
      <c r="H104">
        <f>IF(F104=1,  IF(D104=Lookup!$G$9,2,1),  IF(G104&lt;F104-1,0,1)  )</f>
        <v>1</v>
      </c>
      <c r="I104">
        <f>IF(D104&lt;&gt;Lookup!$G$7,0,IF(INDEX(cards[name],MATCH(E104,cards[object_id order],0))&lt;&gt;"",0,1))</f>
        <v>0</v>
      </c>
      <c r="J104">
        <f>IF(D104&lt;&gt;Lookup!$G$7,0,IF(INDEX(cards[icon],MATCH(E104,cards[object_id order],0))&lt;&gt;"",0,1))</f>
        <v>0</v>
      </c>
      <c r="K104" t="str">
        <f>IF(D104=Lookup!$G$6,INDEX(cards[object_id],MATCH('card-code'!E104,cards[object_id order],0)),"")</f>
        <v/>
      </c>
      <c r="L104" t="str">
        <f>IF(D104=Lookup!$G$7,INDEX(cards[name],MATCH('card-code'!E104,cards[object_id order],0)),"")</f>
        <v/>
      </c>
      <c r="M104" t="str">
        <f>IF($D104=Lookup!$L$9,INDEX(cards[icon],MATCH($E104,cards[object_id order],0)),"")</f>
        <v/>
      </c>
      <c r="N104" t="str">
        <f>IF(OR(D104=Lookup!$G$10,D104=Lookup!$G$11),INDEX(cards[[1]:[25]],MATCH($E104,cards[object_id order],0),'card-code'!G104),"")</f>
        <v/>
      </c>
      <c r="O104" t="str">
        <f t="shared" si="4"/>
        <v/>
      </c>
      <c r="P104" s="8" t="str">
        <f>INDEX(Lookup!$H$5:$H$11,MATCH(D104,Lookup!$G$5:$G$11,0))&amp;
K104&amp;L104&amp;M104&amp;N104&amp;
INDEX(Lookup!$I$5:$I$11,MATCH(D104,Lookup!$G$5:$G$11,0))</f>
        <v/>
      </c>
    </row>
    <row r="105" spans="2:16" x14ac:dyDescent="0.45">
      <c r="B105">
        <f t="shared" si="3"/>
        <v>103</v>
      </c>
      <c r="C105">
        <f t="shared" si="5"/>
        <v>2</v>
      </c>
      <c r="D105" t="str">
        <f>VLOOKUP(C105,Lookup!$F$5:$G$11,2,FALSE)</f>
        <v>card</v>
      </c>
      <c r="E105">
        <f>IF(D105=Lookup!$G$5,E104+1,E104)</f>
        <v>15</v>
      </c>
      <c r="F105" s="3">
        <f>INDEX(cards[Entities count],MATCH('card-code'!E105,cards[object_id order],0))</f>
        <v>4</v>
      </c>
      <c r="G105" t="str">
        <f>IF(D104=Lookup!$G$9,1,IF(D104=Lookup!$G$10,G104+1,""))</f>
        <v/>
      </c>
      <c r="H105">
        <f>IF(F105=1,  IF(D105=Lookup!$G$9,2,1),  IF(G105&lt;F105-1,0,1)  )</f>
        <v>1</v>
      </c>
      <c r="I105">
        <f>IF(D105&lt;&gt;Lookup!$G$7,0,IF(INDEX(cards[name],MATCH(E105,cards[object_id order],0))&lt;&gt;"",0,1))</f>
        <v>0</v>
      </c>
      <c r="J105">
        <f>IF(D105&lt;&gt;Lookup!$G$7,0,IF(INDEX(cards[icon],MATCH(E105,cards[object_id order],0))&lt;&gt;"",0,1))</f>
        <v>0</v>
      </c>
      <c r="K105" t="str">
        <f>IF(D105=Lookup!$G$6,INDEX(cards[object_id],MATCH('card-code'!E105,cards[object_id order],0)),"")</f>
        <v>alarm_clock</v>
      </c>
      <c r="L105" t="str">
        <f>IF(D105=Lookup!$G$7,INDEX(cards[name],MATCH('card-code'!E105,cards[object_id order],0)),"")</f>
        <v/>
      </c>
      <c r="M105" t="str">
        <f>IF($D105=Lookup!$L$9,INDEX(cards[icon],MATCH($E105,cards[object_id order],0)),"")</f>
        <v/>
      </c>
      <c r="N105" t="str">
        <f>IF(OR(D105=Lookup!$G$10,D105=Lookup!$G$11),INDEX(cards[[1]:[25]],MATCH($E105,cards[object_id order],0),'card-code'!G105),"")</f>
        <v/>
      </c>
      <c r="O105" t="str">
        <f t="shared" si="4"/>
        <v/>
      </c>
      <c r="P105" s="8" t="str">
        <f>INDEX(Lookup!$H$5:$H$11,MATCH(D105,Lookup!$G$5:$G$11,0))&amp;
K105&amp;L105&amp;M105&amp;N105&amp;
INDEX(Lookup!$I$5:$I$11,MATCH(D105,Lookup!$G$5:$G$11,0))</f>
        <v>alarm_clock:</v>
      </c>
    </row>
    <row r="106" spans="2:16" x14ac:dyDescent="0.45">
      <c r="B106">
        <f t="shared" si="3"/>
        <v>104</v>
      </c>
      <c r="C106">
        <f t="shared" si="5"/>
        <v>3</v>
      </c>
      <c r="D106" t="str">
        <f>VLOOKUP(C106,Lookup!$F$5:$G$11,2,FALSE)</f>
        <v>name</v>
      </c>
      <c r="E106">
        <f>IF(D106=Lookup!$G$5,E105+1,E105)</f>
        <v>15</v>
      </c>
      <c r="F106" s="3">
        <f>INDEX(cards[Entities count],MATCH('card-code'!E106,cards[object_id order],0))</f>
        <v>4</v>
      </c>
      <c r="G106" t="str">
        <f>IF(D105=Lookup!$G$9,1,IF(D105=Lookup!$G$10,G105+1,""))</f>
        <v/>
      </c>
      <c r="H106">
        <f>IF(F106=1,  IF(D106=Lookup!$G$9,2,1),  IF(G106&lt;F106-1,0,1)  )</f>
        <v>1</v>
      </c>
      <c r="I106">
        <f>IF(D106&lt;&gt;Lookup!$G$7,0,IF(INDEX(cards[name],MATCH(E106,cards[object_id order],0))&lt;&gt;"",0,1))</f>
        <v>0</v>
      </c>
      <c r="J106">
        <f>IF(D106&lt;&gt;Lookup!$G$7,0,IF(INDEX(cards[icon],MATCH(E106,cards[object_id order],0))&lt;&gt;"",0,1))</f>
        <v>1</v>
      </c>
      <c r="K106" t="str">
        <f>IF(D106=Lookup!$G$6,INDEX(cards[object_id],MATCH('card-code'!E106,cards[object_id order],0)),"")</f>
        <v/>
      </c>
      <c r="L106" t="str">
        <f>IF(D106=Lookup!$G$7,INDEX(cards[name],MATCH('card-code'!E106,cards[object_id order],0)),"")</f>
        <v>Alarm Clock</v>
      </c>
      <c r="M106" t="str">
        <f>IF($D106=Lookup!$L$9,INDEX(cards[icon],MATCH($E106,cards[object_id order],0)),"")</f>
        <v/>
      </c>
      <c r="N106" t="str">
        <f>IF(OR(D106=Lookup!$G$10,D106=Lookup!$G$11),INDEX(cards[[1]:[25]],MATCH($E106,cards[object_id order],0),'card-code'!G106),"")</f>
        <v/>
      </c>
      <c r="O106" t="str">
        <f t="shared" si="4"/>
        <v/>
      </c>
      <c r="P106" s="8" t="str">
        <f>INDEX(Lookup!$H$5:$H$11,MATCH(D106,Lookup!$G$5:$G$11,0))&amp;
K106&amp;L106&amp;M106&amp;N106&amp;
INDEX(Lookup!$I$5:$I$11,MATCH(D106,Lookup!$G$5:$G$11,0))</f>
        <v xml:space="preserve">  name: "Alarm Clock"</v>
      </c>
    </row>
    <row r="107" spans="2:16" x14ac:dyDescent="0.45">
      <c r="B107">
        <f t="shared" si="3"/>
        <v>105</v>
      </c>
      <c r="C107">
        <f t="shared" si="5"/>
        <v>5</v>
      </c>
      <c r="D107" t="str">
        <f>VLOOKUP(C107,Lookup!$F$5:$G$11,2,FALSE)</f>
        <v>entities header</v>
      </c>
      <c r="E107">
        <f>IF(D107=Lookup!$G$5,E106+1,E106)</f>
        <v>15</v>
      </c>
      <c r="F107" s="3">
        <f>INDEX(cards[Entities count],MATCH('card-code'!E107,cards[object_id order],0))</f>
        <v>4</v>
      </c>
      <c r="G107" t="str">
        <f>IF(D106=Lookup!$G$9,1,IF(D106=Lookup!$G$10,G106+1,""))</f>
        <v/>
      </c>
      <c r="H107">
        <f>IF(F107=1,  IF(D107=Lookup!$G$9,2,1),  IF(G107&lt;F107-1,0,1)  )</f>
        <v>1</v>
      </c>
      <c r="I107">
        <f>IF(D107&lt;&gt;Lookup!$G$7,0,IF(INDEX(cards[name],MATCH(E107,cards[object_id order],0))&lt;&gt;"",0,1))</f>
        <v>0</v>
      </c>
      <c r="J107">
        <f>IF(D107&lt;&gt;Lookup!$G$7,0,IF(INDEX(cards[icon],MATCH(E107,cards[object_id order],0))&lt;&gt;"",0,1))</f>
        <v>0</v>
      </c>
      <c r="K107" t="str">
        <f>IF(D107=Lookup!$G$6,INDEX(cards[object_id],MATCH('card-code'!E107,cards[object_id order],0)),"")</f>
        <v/>
      </c>
      <c r="L107" t="str">
        <f>IF(D107=Lookup!$G$7,INDEX(cards[name],MATCH('card-code'!E107,cards[object_id order],0)),"")</f>
        <v/>
      </c>
      <c r="M107" t="str">
        <f>IF($D107=Lookup!$L$9,INDEX(cards[icon],MATCH($E107,cards[object_id order],0)),"")</f>
        <v/>
      </c>
      <c r="N107" t="str">
        <f>IF(OR(D107=Lookup!$G$10,D107=Lookup!$G$11),INDEX(cards[[1]:[25]],MATCH($E107,cards[object_id order],0),'card-code'!G107),"")</f>
        <v/>
      </c>
      <c r="O107" t="str">
        <f t="shared" si="4"/>
        <v/>
      </c>
      <c r="P107" s="8" t="str">
        <f>INDEX(Lookup!$H$5:$H$11,MATCH(D107,Lookup!$G$5:$G$11,0))&amp;
K107&amp;L107&amp;M107&amp;N107&amp;
INDEX(Lookup!$I$5:$I$11,MATCH(D107,Lookup!$G$5:$G$11,0))</f>
        <v xml:space="preserve">  entities:</v>
      </c>
    </row>
    <row r="108" spans="2:16" x14ac:dyDescent="0.45">
      <c r="B108">
        <f t="shared" si="3"/>
        <v>106</v>
      </c>
      <c r="C108">
        <f t="shared" si="5"/>
        <v>6</v>
      </c>
      <c r="D108" t="str">
        <f>VLOOKUP(C108,Lookup!$F$5:$G$11,2,FALSE)</f>
        <v>entities</v>
      </c>
      <c r="E108">
        <f>IF(D108=Lookup!$G$5,E107+1,E107)</f>
        <v>15</v>
      </c>
      <c r="F108" s="3">
        <f>INDEX(cards[Entities count],MATCH('card-code'!E108,cards[object_id order],0))</f>
        <v>4</v>
      </c>
      <c r="G108">
        <f>IF(D107=Lookup!$G$9,1,IF(D107=Lookup!$G$10,G107+1,""))</f>
        <v>1</v>
      </c>
      <c r="H108">
        <f>IF(F108=1,  IF(D108=Lookup!$G$9,2,1),  IF(G108&lt;F108-1,0,1)  )</f>
        <v>0</v>
      </c>
      <c r="I108">
        <f>IF(D108&lt;&gt;Lookup!$G$7,0,IF(INDEX(cards[name],MATCH(E108,cards[object_id order],0))&lt;&gt;"",0,1))</f>
        <v>0</v>
      </c>
      <c r="J108">
        <f>IF(D108&lt;&gt;Lookup!$G$7,0,IF(INDEX(cards[icon],MATCH(E108,cards[object_id order],0))&lt;&gt;"",0,1))</f>
        <v>0</v>
      </c>
      <c r="K108" t="str">
        <f>IF(D108=Lookup!$G$6,INDEX(cards[object_id],MATCH('card-code'!E108,cards[object_id order],0)),"")</f>
        <v/>
      </c>
      <c r="L108" t="str">
        <f>IF(D108=Lookup!$G$7,INDEX(cards[name],MATCH('card-code'!E108,cards[object_id order],0)),"")</f>
        <v/>
      </c>
      <c r="M108" t="str">
        <f>IF($D108=Lookup!$L$9,INDEX(cards[icon],MATCH($E108,cards[object_id order],0)),"")</f>
        <v/>
      </c>
      <c r="N108" t="str">
        <f>IF(OR(D108=Lookup!$G$10,D108=Lookup!$G$11),INDEX(cards[[1]:[25]],MATCH($E108,cards[object_id order],0),'card-code'!G108),"")</f>
        <v>sensor.alarm_clock_time</v>
      </c>
      <c r="O108" t="str">
        <f t="shared" si="4"/>
        <v/>
      </c>
      <c r="P108" s="8" t="str">
        <f>INDEX(Lookup!$H$5:$H$11,MATCH(D108,Lookup!$G$5:$G$11,0))&amp;
K108&amp;L108&amp;M108&amp;N108&amp;
INDEX(Lookup!$I$5:$I$11,MATCH(D108,Lookup!$G$5:$G$11,0))</f>
        <v xml:space="preserve">    - sensor.alarm_clock_time</v>
      </c>
    </row>
    <row r="109" spans="2:16" x14ac:dyDescent="0.45">
      <c r="B109">
        <f t="shared" si="3"/>
        <v>107</v>
      </c>
      <c r="C109">
        <f t="shared" si="5"/>
        <v>6</v>
      </c>
      <c r="D109" t="str">
        <f>VLOOKUP(C109,Lookup!$F$5:$G$11,2,FALSE)</f>
        <v>entities</v>
      </c>
      <c r="E109">
        <f>IF(D109=Lookup!$G$5,E108+1,E108)</f>
        <v>15</v>
      </c>
      <c r="F109" s="3">
        <f>INDEX(cards[Entities count],MATCH('card-code'!E109,cards[object_id order],0))</f>
        <v>4</v>
      </c>
      <c r="G109">
        <f>IF(D108=Lookup!$G$9,1,IF(D108=Lookup!$G$10,G108+1,""))</f>
        <v>2</v>
      </c>
      <c r="H109">
        <f>IF(F109=1,  IF(D109=Lookup!$G$9,2,1),  IF(G109&lt;F109-1,0,1)  )</f>
        <v>0</v>
      </c>
      <c r="I109">
        <f>IF(D109&lt;&gt;Lookup!$G$7,0,IF(INDEX(cards[name],MATCH(E109,cards[object_id order],0))&lt;&gt;"",0,1))</f>
        <v>0</v>
      </c>
      <c r="J109">
        <f>IF(D109&lt;&gt;Lookup!$G$7,0,IF(INDEX(cards[icon],MATCH(E109,cards[object_id order],0))&lt;&gt;"",0,1))</f>
        <v>0</v>
      </c>
      <c r="K109" t="str">
        <f>IF(D109=Lookup!$G$6,INDEX(cards[object_id],MATCH('card-code'!E109,cards[object_id order],0)),"")</f>
        <v/>
      </c>
      <c r="L109" t="str">
        <f>IF(D109=Lookup!$G$7,INDEX(cards[name],MATCH('card-code'!E109,cards[object_id order],0)),"")</f>
        <v/>
      </c>
      <c r="M109" t="str">
        <f>IF($D109=Lookup!$L$9,INDEX(cards[icon],MATCH($E109,cards[object_id order],0)),"")</f>
        <v/>
      </c>
      <c r="N109" t="str">
        <f>IF(OR(D109=Lookup!$G$10,D109=Lookup!$G$11),INDEX(cards[[1]:[25]],MATCH($E109,cards[object_id order],0),'card-code'!G109),"")</f>
        <v>input_slider.alarm_clock_hour</v>
      </c>
      <c r="O109" t="str">
        <f t="shared" si="4"/>
        <v/>
      </c>
      <c r="P109" s="8" t="str">
        <f>INDEX(Lookup!$H$5:$H$11,MATCH(D109,Lookup!$G$5:$G$11,0))&amp;
K109&amp;L109&amp;M109&amp;N109&amp;
INDEX(Lookup!$I$5:$I$11,MATCH(D109,Lookup!$G$5:$G$11,0))</f>
        <v xml:space="preserve">    - input_slider.alarm_clock_hour</v>
      </c>
    </row>
    <row r="110" spans="2:16" x14ac:dyDescent="0.45">
      <c r="B110">
        <f t="shared" si="3"/>
        <v>108</v>
      </c>
      <c r="C110">
        <f t="shared" si="5"/>
        <v>6</v>
      </c>
      <c r="D110" t="str">
        <f>VLOOKUP(C110,Lookup!$F$5:$G$11,2,FALSE)</f>
        <v>entities</v>
      </c>
      <c r="E110">
        <f>IF(D110=Lookup!$G$5,E109+1,E109)</f>
        <v>15</v>
      </c>
      <c r="F110" s="3">
        <f>INDEX(cards[Entities count],MATCH('card-code'!E110,cards[object_id order],0))</f>
        <v>4</v>
      </c>
      <c r="G110">
        <f>IF(D109=Lookup!$G$9,1,IF(D109=Lookup!$G$10,G109+1,""))</f>
        <v>3</v>
      </c>
      <c r="H110">
        <f>IF(F110=1,  IF(D110=Lookup!$G$9,2,1),  IF(G110&lt;F110-1,0,1)  )</f>
        <v>1</v>
      </c>
      <c r="I110">
        <f>IF(D110&lt;&gt;Lookup!$G$7,0,IF(INDEX(cards[name],MATCH(E110,cards[object_id order],0))&lt;&gt;"",0,1))</f>
        <v>0</v>
      </c>
      <c r="J110">
        <f>IF(D110&lt;&gt;Lookup!$G$7,0,IF(INDEX(cards[icon],MATCH(E110,cards[object_id order],0))&lt;&gt;"",0,1))</f>
        <v>0</v>
      </c>
      <c r="K110" t="str">
        <f>IF(D110=Lookup!$G$6,INDEX(cards[object_id],MATCH('card-code'!E110,cards[object_id order],0)),"")</f>
        <v/>
      </c>
      <c r="L110" t="str">
        <f>IF(D110=Lookup!$G$7,INDEX(cards[name],MATCH('card-code'!E110,cards[object_id order],0)),"")</f>
        <v/>
      </c>
      <c r="M110" t="str">
        <f>IF($D110=Lookup!$L$9,INDEX(cards[icon],MATCH($E110,cards[object_id order],0)),"")</f>
        <v/>
      </c>
      <c r="N110" t="str">
        <f>IF(OR(D110=Lookup!$G$10,D110=Lookup!$G$11),INDEX(cards[[1]:[25]],MATCH($E110,cards[object_id order],0),'card-code'!G110),"")</f>
        <v>input_slider.alarm_clock_minute</v>
      </c>
      <c r="O110" t="str">
        <f t="shared" si="4"/>
        <v/>
      </c>
      <c r="P110" s="8" t="str">
        <f>INDEX(Lookup!$H$5:$H$11,MATCH(D110,Lookup!$G$5:$G$11,0))&amp;
K110&amp;L110&amp;M110&amp;N110&amp;
INDEX(Lookup!$I$5:$I$11,MATCH(D110,Lookup!$G$5:$G$11,0))</f>
        <v xml:space="preserve">    - input_slider.alarm_clock_minute</v>
      </c>
    </row>
    <row r="111" spans="2:16" x14ac:dyDescent="0.45">
      <c r="B111">
        <f t="shared" si="3"/>
        <v>109</v>
      </c>
      <c r="C111">
        <f t="shared" si="5"/>
        <v>7</v>
      </c>
      <c r="D111" t="str">
        <f>VLOOKUP(C111,Lookup!$F$5:$G$11,2,FALSE)</f>
        <v>entities end</v>
      </c>
      <c r="E111">
        <f>IF(D111=Lookup!$G$5,E110+1,E110)</f>
        <v>15</v>
      </c>
      <c r="F111" s="3">
        <f>INDEX(cards[Entities count],MATCH('card-code'!E111,cards[object_id order],0))</f>
        <v>4</v>
      </c>
      <c r="G111">
        <f>IF(D110=Lookup!$G$9,1,IF(D110=Lookup!$G$10,G110+1,""))</f>
        <v>4</v>
      </c>
      <c r="H111">
        <f>IF(F111=1,  IF(D111=Lookup!$G$9,2,1),  IF(G111&lt;F111-1,0,1)  )</f>
        <v>1</v>
      </c>
      <c r="I111">
        <f>IF(D111&lt;&gt;Lookup!$G$7,0,IF(INDEX(cards[name],MATCH(E111,cards[object_id order],0))&lt;&gt;"",0,1))</f>
        <v>0</v>
      </c>
      <c r="J111">
        <f>IF(D111&lt;&gt;Lookup!$G$7,0,IF(INDEX(cards[icon],MATCH(E111,cards[object_id order],0))&lt;&gt;"",0,1))</f>
        <v>0</v>
      </c>
      <c r="K111" t="str">
        <f>IF(D111=Lookup!$G$6,INDEX(cards[object_id],MATCH('card-code'!E111,cards[object_id order],0)),"")</f>
        <v/>
      </c>
      <c r="L111" t="str">
        <f>IF(D111=Lookup!$G$7,INDEX(cards[name],MATCH('card-code'!E111,cards[object_id order],0)),"")</f>
        <v/>
      </c>
      <c r="M111" t="str">
        <f>IF($D111=Lookup!$L$9,INDEX(cards[icon],MATCH($E111,cards[object_id order],0)),"")</f>
        <v/>
      </c>
      <c r="N111" t="str">
        <f>IF(OR(D111=Lookup!$G$10,D111=Lookup!$G$11),INDEX(cards[[1]:[25]],MATCH($E111,cards[object_id order],0),'card-code'!G111),"")</f>
        <v>input_boolean.alarm_clock_status</v>
      </c>
      <c r="O111" t="str">
        <f t="shared" si="4"/>
        <v/>
      </c>
      <c r="P111" s="8" t="str">
        <f>INDEX(Lookup!$H$5:$H$11,MATCH(D111,Lookup!$G$5:$G$11,0))&amp;
K111&amp;L111&amp;M111&amp;N111&amp;
INDEX(Lookup!$I$5:$I$11,MATCH(D111,Lookup!$G$5:$G$11,0))</f>
        <v xml:space="preserve">    - input_boolean.alarm_clock_status</v>
      </c>
    </row>
    <row r="112" spans="2:16" x14ac:dyDescent="0.45">
      <c r="B112">
        <f t="shared" si="3"/>
        <v>110</v>
      </c>
      <c r="C112">
        <f t="shared" si="5"/>
        <v>1</v>
      </c>
      <c r="D112" t="str">
        <f>VLOOKUP(C112,Lookup!$F$5:$G$11,2,FALSE)</f>
        <v>blank</v>
      </c>
      <c r="E112">
        <f>IF(D112=Lookup!$G$5,E111+1,E111)</f>
        <v>16</v>
      </c>
      <c r="F112" s="3">
        <f>INDEX(cards[Entities count],MATCH('card-code'!E112,cards[object_id order],0))</f>
        <v>5</v>
      </c>
      <c r="G112" t="str">
        <f>IF(D111=Lookup!$G$9,1,IF(D111=Lookup!$G$10,G111+1,""))</f>
        <v/>
      </c>
      <c r="H112">
        <f>IF(F112=1,  IF(D112=Lookup!$G$9,2,1),  IF(G112&lt;F112-1,0,1)  )</f>
        <v>1</v>
      </c>
      <c r="I112">
        <f>IF(D112&lt;&gt;Lookup!$G$7,0,IF(INDEX(cards[name],MATCH(E112,cards[object_id order],0))&lt;&gt;"",0,1))</f>
        <v>0</v>
      </c>
      <c r="J112">
        <f>IF(D112&lt;&gt;Lookup!$G$7,0,IF(INDEX(cards[icon],MATCH(E112,cards[object_id order],0))&lt;&gt;"",0,1))</f>
        <v>0</v>
      </c>
      <c r="K112" t="str">
        <f>IF(D112=Lookup!$G$6,INDEX(cards[object_id],MATCH('card-code'!E112,cards[object_id order],0)),"")</f>
        <v/>
      </c>
      <c r="L112" t="str">
        <f>IF(D112=Lookup!$G$7,INDEX(cards[name],MATCH('card-code'!E112,cards[object_id order],0)),"")</f>
        <v/>
      </c>
      <c r="M112" t="str">
        <f>IF($D112=Lookup!$L$9,INDEX(cards[icon],MATCH($E112,cards[object_id order],0)),"")</f>
        <v/>
      </c>
      <c r="N112" t="str">
        <f>IF(OR(D112=Lookup!$G$10,D112=Lookup!$G$11),INDEX(cards[[1]:[25]],MATCH($E112,cards[object_id order],0),'card-code'!G112),"")</f>
        <v/>
      </c>
      <c r="O112" t="str">
        <f t="shared" si="4"/>
        <v/>
      </c>
      <c r="P112" s="8" t="str">
        <f>INDEX(Lookup!$H$5:$H$11,MATCH(D112,Lookup!$G$5:$G$11,0))&amp;
K112&amp;L112&amp;M112&amp;N112&amp;
INDEX(Lookup!$I$5:$I$11,MATCH(D112,Lookup!$G$5:$G$11,0))</f>
        <v/>
      </c>
    </row>
    <row r="113" spans="2:16" x14ac:dyDescent="0.45">
      <c r="B113">
        <f t="shared" si="3"/>
        <v>111</v>
      </c>
      <c r="C113">
        <f t="shared" si="5"/>
        <v>2</v>
      </c>
      <c r="D113" t="str">
        <f>VLOOKUP(C113,Lookup!$F$5:$G$11,2,FALSE)</f>
        <v>card</v>
      </c>
      <c r="E113">
        <f>IF(D113=Lookup!$G$5,E112+1,E112)</f>
        <v>16</v>
      </c>
      <c r="F113" s="3">
        <f>INDEX(cards[Entities count],MATCH('card-code'!E113,cards[object_id order],0))</f>
        <v>5</v>
      </c>
      <c r="G113" t="str">
        <f>IF(D112=Lookup!$G$9,1,IF(D112=Lookup!$G$10,G112+1,""))</f>
        <v/>
      </c>
      <c r="H113">
        <f>IF(F113=1,  IF(D113=Lookup!$G$9,2,1),  IF(G113&lt;F113-1,0,1)  )</f>
        <v>1</v>
      </c>
      <c r="I113">
        <f>IF(D113&lt;&gt;Lookup!$G$7,0,IF(INDEX(cards[name],MATCH(E113,cards[object_id order],0))&lt;&gt;"",0,1))</f>
        <v>0</v>
      </c>
      <c r="J113">
        <f>IF(D113&lt;&gt;Lookup!$G$7,0,IF(INDEX(cards[icon],MATCH(E113,cards[object_id order],0))&lt;&gt;"",0,1))</f>
        <v>0</v>
      </c>
      <c r="K113" t="str">
        <f>IF(D113=Lookup!$G$6,INDEX(cards[object_id],MATCH('card-code'!E113,cards[object_id order],0)),"")</f>
        <v>environment</v>
      </c>
      <c r="L113" t="str">
        <f>IF(D113=Lookup!$G$7,INDEX(cards[name],MATCH('card-code'!E113,cards[object_id order],0)),"")</f>
        <v/>
      </c>
      <c r="M113" t="str">
        <f>IF($D113=Lookup!$L$9,INDEX(cards[icon],MATCH($E113,cards[object_id order],0)),"")</f>
        <v/>
      </c>
      <c r="N113" t="str">
        <f>IF(OR(D113=Lookup!$G$10,D113=Lookup!$G$11),INDEX(cards[[1]:[25]],MATCH($E113,cards[object_id order],0),'card-code'!G113),"")</f>
        <v/>
      </c>
      <c r="O113" t="str">
        <f t="shared" si="4"/>
        <v/>
      </c>
      <c r="P113" s="8" t="str">
        <f>INDEX(Lookup!$H$5:$H$11,MATCH(D113,Lookup!$G$5:$G$11,0))&amp;
K113&amp;L113&amp;M113&amp;N113&amp;
INDEX(Lookup!$I$5:$I$11,MATCH(D113,Lookup!$G$5:$G$11,0))</f>
        <v>environment:</v>
      </c>
    </row>
    <row r="114" spans="2:16" x14ac:dyDescent="0.45">
      <c r="B114">
        <f t="shared" si="3"/>
        <v>112</v>
      </c>
      <c r="C114">
        <f t="shared" si="5"/>
        <v>3</v>
      </c>
      <c r="D114" t="str">
        <f>VLOOKUP(C114,Lookup!$F$5:$G$11,2,FALSE)</f>
        <v>name</v>
      </c>
      <c r="E114">
        <f>IF(D114=Lookup!$G$5,E113+1,E113)</f>
        <v>16</v>
      </c>
      <c r="F114" s="3">
        <f>INDEX(cards[Entities count],MATCH('card-code'!E114,cards[object_id order],0))</f>
        <v>5</v>
      </c>
      <c r="G114" t="str">
        <f>IF(D113=Lookup!$G$9,1,IF(D113=Lookup!$G$10,G113+1,""))</f>
        <v/>
      </c>
      <c r="H114">
        <f>IF(F114=1,  IF(D114=Lookup!$G$9,2,1),  IF(G114&lt;F114-1,0,1)  )</f>
        <v>1</v>
      </c>
      <c r="I114">
        <f>IF(D114&lt;&gt;Lookup!$G$7,0,IF(INDEX(cards[name],MATCH(E114,cards[object_id order],0))&lt;&gt;"",0,1))</f>
        <v>0</v>
      </c>
      <c r="J114">
        <f>IF(D114&lt;&gt;Lookup!$G$7,0,IF(INDEX(cards[icon],MATCH(E114,cards[object_id order],0))&lt;&gt;"",0,1))</f>
        <v>1</v>
      </c>
      <c r="K114" t="str">
        <f>IF(D114=Lookup!$G$6,INDEX(cards[object_id],MATCH('card-code'!E114,cards[object_id order],0)),"")</f>
        <v/>
      </c>
      <c r="L114" t="str">
        <f>IF(D114=Lookup!$G$7,INDEX(cards[name],MATCH('card-code'!E114,cards[object_id order],0)),"")</f>
        <v>Environment || Forecast</v>
      </c>
      <c r="M114" t="str">
        <f>IF($D114=Lookup!$L$9,INDEX(cards[icon],MATCH($E114,cards[object_id order],0)),"")</f>
        <v/>
      </c>
      <c r="N114" t="str">
        <f>IF(OR(D114=Lookup!$G$10,D114=Lookup!$G$11),INDEX(cards[[1]:[25]],MATCH($E114,cards[object_id order],0),'card-code'!G114),"")</f>
        <v/>
      </c>
      <c r="O114" t="str">
        <f t="shared" si="4"/>
        <v/>
      </c>
      <c r="P114" s="8" t="str">
        <f>INDEX(Lookup!$H$5:$H$11,MATCH(D114,Lookup!$G$5:$G$11,0))&amp;
K114&amp;L114&amp;M114&amp;N114&amp;
INDEX(Lookup!$I$5:$I$11,MATCH(D114,Lookup!$G$5:$G$11,0))</f>
        <v xml:space="preserve">  name: "Environment || Forecast"</v>
      </c>
    </row>
    <row r="115" spans="2:16" x14ac:dyDescent="0.45">
      <c r="B115">
        <f t="shared" si="3"/>
        <v>113</v>
      </c>
      <c r="C115">
        <f t="shared" si="5"/>
        <v>5</v>
      </c>
      <c r="D115" t="str">
        <f>VLOOKUP(C115,Lookup!$F$5:$G$11,2,FALSE)</f>
        <v>entities header</v>
      </c>
      <c r="E115">
        <f>IF(D115=Lookup!$G$5,E114+1,E114)</f>
        <v>16</v>
      </c>
      <c r="F115" s="3">
        <f>INDEX(cards[Entities count],MATCH('card-code'!E115,cards[object_id order],0))</f>
        <v>5</v>
      </c>
      <c r="G115" t="str">
        <f>IF(D114=Lookup!$G$9,1,IF(D114=Lookup!$G$10,G114+1,""))</f>
        <v/>
      </c>
      <c r="H115">
        <f>IF(F115=1,  IF(D115=Lookup!$G$9,2,1),  IF(G115&lt;F115-1,0,1)  )</f>
        <v>1</v>
      </c>
      <c r="I115">
        <f>IF(D115&lt;&gt;Lookup!$G$7,0,IF(INDEX(cards[name],MATCH(E115,cards[object_id order],0))&lt;&gt;"",0,1))</f>
        <v>0</v>
      </c>
      <c r="J115">
        <f>IF(D115&lt;&gt;Lookup!$G$7,0,IF(INDEX(cards[icon],MATCH(E115,cards[object_id order],0))&lt;&gt;"",0,1))</f>
        <v>0</v>
      </c>
      <c r="K115" t="str">
        <f>IF(D115=Lookup!$G$6,INDEX(cards[object_id],MATCH('card-code'!E115,cards[object_id order],0)),"")</f>
        <v/>
      </c>
      <c r="L115" t="str">
        <f>IF(D115=Lookup!$G$7,INDEX(cards[name],MATCH('card-code'!E115,cards[object_id order],0)),"")</f>
        <v/>
      </c>
      <c r="M115" t="str">
        <f>IF($D115=Lookup!$L$9,INDEX(cards[icon],MATCH($E115,cards[object_id order],0)),"")</f>
        <v/>
      </c>
      <c r="N115" t="str">
        <f>IF(OR(D115=Lookup!$G$10,D115=Lookup!$G$11),INDEX(cards[[1]:[25]],MATCH($E115,cards[object_id order],0),'card-code'!G115),"")</f>
        <v/>
      </c>
      <c r="O115" t="str">
        <f t="shared" si="4"/>
        <v/>
      </c>
      <c r="P115" s="8" t="str">
        <f>INDEX(Lookup!$H$5:$H$11,MATCH(D115,Lookup!$G$5:$G$11,0))&amp;
K115&amp;L115&amp;M115&amp;N115&amp;
INDEX(Lookup!$I$5:$I$11,MATCH(D115,Lookup!$G$5:$G$11,0))</f>
        <v xml:space="preserve">  entities:</v>
      </c>
    </row>
    <row r="116" spans="2:16" x14ac:dyDescent="0.45">
      <c r="B116">
        <f t="shared" si="3"/>
        <v>114</v>
      </c>
      <c r="C116">
        <f t="shared" si="5"/>
        <v>6</v>
      </c>
      <c r="D116" t="str">
        <f>VLOOKUP(C116,Lookup!$F$5:$G$11,2,FALSE)</f>
        <v>entities</v>
      </c>
      <c r="E116">
        <f>IF(D116=Lookup!$G$5,E115+1,E115)</f>
        <v>16</v>
      </c>
      <c r="F116" s="3">
        <f>INDEX(cards[Entities count],MATCH('card-code'!E116,cards[object_id order],0))</f>
        <v>5</v>
      </c>
      <c r="G116">
        <f>IF(D115=Lookup!$G$9,1,IF(D115=Lookup!$G$10,G115+1,""))</f>
        <v>1</v>
      </c>
      <c r="H116">
        <f>IF(F116=1,  IF(D116=Lookup!$G$9,2,1),  IF(G116&lt;F116-1,0,1)  )</f>
        <v>0</v>
      </c>
      <c r="I116">
        <f>IF(D116&lt;&gt;Lookup!$G$7,0,IF(INDEX(cards[name],MATCH(E116,cards[object_id order],0))&lt;&gt;"",0,1))</f>
        <v>0</v>
      </c>
      <c r="J116">
        <f>IF(D116&lt;&gt;Lookup!$G$7,0,IF(INDEX(cards[icon],MATCH(E116,cards[object_id order],0))&lt;&gt;"",0,1))</f>
        <v>0</v>
      </c>
      <c r="K116" t="str">
        <f>IF(D116=Lookup!$G$6,INDEX(cards[object_id],MATCH('card-code'!E116,cards[object_id order],0)),"")</f>
        <v/>
      </c>
      <c r="L116" t="str">
        <f>IF(D116=Lookup!$G$7,INDEX(cards[name],MATCH('card-code'!E116,cards[object_id order],0)),"")</f>
        <v/>
      </c>
      <c r="M116" t="str">
        <f>IF($D116=Lookup!$L$9,INDEX(cards[icon],MATCH($E116,cards[object_id order],0)),"")</f>
        <v/>
      </c>
      <c r="N116" t="str">
        <f>IF(OR(D116=Lookup!$G$10,D116=Lookup!$G$11),INDEX(cards[[1]:[25]],MATCH($E116,cards[object_id order],0),'card-code'!G116),"")</f>
        <v>sensor.dark_sky_minutely_summary</v>
      </c>
      <c r="O116" t="str">
        <f t="shared" si="4"/>
        <v/>
      </c>
      <c r="P116" s="8" t="str">
        <f>INDEX(Lookup!$H$5:$H$11,MATCH(D116,Lookup!$G$5:$G$11,0))&amp;
K116&amp;L116&amp;M116&amp;N116&amp;
INDEX(Lookup!$I$5:$I$11,MATCH(D116,Lookup!$G$5:$G$11,0))</f>
        <v xml:space="preserve">    - sensor.dark_sky_minutely_summary</v>
      </c>
    </row>
    <row r="117" spans="2:16" x14ac:dyDescent="0.45">
      <c r="B117">
        <f t="shared" si="3"/>
        <v>115</v>
      </c>
      <c r="C117">
        <f t="shared" si="5"/>
        <v>6</v>
      </c>
      <c r="D117" t="str">
        <f>VLOOKUP(C117,Lookup!$F$5:$G$11,2,FALSE)</f>
        <v>entities</v>
      </c>
      <c r="E117">
        <f>IF(D117=Lookup!$G$5,E116+1,E116)</f>
        <v>16</v>
      </c>
      <c r="F117" s="3">
        <f>INDEX(cards[Entities count],MATCH('card-code'!E117,cards[object_id order],0))</f>
        <v>5</v>
      </c>
      <c r="G117">
        <f>IF(D116=Lookup!$G$9,1,IF(D116=Lookup!$G$10,G116+1,""))</f>
        <v>2</v>
      </c>
      <c r="H117">
        <f>IF(F117=1,  IF(D117=Lookup!$G$9,2,1),  IF(G117&lt;F117-1,0,1)  )</f>
        <v>0</v>
      </c>
      <c r="I117">
        <f>IF(D117&lt;&gt;Lookup!$G$7,0,IF(INDEX(cards[name],MATCH(E117,cards[object_id order],0))&lt;&gt;"",0,1))</f>
        <v>0</v>
      </c>
      <c r="J117">
        <f>IF(D117&lt;&gt;Lookup!$G$7,0,IF(INDEX(cards[icon],MATCH(E117,cards[object_id order],0))&lt;&gt;"",0,1))</f>
        <v>0</v>
      </c>
      <c r="K117" t="str">
        <f>IF(D117=Lookup!$G$6,INDEX(cards[object_id],MATCH('card-code'!E117,cards[object_id order],0)),"")</f>
        <v/>
      </c>
      <c r="L117" t="str">
        <f>IF(D117=Lookup!$G$7,INDEX(cards[name],MATCH('card-code'!E117,cards[object_id order],0)),"")</f>
        <v/>
      </c>
      <c r="M117" t="str">
        <f>IF($D117=Lookup!$L$9,INDEX(cards[icon],MATCH($E117,cards[object_id order],0)),"")</f>
        <v/>
      </c>
      <c r="N117" t="str">
        <f>IF(OR(D117=Lookup!$G$10,D117=Lookup!$G$11),INDEX(cards[[1]:[25]],MATCH($E117,cards[object_id order],0),'card-code'!G117),"")</f>
        <v>sensor.dark_sky_apparent_temperature</v>
      </c>
      <c r="O117" t="str">
        <f t="shared" si="4"/>
        <v/>
      </c>
      <c r="P117" s="8" t="str">
        <f>INDEX(Lookup!$H$5:$H$11,MATCH(D117,Lookup!$G$5:$G$11,0))&amp;
K117&amp;L117&amp;M117&amp;N117&amp;
INDEX(Lookup!$I$5:$I$11,MATCH(D117,Lookup!$G$5:$G$11,0))</f>
        <v xml:space="preserve">    - sensor.dark_sky_apparent_temperature</v>
      </c>
    </row>
    <row r="118" spans="2:16" x14ac:dyDescent="0.45">
      <c r="B118">
        <f t="shared" si="3"/>
        <v>116</v>
      </c>
      <c r="C118">
        <f t="shared" si="5"/>
        <v>6</v>
      </c>
      <c r="D118" t="str">
        <f>VLOOKUP(C118,Lookup!$F$5:$G$11,2,FALSE)</f>
        <v>entities</v>
      </c>
      <c r="E118">
        <f>IF(D118=Lookup!$G$5,E117+1,E117)</f>
        <v>16</v>
      </c>
      <c r="F118" s="3">
        <f>INDEX(cards[Entities count],MATCH('card-code'!E118,cards[object_id order],0))</f>
        <v>5</v>
      </c>
      <c r="G118">
        <f>IF(D117=Lookup!$G$9,1,IF(D117=Lookup!$G$10,G117+1,""))</f>
        <v>3</v>
      </c>
      <c r="H118">
        <f>IF(F118=1,  IF(D118=Lookup!$G$9,2,1),  IF(G118&lt;F118-1,0,1)  )</f>
        <v>0</v>
      </c>
      <c r="I118">
        <f>IF(D118&lt;&gt;Lookup!$G$7,0,IF(INDEX(cards[name],MATCH(E118,cards[object_id order],0))&lt;&gt;"",0,1))</f>
        <v>0</v>
      </c>
      <c r="J118">
        <f>IF(D118&lt;&gt;Lookup!$G$7,0,IF(INDEX(cards[icon],MATCH(E118,cards[object_id order],0))&lt;&gt;"",0,1))</f>
        <v>0</v>
      </c>
      <c r="K118" t="str">
        <f>IF(D118=Lookup!$G$6,INDEX(cards[object_id],MATCH('card-code'!E118,cards[object_id order],0)),"")</f>
        <v/>
      </c>
      <c r="L118" t="str">
        <f>IF(D118=Lookup!$G$7,INDEX(cards[name],MATCH('card-code'!E118,cards[object_id order],0)),"")</f>
        <v/>
      </c>
      <c r="M118" t="str">
        <f>IF($D118=Lookup!$L$9,INDEX(cards[icon],MATCH($E118,cards[object_id order],0)),"")</f>
        <v/>
      </c>
      <c r="N118" t="str">
        <f>IF(OR(D118=Lookup!$G$10,D118=Lookup!$G$11),INDEX(cards[[1]:[25]],MATCH($E118,cards[object_id order],0),'card-code'!G118),"")</f>
        <v>sensor.dark_sky_precip_probability</v>
      </c>
      <c r="O118" t="str">
        <f t="shared" si="4"/>
        <v/>
      </c>
      <c r="P118" s="8" t="str">
        <f>INDEX(Lookup!$H$5:$H$11,MATCH(D118,Lookup!$G$5:$G$11,0))&amp;
K118&amp;L118&amp;M118&amp;N118&amp;
INDEX(Lookup!$I$5:$I$11,MATCH(D118,Lookup!$G$5:$G$11,0))</f>
        <v xml:space="preserve">    - sensor.dark_sky_precip_probability</v>
      </c>
    </row>
    <row r="119" spans="2:16" x14ac:dyDescent="0.45">
      <c r="B119">
        <f t="shared" si="3"/>
        <v>117</v>
      </c>
      <c r="C119">
        <f t="shared" si="5"/>
        <v>6</v>
      </c>
      <c r="D119" t="str">
        <f>VLOOKUP(C119,Lookup!$F$5:$G$11,2,FALSE)</f>
        <v>entities</v>
      </c>
      <c r="E119">
        <f>IF(D119=Lookup!$G$5,E118+1,E118)</f>
        <v>16</v>
      </c>
      <c r="F119" s="3">
        <f>INDEX(cards[Entities count],MATCH('card-code'!E119,cards[object_id order],0))</f>
        <v>5</v>
      </c>
      <c r="G119">
        <f>IF(D118=Lookup!$G$9,1,IF(D118=Lookup!$G$10,G118+1,""))</f>
        <v>4</v>
      </c>
      <c r="H119">
        <f>IF(F119=1,  IF(D119=Lookup!$G$9,2,1),  IF(G119&lt;F119-1,0,1)  )</f>
        <v>1</v>
      </c>
      <c r="I119">
        <f>IF(D119&lt;&gt;Lookup!$G$7,0,IF(INDEX(cards[name],MATCH(E119,cards[object_id order],0))&lt;&gt;"",0,1))</f>
        <v>0</v>
      </c>
      <c r="J119">
        <f>IF(D119&lt;&gt;Lookup!$G$7,0,IF(INDEX(cards[icon],MATCH(E119,cards[object_id order],0))&lt;&gt;"",0,1))</f>
        <v>0</v>
      </c>
      <c r="K119" t="str">
        <f>IF(D119=Lookup!$G$6,INDEX(cards[object_id],MATCH('card-code'!E119,cards[object_id order],0)),"")</f>
        <v/>
      </c>
      <c r="L119" t="str">
        <f>IF(D119=Lookup!$G$7,INDEX(cards[name],MATCH('card-code'!E119,cards[object_id order],0)),"")</f>
        <v/>
      </c>
      <c r="M119" t="str">
        <f>IF($D119=Lookup!$L$9,INDEX(cards[icon],MATCH($E119,cards[object_id order],0)),"")</f>
        <v/>
      </c>
      <c r="N119" t="str">
        <f>IF(OR(D119=Lookup!$G$10,D119=Lookup!$G$11),INDEX(cards[[1]:[25]],MATCH($E119,cards[object_id order],0),'card-code'!G119),"")</f>
        <v>sensor.dark_sky_hourly_summary</v>
      </c>
      <c r="O119" t="str">
        <f t="shared" si="4"/>
        <v/>
      </c>
      <c r="P119" s="8" t="str">
        <f>INDEX(Lookup!$H$5:$H$11,MATCH(D119,Lookup!$G$5:$G$11,0))&amp;
K119&amp;L119&amp;M119&amp;N119&amp;
INDEX(Lookup!$I$5:$I$11,MATCH(D119,Lookup!$G$5:$G$11,0))</f>
        <v xml:space="preserve">    - sensor.dark_sky_hourly_summary</v>
      </c>
    </row>
    <row r="120" spans="2:16" x14ac:dyDescent="0.45">
      <c r="B120">
        <f t="shared" si="3"/>
        <v>118</v>
      </c>
      <c r="C120">
        <f t="shared" si="5"/>
        <v>7</v>
      </c>
      <c r="D120" t="str">
        <f>VLOOKUP(C120,Lookup!$F$5:$G$11,2,FALSE)</f>
        <v>entities end</v>
      </c>
      <c r="E120">
        <f>IF(D120=Lookup!$G$5,E119+1,E119)</f>
        <v>16</v>
      </c>
      <c r="F120" s="3">
        <f>INDEX(cards[Entities count],MATCH('card-code'!E120,cards[object_id order],0))</f>
        <v>5</v>
      </c>
      <c r="G120">
        <f>IF(D119=Lookup!$G$9,1,IF(D119=Lookup!$G$10,G119+1,""))</f>
        <v>5</v>
      </c>
      <c r="H120">
        <f>IF(F120=1,  IF(D120=Lookup!$G$9,2,1),  IF(G120&lt;F120-1,0,1)  )</f>
        <v>1</v>
      </c>
      <c r="I120">
        <f>IF(D120&lt;&gt;Lookup!$G$7,0,IF(INDEX(cards[name],MATCH(E120,cards[object_id order],0))&lt;&gt;"",0,1))</f>
        <v>0</v>
      </c>
      <c r="J120">
        <f>IF(D120&lt;&gt;Lookup!$G$7,0,IF(INDEX(cards[icon],MATCH(E120,cards[object_id order],0))&lt;&gt;"",0,1))</f>
        <v>0</v>
      </c>
      <c r="K120" t="str">
        <f>IF(D120=Lookup!$G$6,INDEX(cards[object_id],MATCH('card-code'!E120,cards[object_id order],0)),"")</f>
        <v/>
      </c>
      <c r="L120" t="str">
        <f>IF(D120=Lookup!$G$7,INDEX(cards[name],MATCH('card-code'!E120,cards[object_id order],0)),"")</f>
        <v/>
      </c>
      <c r="M120" t="str">
        <f>IF($D120=Lookup!$L$9,INDEX(cards[icon],MATCH($E120,cards[object_id order],0)),"")</f>
        <v/>
      </c>
      <c r="N120" t="str">
        <f>IF(OR(D120=Lookup!$G$10,D120=Lookup!$G$11),INDEX(cards[[1]:[25]],MATCH($E120,cards[object_id order],0),'card-code'!G120),"")</f>
        <v>sensor.dark_sky_daily_summary</v>
      </c>
      <c r="O120" t="str">
        <f t="shared" si="4"/>
        <v/>
      </c>
      <c r="P120" s="8" t="str">
        <f>INDEX(Lookup!$H$5:$H$11,MATCH(D120,Lookup!$G$5:$G$11,0))&amp;
K120&amp;L120&amp;M120&amp;N120&amp;
INDEX(Lookup!$I$5:$I$11,MATCH(D120,Lookup!$G$5:$G$11,0))</f>
        <v xml:space="preserve">    - sensor.dark_sky_daily_summary</v>
      </c>
    </row>
    <row r="121" spans="2:16" x14ac:dyDescent="0.45">
      <c r="B121">
        <f t="shared" si="3"/>
        <v>119</v>
      </c>
      <c r="C121">
        <f t="shared" si="5"/>
        <v>1</v>
      </c>
      <c r="D121" t="str">
        <f>VLOOKUP(C121,Lookup!$F$5:$G$11,2,FALSE)</f>
        <v>blank</v>
      </c>
      <c r="E121">
        <f>IF(D121=Lookup!$G$5,E120+1,E120)</f>
        <v>17</v>
      </c>
      <c r="F121" s="3">
        <f>INDEX(cards[Entities count],MATCH('card-code'!E121,cards[object_id order],0))</f>
        <v>13</v>
      </c>
      <c r="G121" t="str">
        <f>IF(D120=Lookup!$G$9,1,IF(D120=Lookup!$G$10,G120+1,""))</f>
        <v/>
      </c>
      <c r="H121">
        <f>IF(F121=1,  IF(D121=Lookup!$G$9,2,1),  IF(G121&lt;F121-1,0,1)  )</f>
        <v>1</v>
      </c>
      <c r="I121">
        <f>IF(D121&lt;&gt;Lookup!$G$7,0,IF(INDEX(cards[name],MATCH(E121,cards[object_id order],0))&lt;&gt;"",0,1))</f>
        <v>0</v>
      </c>
      <c r="J121">
        <f>IF(D121&lt;&gt;Lookup!$G$7,0,IF(INDEX(cards[icon],MATCH(E121,cards[object_id order],0))&lt;&gt;"",0,1))</f>
        <v>0</v>
      </c>
      <c r="K121" t="str">
        <f>IF(D121=Lookup!$G$6,INDEX(cards[object_id],MATCH('card-code'!E121,cards[object_id order],0)),"")</f>
        <v/>
      </c>
      <c r="L121" t="str">
        <f>IF(D121=Lookup!$G$7,INDEX(cards[name],MATCH('card-code'!E121,cards[object_id order],0)),"")</f>
        <v/>
      </c>
      <c r="M121" t="str">
        <f>IF($D121=Lookup!$L$9,INDEX(cards[icon],MATCH($E121,cards[object_id order],0)),"")</f>
        <v/>
      </c>
      <c r="N121" t="str">
        <f>IF(OR(D121=Lookup!$G$10,D121=Lookup!$G$11),INDEX(cards[[1]:[25]],MATCH($E121,cards[object_id order],0),'card-code'!G121),"")</f>
        <v/>
      </c>
      <c r="O121" t="str">
        <f t="shared" si="4"/>
        <v/>
      </c>
      <c r="P121" s="8" t="str">
        <f>INDEX(Lookup!$H$5:$H$11,MATCH(D121,Lookup!$G$5:$G$11,0))&amp;
K121&amp;L121&amp;M121&amp;N121&amp;
INDEX(Lookup!$I$5:$I$11,MATCH(D121,Lookup!$G$5:$G$11,0))</f>
        <v/>
      </c>
    </row>
    <row r="122" spans="2:16" x14ac:dyDescent="0.45">
      <c r="B122">
        <f t="shared" si="3"/>
        <v>120</v>
      </c>
      <c r="C122">
        <f t="shared" si="5"/>
        <v>2</v>
      </c>
      <c r="D122" t="str">
        <f>VLOOKUP(C122,Lookup!$F$5:$G$11,2,FALSE)</f>
        <v>card</v>
      </c>
      <c r="E122">
        <f>IF(D122=Lookup!$G$5,E121+1,E121)</f>
        <v>17</v>
      </c>
      <c r="F122" s="3">
        <f>INDEX(cards[Entities count],MATCH('card-code'!E122,cards[object_id order],0))</f>
        <v>13</v>
      </c>
      <c r="G122" t="str">
        <f>IF(D121=Lookup!$G$9,1,IF(D121=Lookup!$G$10,G121+1,""))</f>
        <v/>
      </c>
      <c r="H122">
        <f>IF(F122=1,  IF(D122=Lookup!$G$9,2,1),  IF(G122&lt;F122-1,0,1)  )</f>
        <v>1</v>
      </c>
      <c r="I122">
        <f>IF(D122&lt;&gt;Lookup!$G$7,0,IF(INDEX(cards[name],MATCH(E122,cards[object_id order],0))&lt;&gt;"",0,1))</f>
        <v>0</v>
      </c>
      <c r="J122">
        <f>IF(D122&lt;&gt;Lookup!$G$7,0,IF(INDEX(cards[icon],MATCH(E122,cards[object_id order],0))&lt;&gt;"",0,1))</f>
        <v>0</v>
      </c>
      <c r="K122" t="str">
        <f>IF(D122=Lookup!$G$6,INDEX(cards[object_id],MATCH('card-code'!E122,cards[object_id order],0)),"")</f>
        <v>environment_detail</v>
      </c>
      <c r="L122" t="str">
        <f>IF(D122=Lookup!$G$7,INDEX(cards[name],MATCH('card-code'!E122,cards[object_id order],0)),"")</f>
        <v/>
      </c>
      <c r="M122" t="str">
        <f>IF($D122=Lookup!$L$9,INDEX(cards[icon],MATCH($E122,cards[object_id order],0)),"")</f>
        <v/>
      </c>
      <c r="N122" t="str">
        <f>IF(OR(D122=Lookup!$G$10,D122=Lookup!$G$11),INDEX(cards[[1]:[25]],MATCH($E122,cards[object_id order],0),'card-code'!G122),"")</f>
        <v/>
      </c>
      <c r="O122" t="str">
        <f t="shared" si="4"/>
        <v/>
      </c>
      <c r="P122" s="8" t="str">
        <f>INDEX(Lookup!$H$5:$H$11,MATCH(D122,Lookup!$G$5:$G$11,0))&amp;
K122&amp;L122&amp;M122&amp;N122&amp;
INDEX(Lookup!$I$5:$I$11,MATCH(D122,Lookup!$G$5:$G$11,0))</f>
        <v>environment_detail:</v>
      </c>
    </row>
    <row r="123" spans="2:16" x14ac:dyDescent="0.45">
      <c r="B123">
        <f t="shared" si="3"/>
        <v>121</v>
      </c>
      <c r="C123">
        <f t="shared" si="5"/>
        <v>3</v>
      </c>
      <c r="D123" t="str">
        <f>VLOOKUP(C123,Lookup!$F$5:$G$11,2,FALSE)</f>
        <v>name</v>
      </c>
      <c r="E123">
        <f>IF(D123=Lookup!$G$5,E122+1,E122)</f>
        <v>17</v>
      </c>
      <c r="F123" s="3">
        <f>INDEX(cards[Entities count],MATCH('card-code'!E123,cards[object_id order],0))</f>
        <v>13</v>
      </c>
      <c r="G123" t="str">
        <f>IF(D122=Lookup!$G$9,1,IF(D122=Lookup!$G$10,G122+1,""))</f>
        <v/>
      </c>
      <c r="H123">
        <f>IF(F123=1,  IF(D123=Lookup!$G$9,2,1),  IF(G123&lt;F123-1,0,1)  )</f>
        <v>1</v>
      </c>
      <c r="I123">
        <f>IF(D123&lt;&gt;Lookup!$G$7,0,IF(INDEX(cards[name],MATCH(E123,cards[object_id order],0))&lt;&gt;"",0,1))</f>
        <v>0</v>
      </c>
      <c r="J123">
        <f>IF(D123&lt;&gt;Lookup!$G$7,0,IF(INDEX(cards[icon],MATCH(E123,cards[object_id order],0))&lt;&gt;"",0,1))</f>
        <v>1</v>
      </c>
      <c r="K123" t="str">
        <f>IF(D123=Lookup!$G$6,INDEX(cards[object_id],MATCH('card-code'!E123,cards[object_id order],0)),"")</f>
        <v/>
      </c>
      <c r="L123" t="str">
        <f>IF(D123=Lookup!$G$7,INDEX(cards[name],MATCH('card-code'!E123,cards[object_id order],0)),"")</f>
        <v>Environment Detail</v>
      </c>
      <c r="M123" t="str">
        <f>IF($D123=Lookup!$L$9,INDEX(cards[icon],MATCH($E123,cards[object_id order],0)),"")</f>
        <v/>
      </c>
      <c r="N123" t="str">
        <f>IF(OR(D123=Lookup!$G$10,D123=Lookup!$G$11),INDEX(cards[[1]:[25]],MATCH($E123,cards[object_id order],0),'card-code'!G123),"")</f>
        <v/>
      </c>
      <c r="O123" t="str">
        <f t="shared" si="4"/>
        <v/>
      </c>
      <c r="P123" s="8" t="str">
        <f>INDEX(Lookup!$H$5:$H$11,MATCH(D123,Lookup!$G$5:$G$11,0))&amp;
K123&amp;L123&amp;M123&amp;N123&amp;
INDEX(Lookup!$I$5:$I$11,MATCH(D123,Lookup!$G$5:$G$11,0))</f>
        <v xml:space="preserve">  name: "Environment Detail"</v>
      </c>
    </row>
    <row r="124" spans="2:16" x14ac:dyDescent="0.45">
      <c r="B124">
        <f t="shared" si="3"/>
        <v>122</v>
      </c>
      <c r="C124">
        <f t="shared" si="5"/>
        <v>5</v>
      </c>
      <c r="D124" t="str">
        <f>VLOOKUP(C124,Lookup!$F$5:$G$11,2,FALSE)</f>
        <v>entities header</v>
      </c>
      <c r="E124">
        <f>IF(D124=Lookup!$G$5,E123+1,E123)</f>
        <v>17</v>
      </c>
      <c r="F124" s="3">
        <f>INDEX(cards[Entities count],MATCH('card-code'!E124,cards[object_id order],0))</f>
        <v>13</v>
      </c>
      <c r="G124" t="str">
        <f>IF(D123=Lookup!$G$9,1,IF(D123=Lookup!$G$10,G123+1,""))</f>
        <v/>
      </c>
      <c r="H124">
        <f>IF(F124=1,  IF(D124=Lookup!$G$9,2,1),  IF(G124&lt;F124-1,0,1)  )</f>
        <v>1</v>
      </c>
      <c r="I124">
        <f>IF(D124&lt;&gt;Lookup!$G$7,0,IF(INDEX(cards[name],MATCH(E124,cards[object_id order],0))&lt;&gt;"",0,1))</f>
        <v>0</v>
      </c>
      <c r="J124">
        <f>IF(D124&lt;&gt;Lookup!$G$7,0,IF(INDEX(cards[icon],MATCH(E124,cards[object_id order],0))&lt;&gt;"",0,1))</f>
        <v>0</v>
      </c>
      <c r="K124" t="str">
        <f>IF(D124=Lookup!$G$6,INDEX(cards[object_id],MATCH('card-code'!E124,cards[object_id order],0)),"")</f>
        <v/>
      </c>
      <c r="L124" t="str">
        <f>IF(D124=Lookup!$G$7,INDEX(cards[name],MATCH('card-code'!E124,cards[object_id order],0)),"")</f>
        <v/>
      </c>
      <c r="M124" t="str">
        <f>IF($D124=Lookup!$L$9,INDEX(cards[icon],MATCH($E124,cards[object_id order],0)),"")</f>
        <v/>
      </c>
      <c r="N124" t="str">
        <f>IF(OR(D124=Lookup!$G$10,D124=Lookup!$G$11),INDEX(cards[[1]:[25]],MATCH($E124,cards[object_id order],0),'card-code'!G124),"")</f>
        <v/>
      </c>
      <c r="O124" t="str">
        <f t="shared" si="4"/>
        <v/>
      </c>
      <c r="P124" s="8" t="str">
        <f>INDEX(Lookup!$H$5:$H$11,MATCH(D124,Lookup!$G$5:$G$11,0))&amp;
K124&amp;L124&amp;M124&amp;N124&amp;
INDEX(Lookup!$I$5:$I$11,MATCH(D124,Lookup!$G$5:$G$11,0))</f>
        <v xml:space="preserve">  entities:</v>
      </c>
    </row>
    <row r="125" spans="2:16" x14ac:dyDescent="0.45">
      <c r="B125">
        <f t="shared" si="3"/>
        <v>123</v>
      </c>
      <c r="C125">
        <f t="shared" si="5"/>
        <v>6</v>
      </c>
      <c r="D125" t="str">
        <f>VLOOKUP(C125,Lookup!$F$5:$G$11,2,FALSE)</f>
        <v>entities</v>
      </c>
      <c r="E125">
        <f>IF(D125=Lookup!$G$5,E124+1,E124)</f>
        <v>17</v>
      </c>
      <c r="F125" s="3">
        <f>INDEX(cards[Entities count],MATCH('card-code'!E125,cards[object_id order],0))</f>
        <v>13</v>
      </c>
      <c r="G125">
        <f>IF(D124=Lookup!$G$9,1,IF(D124=Lookup!$G$10,G124+1,""))</f>
        <v>1</v>
      </c>
      <c r="H125">
        <f>IF(F125=1,  IF(D125=Lookup!$G$9,2,1),  IF(G125&lt;F125-1,0,1)  )</f>
        <v>0</v>
      </c>
      <c r="I125">
        <f>IF(D125&lt;&gt;Lookup!$G$7,0,IF(INDEX(cards[name],MATCH(E125,cards[object_id order],0))&lt;&gt;"",0,1))</f>
        <v>0</v>
      </c>
      <c r="J125">
        <f>IF(D125&lt;&gt;Lookup!$G$7,0,IF(INDEX(cards[icon],MATCH(E125,cards[object_id order],0))&lt;&gt;"",0,1))</f>
        <v>0</v>
      </c>
      <c r="K125" t="str">
        <f>IF(D125=Lookup!$G$6,INDEX(cards[object_id],MATCH('card-code'!E125,cards[object_id order],0)),"")</f>
        <v/>
      </c>
      <c r="L125" t="str">
        <f>IF(D125=Lookup!$G$7,INDEX(cards[name],MATCH('card-code'!E125,cards[object_id order],0)),"")</f>
        <v/>
      </c>
      <c r="M125" t="str">
        <f>IF($D125=Lookup!$L$9,INDEX(cards[icon],MATCH($E125,cards[object_id order],0)),"")</f>
        <v/>
      </c>
      <c r="N125" t="str">
        <f>IF(OR(D125=Lookup!$G$10,D125=Lookup!$G$11),INDEX(cards[[1]:[25]],MATCH($E125,cards[object_id order],0),'card-code'!G125),"")</f>
        <v>sensor.dark_sky_precip</v>
      </c>
      <c r="O125" t="str">
        <f t="shared" si="4"/>
        <v/>
      </c>
      <c r="P125" s="8" t="str">
        <f>INDEX(Lookup!$H$5:$H$11,MATCH(D125,Lookup!$G$5:$G$11,0))&amp;
K125&amp;L125&amp;M125&amp;N125&amp;
INDEX(Lookup!$I$5:$I$11,MATCH(D125,Lookup!$G$5:$G$11,0))</f>
        <v xml:space="preserve">    - sensor.dark_sky_precip</v>
      </c>
    </row>
    <row r="126" spans="2:16" x14ac:dyDescent="0.45">
      <c r="B126">
        <f t="shared" si="3"/>
        <v>124</v>
      </c>
      <c r="C126">
        <f t="shared" si="5"/>
        <v>6</v>
      </c>
      <c r="D126" t="str">
        <f>VLOOKUP(C126,Lookup!$F$5:$G$11,2,FALSE)</f>
        <v>entities</v>
      </c>
      <c r="E126">
        <f>IF(D126=Lookup!$G$5,E125+1,E125)</f>
        <v>17</v>
      </c>
      <c r="F126" s="3">
        <f>INDEX(cards[Entities count],MATCH('card-code'!E126,cards[object_id order],0))</f>
        <v>13</v>
      </c>
      <c r="G126">
        <f>IF(D125=Lookup!$G$9,1,IF(D125=Lookup!$G$10,G125+1,""))</f>
        <v>2</v>
      </c>
      <c r="H126">
        <f>IF(F126=1,  IF(D126=Lookup!$G$9,2,1),  IF(G126&lt;F126-1,0,1)  )</f>
        <v>0</v>
      </c>
      <c r="I126">
        <f>IF(D126&lt;&gt;Lookup!$G$7,0,IF(INDEX(cards[name],MATCH(E126,cards[object_id order],0))&lt;&gt;"",0,1))</f>
        <v>0</v>
      </c>
      <c r="J126">
        <f>IF(D126&lt;&gt;Lookup!$G$7,0,IF(INDEX(cards[icon],MATCH(E126,cards[object_id order],0))&lt;&gt;"",0,1))</f>
        <v>0</v>
      </c>
      <c r="K126" t="str">
        <f>IF(D126=Lookup!$G$6,INDEX(cards[object_id],MATCH('card-code'!E126,cards[object_id order],0)),"")</f>
        <v/>
      </c>
      <c r="L126" t="str">
        <f>IF(D126=Lookup!$G$7,INDEX(cards[name],MATCH('card-code'!E126,cards[object_id order],0)),"")</f>
        <v/>
      </c>
      <c r="M126" t="str">
        <f>IF($D126=Lookup!$L$9,INDEX(cards[icon],MATCH($E126,cards[object_id order],0)),"")</f>
        <v/>
      </c>
      <c r="N126" t="str">
        <f>IF(OR(D126=Lookup!$G$10,D126=Lookup!$G$11),INDEX(cards[[1]:[25]],MATCH($E126,cards[object_id order],0),'card-code'!G126),"")</f>
        <v>sensor.dark_sky_precip_intensity</v>
      </c>
      <c r="O126" t="str">
        <f t="shared" si="4"/>
        <v/>
      </c>
      <c r="P126" s="8" t="str">
        <f>INDEX(Lookup!$H$5:$H$11,MATCH(D126,Lookup!$G$5:$G$11,0))&amp;
K126&amp;L126&amp;M126&amp;N126&amp;
INDEX(Lookup!$I$5:$I$11,MATCH(D126,Lookup!$G$5:$G$11,0))</f>
        <v xml:space="preserve">    - sensor.dark_sky_precip_intensity</v>
      </c>
    </row>
    <row r="127" spans="2:16" x14ac:dyDescent="0.45">
      <c r="B127">
        <f t="shared" si="3"/>
        <v>125</v>
      </c>
      <c r="C127">
        <f t="shared" si="5"/>
        <v>6</v>
      </c>
      <c r="D127" t="str">
        <f>VLOOKUP(C127,Lookup!$F$5:$G$11,2,FALSE)</f>
        <v>entities</v>
      </c>
      <c r="E127">
        <f>IF(D127=Lookup!$G$5,E126+1,E126)</f>
        <v>17</v>
      </c>
      <c r="F127" s="3">
        <f>INDEX(cards[Entities count],MATCH('card-code'!E127,cards[object_id order],0))</f>
        <v>13</v>
      </c>
      <c r="G127">
        <f>IF(D126=Lookup!$G$9,1,IF(D126=Lookup!$G$10,G126+1,""))</f>
        <v>3</v>
      </c>
      <c r="H127">
        <f>IF(F127=1,  IF(D127=Lookup!$G$9,2,1),  IF(G127&lt;F127-1,0,1)  )</f>
        <v>0</v>
      </c>
      <c r="I127">
        <f>IF(D127&lt;&gt;Lookup!$G$7,0,IF(INDEX(cards[name],MATCH(E127,cards[object_id order],0))&lt;&gt;"",0,1))</f>
        <v>0</v>
      </c>
      <c r="J127">
        <f>IF(D127&lt;&gt;Lookup!$G$7,0,IF(INDEX(cards[icon],MATCH(E127,cards[object_id order],0))&lt;&gt;"",0,1))</f>
        <v>0</v>
      </c>
      <c r="K127" t="str">
        <f>IF(D127=Lookup!$G$6,INDEX(cards[object_id],MATCH('card-code'!E127,cards[object_id order],0)),"")</f>
        <v/>
      </c>
      <c r="L127" t="str">
        <f>IF(D127=Lookup!$G$7,INDEX(cards[name],MATCH('card-code'!E127,cards[object_id order],0)),"")</f>
        <v/>
      </c>
      <c r="M127" t="str">
        <f>IF($D127=Lookup!$L$9,INDEX(cards[icon],MATCH($E127,cards[object_id order],0)),"")</f>
        <v/>
      </c>
      <c r="N127" t="str">
        <f>IF(OR(D127=Lookup!$G$10,D127=Lookup!$G$11),INDEX(cards[[1]:[25]],MATCH($E127,cards[object_id order],0),'card-code'!G127),"")</f>
        <v>sensor.dark_sky_daily_max_precip_intensity</v>
      </c>
      <c r="O127" t="str">
        <f t="shared" si="4"/>
        <v/>
      </c>
      <c r="P127" s="8" t="str">
        <f>INDEX(Lookup!$H$5:$H$11,MATCH(D127,Lookup!$G$5:$G$11,0))&amp;
K127&amp;L127&amp;M127&amp;N127&amp;
INDEX(Lookup!$I$5:$I$11,MATCH(D127,Lookup!$G$5:$G$11,0))</f>
        <v xml:space="preserve">    - sensor.dark_sky_daily_max_precip_intensity</v>
      </c>
    </row>
    <row r="128" spans="2:16" x14ac:dyDescent="0.45">
      <c r="B128">
        <f t="shared" si="3"/>
        <v>126</v>
      </c>
      <c r="C128">
        <f t="shared" si="5"/>
        <v>6</v>
      </c>
      <c r="D128" t="str">
        <f>VLOOKUP(C128,Lookup!$F$5:$G$11,2,FALSE)</f>
        <v>entities</v>
      </c>
      <c r="E128">
        <f>IF(D128=Lookup!$G$5,E127+1,E127)</f>
        <v>17</v>
      </c>
      <c r="F128" s="3">
        <f>INDEX(cards[Entities count],MATCH('card-code'!E128,cards[object_id order],0))</f>
        <v>13</v>
      </c>
      <c r="G128">
        <f>IF(D127=Lookup!$G$9,1,IF(D127=Lookup!$G$10,G127+1,""))</f>
        <v>4</v>
      </c>
      <c r="H128">
        <f>IF(F128=1,  IF(D128=Lookup!$G$9,2,1),  IF(G128&lt;F128-1,0,1)  )</f>
        <v>0</v>
      </c>
      <c r="I128">
        <f>IF(D128&lt;&gt;Lookup!$G$7,0,IF(INDEX(cards[name],MATCH(E128,cards[object_id order],0))&lt;&gt;"",0,1))</f>
        <v>0</v>
      </c>
      <c r="J128">
        <f>IF(D128&lt;&gt;Lookup!$G$7,0,IF(INDEX(cards[icon],MATCH(E128,cards[object_id order],0))&lt;&gt;"",0,1))</f>
        <v>0</v>
      </c>
      <c r="K128" t="str">
        <f>IF(D128=Lookup!$G$6,INDEX(cards[object_id],MATCH('card-code'!E128,cards[object_id order],0)),"")</f>
        <v/>
      </c>
      <c r="L128" t="str">
        <f>IF(D128=Lookup!$G$7,INDEX(cards[name],MATCH('card-code'!E128,cards[object_id order],0)),"")</f>
        <v/>
      </c>
      <c r="M128" t="str">
        <f>IF($D128=Lookup!$L$9,INDEX(cards[icon],MATCH($E128,cards[object_id order],0)),"")</f>
        <v/>
      </c>
      <c r="N128" t="str">
        <f>IF(OR(D128=Lookup!$G$10,D128=Lookup!$G$11),INDEX(cards[[1]:[25]],MATCH($E128,cards[object_id order],0),'card-code'!G128),"")</f>
        <v>sensor.dark_sky_daily_high_temperature</v>
      </c>
      <c r="O128" t="str">
        <f t="shared" si="4"/>
        <v/>
      </c>
      <c r="P128" s="8" t="str">
        <f>INDEX(Lookup!$H$5:$H$11,MATCH(D128,Lookup!$G$5:$G$11,0))&amp;
K128&amp;L128&amp;M128&amp;N128&amp;
INDEX(Lookup!$I$5:$I$11,MATCH(D128,Lookup!$G$5:$G$11,0))</f>
        <v xml:space="preserve">    - sensor.dark_sky_daily_high_temperature</v>
      </c>
    </row>
    <row r="129" spans="2:16" x14ac:dyDescent="0.45">
      <c r="B129">
        <f t="shared" si="3"/>
        <v>127</v>
      </c>
      <c r="C129">
        <f t="shared" si="5"/>
        <v>6</v>
      </c>
      <c r="D129" t="str">
        <f>VLOOKUP(C129,Lookup!$F$5:$G$11,2,FALSE)</f>
        <v>entities</v>
      </c>
      <c r="E129">
        <f>IF(D129=Lookup!$G$5,E128+1,E128)</f>
        <v>17</v>
      </c>
      <c r="F129" s="3">
        <f>INDEX(cards[Entities count],MATCH('card-code'!E129,cards[object_id order],0))</f>
        <v>13</v>
      </c>
      <c r="G129">
        <f>IF(D128=Lookup!$G$9,1,IF(D128=Lookup!$G$10,G128+1,""))</f>
        <v>5</v>
      </c>
      <c r="H129">
        <f>IF(F129=1,  IF(D129=Lookup!$G$9,2,1),  IF(G129&lt;F129-1,0,1)  )</f>
        <v>0</v>
      </c>
      <c r="I129">
        <f>IF(D129&lt;&gt;Lookup!$G$7,0,IF(INDEX(cards[name],MATCH(E129,cards[object_id order],0))&lt;&gt;"",0,1))</f>
        <v>0</v>
      </c>
      <c r="J129">
        <f>IF(D129&lt;&gt;Lookup!$G$7,0,IF(INDEX(cards[icon],MATCH(E129,cards[object_id order],0))&lt;&gt;"",0,1))</f>
        <v>0</v>
      </c>
      <c r="K129" t="str">
        <f>IF(D129=Lookup!$G$6,INDEX(cards[object_id],MATCH('card-code'!E129,cards[object_id order],0)),"")</f>
        <v/>
      </c>
      <c r="L129" t="str">
        <f>IF(D129=Lookup!$G$7,INDEX(cards[name],MATCH('card-code'!E129,cards[object_id order],0)),"")</f>
        <v/>
      </c>
      <c r="M129" t="str">
        <f>IF($D129=Lookup!$L$9,INDEX(cards[icon],MATCH($E129,cards[object_id order],0)),"")</f>
        <v/>
      </c>
      <c r="N129" t="str">
        <f>IF(OR(D129=Lookup!$G$10,D129=Lookup!$G$11),INDEX(cards[[1]:[25]],MATCH($E129,cards[object_id order],0),'card-code'!G129),"")</f>
        <v>sensor.dark_sky_apparent_temperature</v>
      </c>
      <c r="O129" t="str">
        <f t="shared" si="4"/>
        <v/>
      </c>
      <c r="P129" s="8" t="str">
        <f>INDEX(Lookup!$H$5:$H$11,MATCH(D129,Lookup!$G$5:$G$11,0))&amp;
K129&amp;L129&amp;M129&amp;N129&amp;
INDEX(Lookup!$I$5:$I$11,MATCH(D129,Lookup!$G$5:$G$11,0))</f>
        <v xml:space="preserve">    - sensor.dark_sky_apparent_temperature</v>
      </c>
    </row>
    <row r="130" spans="2:16" x14ac:dyDescent="0.45">
      <c r="B130">
        <f t="shared" si="3"/>
        <v>128</v>
      </c>
      <c r="C130">
        <f t="shared" si="5"/>
        <v>6</v>
      </c>
      <c r="D130" t="str">
        <f>VLOOKUP(C130,Lookup!$F$5:$G$11,2,FALSE)</f>
        <v>entities</v>
      </c>
      <c r="E130">
        <f>IF(D130=Lookup!$G$5,E129+1,E129)</f>
        <v>17</v>
      </c>
      <c r="F130" s="3">
        <f>INDEX(cards[Entities count],MATCH('card-code'!E130,cards[object_id order],0))</f>
        <v>13</v>
      </c>
      <c r="G130">
        <f>IF(D129=Lookup!$G$9,1,IF(D129=Lookup!$G$10,G129+1,""))</f>
        <v>6</v>
      </c>
      <c r="H130">
        <f>IF(F130=1,  IF(D130=Lookup!$G$9,2,1),  IF(G130&lt;F130-1,0,1)  )</f>
        <v>0</v>
      </c>
      <c r="I130">
        <f>IF(D130&lt;&gt;Lookup!$G$7,0,IF(INDEX(cards[name],MATCH(E130,cards[object_id order],0))&lt;&gt;"",0,1))</f>
        <v>0</v>
      </c>
      <c r="J130">
        <f>IF(D130&lt;&gt;Lookup!$G$7,0,IF(INDEX(cards[icon],MATCH(E130,cards[object_id order],0))&lt;&gt;"",0,1))</f>
        <v>0</v>
      </c>
      <c r="K130" t="str">
        <f>IF(D130=Lookup!$G$6,INDEX(cards[object_id],MATCH('card-code'!E130,cards[object_id order],0)),"")</f>
        <v/>
      </c>
      <c r="L130" t="str">
        <f>IF(D130=Lookup!$G$7,INDEX(cards[name],MATCH('card-code'!E130,cards[object_id order],0)),"")</f>
        <v/>
      </c>
      <c r="M130" t="str">
        <f>IF($D130=Lookup!$L$9,INDEX(cards[icon],MATCH($E130,cards[object_id order],0)),"")</f>
        <v/>
      </c>
      <c r="N130" t="str">
        <f>IF(OR(D130=Lookup!$G$10,D130=Lookup!$G$11),INDEX(cards[[1]:[25]],MATCH($E130,cards[object_id order],0),'card-code'!G130),"")</f>
        <v>sensor.dark_sky_daily_low_temperature</v>
      </c>
      <c r="O130" t="str">
        <f t="shared" si="4"/>
        <v/>
      </c>
      <c r="P130" s="8" t="str">
        <f>INDEX(Lookup!$H$5:$H$11,MATCH(D130,Lookup!$G$5:$G$11,0))&amp;
K130&amp;L130&amp;M130&amp;N130&amp;
INDEX(Lookup!$I$5:$I$11,MATCH(D130,Lookup!$G$5:$G$11,0))</f>
        <v xml:space="preserve">    - sensor.dark_sky_daily_low_temperature</v>
      </c>
    </row>
    <row r="131" spans="2:16" x14ac:dyDescent="0.45">
      <c r="B131">
        <f t="shared" si="3"/>
        <v>129</v>
      </c>
      <c r="C131">
        <f t="shared" si="5"/>
        <v>6</v>
      </c>
      <c r="D131" t="str">
        <f>VLOOKUP(C131,Lookup!$F$5:$G$11,2,FALSE)</f>
        <v>entities</v>
      </c>
      <c r="E131">
        <f>IF(D131=Lookup!$G$5,E130+1,E130)</f>
        <v>17</v>
      </c>
      <c r="F131" s="3">
        <f>INDEX(cards[Entities count],MATCH('card-code'!E131,cards[object_id order],0))</f>
        <v>13</v>
      </c>
      <c r="G131">
        <f>IF(D130=Lookup!$G$9,1,IF(D130=Lookup!$G$10,G130+1,""))</f>
        <v>7</v>
      </c>
      <c r="H131">
        <f>IF(F131=1,  IF(D131=Lookup!$G$9,2,1),  IF(G131&lt;F131-1,0,1)  )</f>
        <v>0</v>
      </c>
      <c r="I131">
        <f>IF(D131&lt;&gt;Lookup!$G$7,0,IF(INDEX(cards[name],MATCH(E131,cards[object_id order],0))&lt;&gt;"",0,1))</f>
        <v>0</v>
      </c>
      <c r="J131">
        <f>IF(D131&lt;&gt;Lookup!$G$7,0,IF(INDEX(cards[icon],MATCH(E131,cards[object_id order],0))&lt;&gt;"",0,1))</f>
        <v>0</v>
      </c>
      <c r="K131" t="str">
        <f>IF(D131=Lookup!$G$6,INDEX(cards[object_id],MATCH('card-code'!E131,cards[object_id order],0)),"")</f>
        <v/>
      </c>
      <c r="L131" t="str">
        <f>IF(D131=Lookup!$G$7,INDEX(cards[name],MATCH('card-code'!E131,cards[object_id order],0)),"")</f>
        <v/>
      </c>
      <c r="M131" t="str">
        <f>IF($D131=Lookup!$L$9,INDEX(cards[icon],MATCH($E131,cards[object_id order],0)),"")</f>
        <v/>
      </c>
      <c r="N131" t="str">
        <f>IF(OR(D131=Lookup!$G$10,D131=Lookup!$G$11),INDEX(cards[[1]:[25]],MATCH($E131,cards[object_id order],0),'card-code'!G131),"")</f>
        <v>sensor.dark_sky_daily_high_apparent_temperature</v>
      </c>
      <c r="O131" t="str">
        <f t="shared" si="4"/>
        <v/>
      </c>
      <c r="P131" s="8" t="str">
        <f>INDEX(Lookup!$H$5:$H$11,MATCH(D131,Lookup!$G$5:$G$11,0))&amp;
K131&amp;L131&amp;M131&amp;N131&amp;
INDEX(Lookup!$I$5:$I$11,MATCH(D131,Lookup!$G$5:$G$11,0))</f>
        <v xml:space="preserve">    - sensor.dark_sky_daily_high_apparent_temperature</v>
      </c>
    </row>
    <row r="132" spans="2:16" x14ac:dyDescent="0.45">
      <c r="B132">
        <f t="shared" si="3"/>
        <v>130</v>
      </c>
      <c r="C132">
        <f t="shared" si="5"/>
        <v>6</v>
      </c>
      <c r="D132" t="str">
        <f>VLOOKUP(C132,Lookup!$F$5:$G$11,2,FALSE)</f>
        <v>entities</v>
      </c>
      <c r="E132">
        <f>IF(D132=Lookup!$G$5,E131+1,E131)</f>
        <v>17</v>
      </c>
      <c r="F132" s="3">
        <f>INDEX(cards[Entities count],MATCH('card-code'!E132,cards[object_id order],0))</f>
        <v>13</v>
      </c>
      <c r="G132">
        <f>IF(D131=Lookup!$G$9,1,IF(D131=Lookup!$G$10,G131+1,""))</f>
        <v>8</v>
      </c>
      <c r="H132">
        <f>IF(F132=1,  IF(D132=Lookup!$G$9,2,1),  IF(G132&lt;F132-1,0,1)  )</f>
        <v>0</v>
      </c>
      <c r="I132">
        <f>IF(D132&lt;&gt;Lookup!$G$7,0,IF(INDEX(cards[name],MATCH(E132,cards[object_id order],0))&lt;&gt;"",0,1))</f>
        <v>0</v>
      </c>
      <c r="J132">
        <f>IF(D132&lt;&gt;Lookup!$G$7,0,IF(INDEX(cards[icon],MATCH(E132,cards[object_id order],0))&lt;&gt;"",0,1))</f>
        <v>0</v>
      </c>
      <c r="K132" t="str">
        <f>IF(D132=Lookup!$G$6,INDEX(cards[object_id],MATCH('card-code'!E132,cards[object_id order],0)),"")</f>
        <v/>
      </c>
      <c r="L132" t="str">
        <f>IF(D132=Lookup!$G$7,INDEX(cards[name],MATCH('card-code'!E132,cards[object_id order],0)),"")</f>
        <v/>
      </c>
      <c r="M132" t="str">
        <f>IF($D132=Lookup!$L$9,INDEX(cards[icon],MATCH($E132,cards[object_id order],0)),"")</f>
        <v/>
      </c>
      <c r="N132" t="str">
        <f>IF(OR(D132=Lookup!$G$10,D132=Lookup!$G$11),INDEX(cards[[1]:[25]],MATCH($E132,cards[object_id order],0),'card-code'!G132),"")</f>
        <v>sensor.dark_sky_temperature</v>
      </c>
      <c r="O132" t="str">
        <f t="shared" si="4"/>
        <v/>
      </c>
      <c r="P132" s="8" t="str">
        <f>INDEX(Lookup!$H$5:$H$11,MATCH(D132,Lookup!$G$5:$G$11,0))&amp;
K132&amp;L132&amp;M132&amp;N132&amp;
INDEX(Lookup!$I$5:$I$11,MATCH(D132,Lookup!$G$5:$G$11,0))</f>
        <v xml:space="preserve">    - sensor.dark_sky_temperature</v>
      </c>
    </row>
    <row r="133" spans="2:16" x14ac:dyDescent="0.45">
      <c r="B133">
        <f t="shared" ref="B133:B196" si="6">B132+1</f>
        <v>131</v>
      </c>
      <c r="C133">
        <f t="shared" si="5"/>
        <v>6</v>
      </c>
      <c r="D133" t="str">
        <f>VLOOKUP(C133,Lookup!$F$5:$G$11,2,FALSE)</f>
        <v>entities</v>
      </c>
      <c r="E133">
        <f>IF(D133=Lookup!$G$5,E132+1,E132)</f>
        <v>17</v>
      </c>
      <c r="F133" s="3">
        <f>INDEX(cards[Entities count],MATCH('card-code'!E133,cards[object_id order],0))</f>
        <v>13</v>
      </c>
      <c r="G133">
        <f>IF(D132=Lookup!$G$9,1,IF(D132=Lookup!$G$10,G132+1,""))</f>
        <v>9</v>
      </c>
      <c r="H133">
        <f>IF(F133=1,  IF(D133=Lookup!$G$9,2,1),  IF(G133&lt;F133-1,0,1)  )</f>
        <v>0</v>
      </c>
      <c r="I133">
        <f>IF(D133&lt;&gt;Lookup!$G$7,0,IF(INDEX(cards[name],MATCH(E133,cards[object_id order],0))&lt;&gt;"",0,1))</f>
        <v>0</v>
      </c>
      <c r="J133">
        <f>IF(D133&lt;&gt;Lookup!$G$7,0,IF(INDEX(cards[icon],MATCH(E133,cards[object_id order],0))&lt;&gt;"",0,1))</f>
        <v>0</v>
      </c>
      <c r="K133" t="str">
        <f>IF(D133=Lookup!$G$6,INDEX(cards[object_id],MATCH('card-code'!E133,cards[object_id order],0)),"")</f>
        <v/>
      </c>
      <c r="L133" t="str">
        <f>IF(D133=Lookup!$G$7,INDEX(cards[name],MATCH('card-code'!E133,cards[object_id order],0)),"")</f>
        <v/>
      </c>
      <c r="M133" t="str">
        <f>IF($D133=Lookup!$L$9,INDEX(cards[icon],MATCH($E133,cards[object_id order],0)),"")</f>
        <v/>
      </c>
      <c r="N133" t="str">
        <f>IF(OR(D133=Lookup!$G$10,D133=Lookup!$G$11),INDEX(cards[[1]:[25]],MATCH($E133,cards[object_id order],0),'card-code'!G133),"")</f>
        <v>sensor.dark_sky_daily_low_apparent_temperature</v>
      </c>
      <c r="O133" t="str">
        <f t="shared" ref="O133:O196" si="7">IF(AND(NOT(ISNA(F132)),ISNA(F133)),"END","")</f>
        <v/>
      </c>
      <c r="P133" s="8" t="str">
        <f>INDEX(Lookup!$H$5:$H$11,MATCH(D133,Lookup!$G$5:$G$11,0))&amp;
K133&amp;L133&amp;M133&amp;N133&amp;
INDEX(Lookup!$I$5:$I$11,MATCH(D133,Lookup!$G$5:$G$11,0))</f>
        <v xml:space="preserve">    - sensor.dark_sky_daily_low_apparent_temperature</v>
      </c>
    </row>
    <row r="134" spans="2:16" x14ac:dyDescent="0.45">
      <c r="B134">
        <f t="shared" si="6"/>
        <v>132</v>
      </c>
      <c r="C134">
        <f t="shared" si="5"/>
        <v>6</v>
      </c>
      <c r="D134" t="str">
        <f>VLOOKUP(C134,Lookup!$F$5:$G$11,2,FALSE)</f>
        <v>entities</v>
      </c>
      <c r="E134">
        <f>IF(D134=Lookup!$G$5,E133+1,E133)</f>
        <v>17</v>
      </c>
      <c r="F134" s="3">
        <f>INDEX(cards[Entities count],MATCH('card-code'!E134,cards[object_id order],0))</f>
        <v>13</v>
      </c>
      <c r="G134">
        <f>IF(D133=Lookup!$G$9,1,IF(D133=Lookup!$G$10,G133+1,""))</f>
        <v>10</v>
      </c>
      <c r="H134">
        <f>IF(F134=1,  IF(D134=Lookup!$G$9,2,1),  IF(G134&lt;F134-1,0,1)  )</f>
        <v>0</v>
      </c>
      <c r="I134">
        <f>IF(D134&lt;&gt;Lookup!$G$7,0,IF(INDEX(cards[name],MATCH(E134,cards[object_id order],0))&lt;&gt;"",0,1))</f>
        <v>0</v>
      </c>
      <c r="J134">
        <f>IF(D134&lt;&gt;Lookup!$G$7,0,IF(INDEX(cards[icon],MATCH(E134,cards[object_id order],0))&lt;&gt;"",0,1))</f>
        <v>0</v>
      </c>
      <c r="K134" t="str">
        <f>IF(D134=Lookup!$G$6,INDEX(cards[object_id],MATCH('card-code'!E134,cards[object_id order],0)),"")</f>
        <v/>
      </c>
      <c r="L134" t="str">
        <f>IF(D134=Lookup!$G$7,INDEX(cards[name],MATCH('card-code'!E134,cards[object_id order],0)),"")</f>
        <v/>
      </c>
      <c r="M134" t="str">
        <f>IF($D134=Lookup!$L$9,INDEX(cards[icon],MATCH($E134,cards[object_id order],0)),"")</f>
        <v/>
      </c>
      <c r="N134" t="str">
        <f>IF(OR(D134=Lookup!$G$10,D134=Lookup!$G$11),INDEX(cards[[1]:[25]],MATCH($E134,cards[object_id order],0),'card-code'!G134),"")</f>
        <v>sensor.dark_sky_cloud_coverage</v>
      </c>
      <c r="O134" t="str">
        <f t="shared" si="7"/>
        <v/>
      </c>
      <c r="P134" s="8" t="str">
        <f>INDEX(Lookup!$H$5:$H$11,MATCH(D134,Lookup!$G$5:$G$11,0))&amp;
K134&amp;L134&amp;M134&amp;N134&amp;
INDEX(Lookup!$I$5:$I$11,MATCH(D134,Lookup!$G$5:$G$11,0))</f>
        <v xml:space="preserve">    - sensor.dark_sky_cloud_coverage</v>
      </c>
    </row>
    <row r="135" spans="2:16" x14ac:dyDescent="0.45">
      <c r="B135">
        <f t="shared" si="6"/>
        <v>133</v>
      </c>
      <c r="C135">
        <f t="shared" ref="C135:C198" si="8">IF(C134=7,  1,  C134+SUM(H134:J134)  )</f>
        <v>6</v>
      </c>
      <c r="D135" t="str">
        <f>VLOOKUP(C135,Lookup!$F$5:$G$11,2,FALSE)</f>
        <v>entities</v>
      </c>
      <c r="E135">
        <f>IF(D135=Lookup!$G$5,E134+1,E134)</f>
        <v>17</v>
      </c>
      <c r="F135" s="3">
        <f>INDEX(cards[Entities count],MATCH('card-code'!E135,cards[object_id order],0))</f>
        <v>13</v>
      </c>
      <c r="G135">
        <f>IF(D134=Lookup!$G$9,1,IF(D134=Lookup!$G$10,G134+1,""))</f>
        <v>11</v>
      </c>
      <c r="H135">
        <f>IF(F135=1,  IF(D135=Lookup!$G$9,2,1),  IF(G135&lt;F135-1,0,1)  )</f>
        <v>0</v>
      </c>
      <c r="I135">
        <f>IF(D135&lt;&gt;Lookup!$G$7,0,IF(INDEX(cards[name],MATCH(E135,cards[object_id order],0))&lt;&gt;"",0,1))</f>
        <v>0</v>
      </c>
      <c r="J135">
        <f>IF(D135&lt;&gt;Lookup!$G$7,0,IF(INDEX(cards[icon],MATCH(E135,cards[object_id order],0))&lt;&gt;"",0,1))</f>
        <v>0</v>
      </c>
      <c r="K135" t="str">
        <f>IF(D135=Lookup!$G$6,INDEX(cards[object_id],MATCH('card-code'!E135,cards[object_id order],0)),"")</f>
        <v/>
      </c>
      <c r="L135" t="str">
        <f>IF(D135=Lookup!$G$7,INDEX(cards[name],MATCH('card-code'!E135,cards[object_id order],0)),"")</f>
        <v/>
      </c>
      <c r="M135" t="str">
        <f>IF($D135=Lookup!$L$9,INDEX(cards[icon],MATCH($E135,cards[object_id order],0)),"")</f>
        <v/>
      </c>
      <c r="N135" t="str">
        <f>IF(OR(D135=Lookup!$G$10,D135=Lookup!$G$11),INDEX(cards[[1]:[25]],MATCH($E135,cards[object_id order],0),'card-code'!G135),"")</f>
        <v>sensor.dark_sky_humidity</v>
      </c>
      <c r="O135" t="str">
        <f t="shared" si="7"/>
        <v/>
      </c>
      <c r="P135" s="8" t="str">
        <f>INDEX(Lookup!$H$5:$H$11,MATCH(D135,Lookup!$G$5:$G$11,0))&amp;
K135&amp;L135&amp;M135&amp;N135&amp;
INDEX(Lookup!$I$5:$I$11,MATCH(D135,Lookup!$G$5:$G$11,0))</f>
        <v xml:space="preserve">    - sensor.dark_sky_humidity</v>
      </c>
    </row>
    <row r="136" spans="2:16" x14ac:dyDescent="0.45">
      <c r="B136">
        <f t="shared" si="6"/>
        <v>134</v>
      </c>
      <c r="C136">
        <f t="shared" si="8"/>
        <v>6</v>
      </c>
      <c r="D136" t="str">
        <f>VLOOKUP(C136,Lookup!$F$5:$G$11,2,FALSE)</f>
        <v>entities</v>
      </c>
      <c r="E136">
        <f>IF(D136=Lookup!$G$5,E135+1,E135)</f>
        <v>17</v>
      </c>
      <c r="F136" s="3">
        <f>INDEX(cards[Entities count],MATCH('card-code'!E136,cards[object_id order],0))</f>
        <v>13</v>
      </c>
      <c r="G136">
        <f>IF(D135=Lookup!$G$9,1,IF(D135=Lookup!$G$10,G135+1,""))</f>
        <v>12</v>
      </c>
      <c r="H136">
        <f>IF(F136=1,  IF(D136=Lookup!$G$9,2,1),  IF(G136&lt;F136-1,0,1)  )</f>
        <v>1</v>
      </c>
      <c r="I136">
        <f>IF(D136&lt;&gt;Lookup!$G$7,0,IF(INDEX(cards[name],MATCH(E136,cards[object_id order],0))&lt;&gt;"",0,1))</f>
        <v>0</v>
      </c>
      <c r="J136">
        <f>IF(D136&lt;&gt;Lookup!$G$7,0,IF(INDEX(cards[icon],MATCH(E136,cards[object_id order],0))&lt;&gt;"",0,1))</f>
        <v>0</v>
      </c>
      <c r="K136" t="str">
        <f>IF(D136=Lookup!$G$6,INDEX(cards[object_id],MATCH('card-code'!E136,cards[object_id order],0)),"")</f>
        <v/>
      </c>
      <c r="L136" t="str">
        <f>IF(D136=Lookup!$G$7,INDEX(cards[name],MATCH('card-code'!E136,cards[object_id order],0)),"")</f>
        <v/>
      </c>
      <c r="M136" t="str">
        <f>IF($D136=Lookup!$L$9,INDEX(cards[icon],MATCH($E136,cards[object_id order],0)),"")</f>
        <v/>
      </c>
      <c r="N136" t="str">
        <f>IF(OR(D136=Lookup!$G$10,D136=Lookup!$G$11),INDEX(cards[[1]:[25]],MATCH($E136,cards[object_id order],0),'card-code'!G136),"")</f>
        <v>sensor.dark_sky_visibility</v>
      </c>
      <c r="O136" t="str">
        <f t="shared" si="7"/>
        <v/>
      </c>
      <c r="P136" s="8" t="str">
        <f>INDEX(Lookup!$H$5:$H$11,MATCH(D136,Lookup!$G$5:$G$11,0))&amp;
K136&amp;L136&amp;M136&amp;N136&amp;
INDEX(Lookup!$I$5:$I$11,MATCH(D136,Lookup!$G$5:$G$11,0))</f>
        <v xml:space="preserve">    - sensor.dark_sky_visibility</v>
      </c>
    </row>
    <row r="137" spans="2:16" x14ac:dyDescent="0.45">
      <c r="B137">
        <f t="shared" si="6"/>
        <v>135</v>
      </c>
      <c r="C137">
        <f t="shared" si="8"/>
        <v>7</v>
      </c>
      <c r="D137" t="str">
        <f>VLOOKUP(C137,Lookup!$F$5:$G$11,2,FALSE)</f>
        <v>entities end</v>
      </c>
      <c r="E137">
        <f>IF(D137=Lookup!$G$5,E136+1,E136)</f>
        <v>17</v>
      </c>
      <c r="F137" s="3">
        <f>INDEX(cards[Entities count],MATCH('card-code'!E137,cards[object_id order],0))</f>
        <v>13</v>
      </c>
      <c r="G137">
        <f>IF(D136=Lookup!$G$9,1,IF(D136=Lookup!$G$10,G136+1,""))</f>
        <v>13</v>
      </c>
      <c r="H137">
        <f>IF(F137=1,  IF(D137=Lookup!$G$9,2,1),  IF(G137&lt;F137-1,0,1)  )</f>
        <v>1</v>
      </c>
      <c r="I137">
        <f>IF(D137&lt;&gt;Lookup!$G$7,0,IF(INDEX(cards[name],MATCH(E137,cards[object_id order],0))&lt;&gt;"",0,1))</f>
        <v>0</v>
      </c>
      <c r="J137">
        <f>IF(D137&lt;&gt;Lookup!$G$7,0,IF(INDEX(cards[icon],MATCH(E137,cards[object_id order],0))&lt;&gt;"",0,1))</f>
        <v>0</v>
      </c>
      <c r="K137" t="str">
        <f>IF(D137=Lookup!$G$6,INDEX(cards[object_id],MATCH('card-code'!E137,cards[object_id order],0)),"")</f>
        <v/>
      </c>
      <c r="L137" t="str">
        <f>IF(D137=Lookup!$G$7,INDEX(cards[name],MATCH('card-code'!E137,cards[object_id order],0)),"")</f>
        <v/>
      </c>
      <c r="M137" t="str">
        <f>IF($D137=Lookup!$L$9,INDEX(cards[icon],MATCH($E137,cards[object_id order],0)),"")</f>
        <v/>
      </c>
      <c r="N137" t="str">
        <f>IF(OR(D137=Lookup!$G$10,D137=Lookup!$G$11),INDEX(cards[[1]:[25]],MATCH($E137,cards[object_id order],0),'card-code'!G137),"")</f>
        <v>sun.sun</v>
      </c>
      <c r="O137" t="str">
        <f t="shared" si="7"/>
        <v/>
      </c>
      <c r="P137" s="8" t="str">
        <f>INDEX(Lookup!$H$5:$H$11,MATCH(D137,Lookup!$G$5:$G$11,0))&amp;
K137&amp;L137&amp;M137&amp;N137&amp;
INDEX(Lookup!$I$5:$I$11,MATCH(D137,Lookup!$G$5:$G$11,0))</f>
        <v xml:space="preserve">    - sun.sun</v>
      </c>
    </row>
    <row r="138" spans="2:16" x14ac:dyDescent="0.45">
      <c r="B138">
        <f t="shared" si="6"/>
        <v>136</v>
      </c>
      <c r="C138">
        <f t="shared" si="8"/>
        <v>1</v>
      </c>
      <c r="D138" t="str">
        <f>VLOOKUP(C138,Lookup!$F$5:$G$11,2,FALSE)</f>
        <v>blank</v>
      </c>
      <c r="E138">
        <f>IF(D138=Lookup!$G$5,E137+1,E137)</f>
        <v>18</v>
      </c>
      <c r="F138" s="3">
        <f>INDEX(cards[Entities count],MATCH('card-code'!E138,cards[object_id order],0))</f>
        <v>5</v>
      </c>
      <c r="G138" t="str">
        <f>IF(D137=Lookup!$G$9,1,IF(D137=Lookup!$G$10,G137+1,""))</f>
        <v/>
      </c>
      <c r="H138">
        <f>IF(F138=1,  IF(D138=Lookup!$G$9,2,1),  IF(G138&lt;F138-1,0,1)  )</f>
        <v>1</v>
      </c>
      <c r="I138">
        <f>IF(D138&lt;&gt;Lookup!$G$7,0,IF(INDEX(cards[name],MATCH(E138,cards[object_id order],0))&lt;&gt;"",0,1))</f>
        <v>0</v>
      </c>
      <c r="J138">
        <f>IF(D138&lt;&gt;Lookup!$G$7,0,IF(INDEX(cards[icon],MATCH(E138,cards[object_id order],0))&lt;&gt;"",0,1))</f>
        <v>0</v>
      </c>
      <c r="K138" t="str">
        <f>IF(D138=Lookup!$G$6,INDEX(cards[object_id],MATCH('card-code'!E138,cards[object_id order],0)),"")</f>
        <v/>
      </c>
      <c r="L138" t="str">
        <f>IF(D138=Lookup!$G$7,INDEX(cards[name],MATCH('card-code'!E138,cards[object_id order],0)),"")</f>
        <v/>
      </c>
      <c r="M138" t="str">
        <f>IF($D138=Lookup!$L$9,INDEX(cards[icon],MATCH($E138,cards[object_id order],0)),"")</f>
        <v/>
      </c>
      <c r="N138" t="str">
        <f>IF(OR(D138=Lookup!$G$10,D138=Lookup!$G$11),INDEX(cards[[1]:[25]],MATCH($E138,cards[object_id order],0),'card-code'!G138),"")</f>
        <v/>
      </c>
      <c r="O138" t="str">
        <f t="shared" si="7"/>
        <v/>
      </c>
      <c r="P138" s="8" t="str">
        <f>INDEX(Lookup!$H$5:$H$11,MATCH(D138,Lookup!$G$5:$G$11,0))&amp;
K138&amp;L138&amp;M138&amp;N138&amp;
INDEX(Lookup!$I$5:$I$11,MATCH(D138,Lookup!$G$5:$G$11,0))</f>
        <v/>
      </c>
    </row>
    <row r="139" spans="2:16" x14ac:dyDescent="0.45">
      <c r="B139">
        <f t="shared" si="6"/>
        <v>137</v>
      </c>
      <c r="C139">
        <f t="shared" si="8"/>
        <v>2</v>
      </c>
      <c r="D139" t="str">
        <f>VLOOKUP(C139,Lookup!$F$5:$G$11,2,FALSE)</f>
        <v>card</v>
      </c>
      <c r="E139">
        <f>IF(D139=Lookup!$G$5,E138+1,E138)</f>
        <v>18</v>
      </c>
      <c r="F139" s="3">
        <f>INDEX(cards[Entities count],MATCH('card-code'!E139,cards[object_id order],0))</f>
        <v>5</v>
      </c>
      <c r="G139" t="str">
        <f>IF(D138=Lookup!$G$9,1,IF(D138=Lookup!$G$10,G138+1,""))</f>
        <v/>
      </c>
      <c r="H139">
        <f>IF(F139=1,  IF(D139=Lookup!$G$9,2,1),  IF(G139&lt;F139-1,0,1)  )</f>
        <v>1</v>
      </c>
      <c r="I139">
        <f>IF(D139&lt;&gt;Lookup!$G$7,0,IF(INDEX(cards[name],MATCH(E139,cards[object_id order],0))&lt;&gt;"",0,1))</f>
        <v>0</v>
      </c>
      <c r="J139">
        <f>IF(D139&lt;&gt;Lookup!$G$7,0,IF(INDEX(cards[icon],MATCH(E139,cards[object_id order],0))&lt;&gt;"",0,1))</f>
        <v>0</v>
      </c>
      <c r="K139" t="str">
        <f>IF(D139=Lookup!$G$6,INDEX(cards[object_id],MATCH('card-code'!E139,cards[object_id order],0)),"")</f>
        <v>environment_living_room</v>
      </c>
      <c r="L139" t="str">
        <f>IF(D139=Lookup!$G$7,INDEX(cards[name],MATCH('card-code'!E139,cards[object_id order],0)),"")</f>
        <v/>
      </c>
      <c r="M139" t="str">
        <f>IF($D139=Lookup!$L$9,INDEX(cards[icon],MATCH($E139,cards[object_id order],0)),"")</f>
        <v/>
      </c>
      <c r="N139" t="str">
        <f>IF(OR(D139=Lookup!$G$10,D139=Lookup!$G$11),INDEX(cards[[1]:[25]],MATCH($E139,cards[object_id order],0),'card-code'!G139),"")</f>
        <v/>
      </c>
      <c r="O139" t="str">
        <f t="shared" si="7"/>
        <v/>
      </c>
      <c r="P139" s="8" t="str">
        <f>INDEX(Lookup!$H$5:$H$11,MATCH(D139,Lookup!$G$5:$G$11,0))&amp;
K139&amp;L139&amp;M139&amp;N139&amp;
INDEX(Lookup!$I$5:$I$11,MATCH(D139,Lookup!$G$5:$G$11,0))</f>
        <v>environment_living_room:</v>
      </c>
    </row>
    <row r="140" spans="2:16" x14ac:dyDescent="0.45">
      <c r="B140">
        <f t="shared" si="6"/>
        <v>138</v>
      </c>
      <c r="C140">
        <f t="shared" si="8"/>
        <v>3</v>
      </c>
      <c r="D140" t="str">
        <f>VLOOKUP(C140,Lookup!$F$5:$G$11,2,FALSE)</f>
        <v>name</v>
      </c>
      <c r="E140">
        <f>IF(D140=Lookup!$G$5,E139+1,E139)</f>
        <v>18</v>
      </c>
      <c r="F140" s="3">
        <f>INDEX(cards[Entities count],MATCH('card-code'!E140,cards[object_id order],0))</f>
        <v>5</v>
      </c>
      <c r="G140" t="str">
        <f>IF(D139=Lookup!$G$9,1,IF(D139=Lookup!$G$10,G139+1,""))</f>
        <v/>
      </c>
      <c r="H140">
        <f>IF(F140=1,  IF(D140=Lookup!$G$9,2,1),  IF(G140&lt;F140-1,0,1)  )</f>
        <v>1</v>
      </c>
      <c r="I140">
        <f>IF(D140&lt;&gt;Lookup!$G$7,0,IF(INDEX(cards[name],MATCH(E140,cards[object_id order],0))&lt;&gt;"",0,1))</f>
        <v>0</v>
      </c>
      <c r="J140">
        <f>IF(D140&lt;&gt;Lookup!$G$7,0,IF(INDEX(cards[icon],MATCH(E140,cards[object_id order],0))&lt;&gt;"",0,1))</f>
        <v>1</v>
      </c>
      <c r="K140" t="str">
        <f>IF(D140=Lookup!$G$6,INDEX(cards[object_id],MATCH('card-code'!E140,cards[object_id order],0)),"")</f>
        <v/>
      </c>
      <c r="L140" t="str">
        <f>IF(D140=Lookup!$G$7,INDEX(cards[name],MATCH('card-code'!E140,cards[object_id order],0)),"")</f>
        <v>Environment || Living Room</v>
      </c>
      <c r="M140" t="str">
        <f>IF($D140=Lookup!$L$9,INDEX(cards[icon],MATCH($E140,cards[object_id order],0)),"")</f>
        <v/>
      </c>
      <c r="N140" t="str">
        <f>IF(OR(D140=Lookup!$G$10,D140=Lookup!$G$11),INDEX(cards[[1]:[25]],MATCH($E140,cards[object_id order],0),'card-code'!G140),"")</f>
        <v/>
      </c>
      <c r="O140" t="str">
        <f t="shared" si="7"/>
        <v/>
      </c>
      <c r="P140" s="8" t="str">
        <f>INDEX(Lookup!$H$5:$H$11,MATCH(D140,Lookup!$G$5:$G$11,0))&amp;
K140&amp;L140&amp;M140&amp;N140&amp;
INDEX(Lookup!$I$5:$I$11,MATCH(D140,Lookup!$G$5:$G$11,0))</f>
        <v xml:space="preserve">  name: "Environment || Living Room"</v>
      </c>
    </row>
    <row r="141" spans="2:16" x14ac:dyDescent="0.45">
      <c r="B141">
        <f t="shared" si="6"/>
        <v>139</v>
      </c>
      <c r="C141">
        <f t="shared" si="8"/>
        <v>5</v>
      </c>
      <c r="D141" t="str">
        <f>VLOOKUP(C141,Lookup!$F$5:$G$11,2,FALSE)</f>
        <v>entities header</v>
      </c>
      <c r="E141">
        <f>IF(D141=Lookup!$G$5,E140+1,E140)</f>
        <v>18</v>
      </c>
      <c r="F141" s="3">
        <f>INDEX(cards[Entities count],MATCH('card-code'!E141,cards[object_id order],0))</f>
        <v>5</v>
      </c>
      <c r="G141" t="str">
        <f>IF(D140=Lookup!$G$9,1,IF(D140=Lookup!$G$10,G140+1,""))</f>
        <v/>
      </c>
      <c r="H141">
        <f>IF(F141=1,  IF(D141=Lookup!$G$9,2,1),  IF(G141&lt;F141-1,0,1)  )</f>
        <v>1</v>
      </c>
      <c r="I141">
        <f>IF(D141&lt;&gt;Lookup!$G$7,0,IF(INDEX(cards[name],MATCH(E141,cards[object_id order],0))&lt;&gt;"",0,1))</f>
        <v>0</v>
      </c>
      <c r="J141">
        <f>IF(D141&lt;&gt;Lookup!$G$7,0,IF(INDEX(cards[icon],MATCH(E141,cards[object_id order],0))&lt;&gt;"",0,1))</f>
        <v>0</v>
      </c>
      <c r="K141" t="str">
        <f>IF(D141=Lookup!$G$6,INDEX(cards[object_id],MATCH('card-code'!E141,cards[object_id order],0)),"")</f>
        <v/>
      </c>
      <c r="L141" t="str">
        <f>IF(D141=Lookup!$G$7,INDEX(cards[name],MATCH('card-code'!E141,cards[object_id order],0)),"")</f>
        <v/>
      </c>
      <c r="M141" t="str">
        <f>IF($D141=Lookup!$L$9,INDEX(cards[icon],MATCH($E141,cards[object_id order],0)),"")</f>
        <v/>
      </c>
      <c r="N141" t="str">
        <f>IF(OR(D141=Lookup!$G$10,D141=Lookup!$G$11),INDEX(cards[[1]:[25]],MATCH($E141,cards[object_id order],0),'card-code'!G141),"")</f>
        <v/>
      </c>
      <c r="O141" t="str">
        <f t="shared" si="7"/>
        <v/>
      </c>
      <c r="P141" s="8" t="str">
        <f>INDEX(Lookup!$H$5:$H$11,MATCH(D141,Lookup!$G$5:$G$11,0))&amp;
K141&amp;L141&amp;M141&amp;N141&amp;
INDEX(Lookup!$I$5:$I$11,MATCH(D141,Lookup!$G$5:$G$11,0))</f>
        <v xml:space="preserve">  entities:</v>
      </c>
    </row>
    <row r="142" spans="2:16" x14ac:dyDescent="0.45">
      <c r="B142">
        <f t="shared" si="6"/>
        <v>140</v>
      </c>
      <c r="C142">
        <f t="shared" si="8"/>
        <v>6</v>
      </c>
      <c r="D142" t="str">
        <f>VLOOKUP(C142,Lookup!$F$5:$G$11,2,FALSE)</f>
        <v>entities</v>
      </c>
      <c r="E142">
        <f>IF(D142=Lookup!$G$5,E141+1,E141)</f>
        <v>18</v>
      </c>
      <c r="F142" s="3">
        <f>INDEX(cards[Entities count],MATCH('card-code'!E142,cards[object_id order],0))</f>
        <v>5</v>
      </c>
      <c r="G142">
        <f>IF(D141=Lookup!$G$9,1,IF(D141=Lookup!$G$10,G141+1,""))</f>
        <v>1</v>
      </c>
      <c r="H142">
        <f>IF(F142=1,  IF(D142=Lookup!$G$9,2,1),  IF(G142&lt;F142-1,0,1)  )</f>
        <v>0</v>
      </c>
      <c r="I142">
        <f>IF(D142&lt;&gt;Lookup!$G$7,0,IF(INDEX(cards[name],MATCH(E142,cards[object_id order],0))&lt;&gt;"",0,1))</f>
        <v>0</v>
      </c>
      <c r="J142">
        <f>IF(D142&lt;&gt;Lookup!$G$7,0,IF(INDEX(cards[icon],MATCH(E142,cards[object_id order],0))&lt;&gt;"",0,1))</f>
        <v>0</v>
      </c>
      <c r="K142" t="str">
        <f>IF(D142=Lookup!$G$6,INDEX(cards[object_id],MATCH('card-code'!E142,cards[object_id order],0)),"")</f>
        <v/>
      </c>
      <c r="L142" t="str">
        <f>IF(D142=Lookup!$G$7,INDEX(cards[name],MATCH('card-code'!E142,cards[object_id order],0)),"")</f>
        <v/>
      </c>
      <c r="M142" t="str">
        <f>IF($D142=Lookup!$L$9,INDEX(cards[icon],MATCH($E142,cards[object_id order],0)),"")</f>
        <v/>
      </c>
      <c r="N142" t="str">
        <f>IF(OR(D142=Lookup!$G$10,D142=Lookup!$G$11),INDEX(cards[[1]:[25]],MATCH($E142,cards[object_id order],0),'card-code'!G142),"")</f>
        <v>sensor.temperature_sensor_12</v>
      </c>
      <c r="O142" t="str">
        <f t="shared" si="7"/>
        <v/>
      </c>
      <c r="P142" s="8" t="str">
        <f>INDEX(Lookup!$H$5:$H$11,MATCH(D142,Lookup!$G$5:$G$11,0))&amp;
K142&amp;L142&amp;M142&amp;N142&amp;
INDEX(Lookup!$I$5:$I$11,MATCH(D142,Lookup!$G$5:$G$11,0))</f>
        <v xml:space="preserve">    - sensor.temperature_sensor_12</v>
      </c>
    </row>
    <row r="143" spans="2:16" x14ac:dyDescent="0.45">
      <c r="B143">
        <f t="shared" si="6"/>
        <v>141</v>
      </c>
      <c r="C143">
        <f t="shared" si="8"/>
        <v>6</v>
      </c>
      <c r="D143" t="str">
        <f>VLOOKUP(C143,Lookup!$F$5:$G$11,2,FALSE)</f>
        <v>entities</v>
      </c>
      <c r="E143">
        <f>IF(D143=Lookup!$G$5,E142+1,E142)</f>
        <v>18</v>
      </c>
      <c r="F143" s="3">
        <f>INDEX(cards[Entities count],MATCH('card-code'!E143,cards[object_id order],0))</f>
        <v>5</v>
      </c>
      <c r="G143">
        <f>IF(D142=Lookup!$G$9,1,IF(D142=Lookup!$G$10,G142+1,""))</f>
        <v>2</v>
      </c>
      <c r="H143">
        <f>IF(F143=1,  IF(D143=Lookup!$G$9,2,1),  IF(G143&lt;F143-1,0,1)  )</f>
        <v>0</v>
      </c>
      <c r="I143">
        <f>IF(D143&lt;&gt;Lookup!$G$7,0,IF(INDEX(cards[name],MATCH(E143,cards[object_id order],0))&lt;&gt;"",0,1))</f>
        <v>0</v>
      </c>
      <c r="J143">
        <f>IF(D143&lt;&gt;Lookup!$G$7,0,IF(INDEX(cards[icon],MATCH(E143,cards[object_id order],0))&lt;&gt;"",0,1))</f>
        <v>0</v>
      </c>
      <c r="K143" t="str">
        <f>IF(D143=Lookup!$G$6,INDEX(cards[object_id],MATCH('card-code'!E143,cards[object_id order],0)),"")</f>
        <v/>
      </c>
      <c r="L143" t="str">
        <f>IF(D143=Lookup!$G$7,INDEX(cards[name],MATCH('card-code'!E143,cards[object_id order],0)),"")</f>
        <v/>
      </c>
      <c r="M143" t="str">
        <f>IF($D143=Lookup!$L$9,INDEX(cards[icon],MATCH($E143,cards[object_id order],0)),"")</f>
        <v/>
      </c>
      <c r="N143" t="str">
        <f>IF(OR(D143=Lookup!$G$10,D143=Lookup!$G$11),INDEX(cards[[1]:[25]],MATCH($E143,cards[object_id order],0),'card-code'!G143),"")</f>
        <v>sensor.light_sensor_13</v>
      </c>
      <c r="O143" t="str">
        <f t="shared" si="7"/>
        <v/>
      </c>
      <c r="P143" s="8" t="str">
        <f>INDEX(Lookup!$H$5:$H$11,MATCH(D143,Lookup!$G$5:$G$11,0))&amp;
K143&amp;L143&amp;M143&amp;N143&amp;
INDEX(Lookup!$I$5:$I$11,MATCH(D143,Lookup!$G$5:$G$11,0))</f>
        <v xml:space="preserve">    - sensor.light_sensor_13</v>
      </c>
    </row>
    <row r="144" spans="2:16" x14ac:dyDescent="0.45">
      <c r="B144">
        <f t="shared" si="6"/>
        <v>142</v>
      </c>
      <c r="C144">
        <f t="shared" si="8"/>
        <v>6</v>
      </c>
      <c r="D144" t="str">
        <f>VLOOKUP(C144,Lookup!$F$5:$G$11,2,FALSE)</f>
        <v>entities</v>
      </c>
      <c r="E144">
        <f>IF(D144=Lookup!$G$5,E143+1,E143)</f>
        <v>18</v>
      </c>
      <c r="F144" s="3">
        <f>INDEX(cards[Entities count],MATCH('card-code'!E144,cards[object_id order],0))</f>
        <v>5</v>
      </c>
      <c r="G144">
        <f>IF(D143=Lookup!$G$9,1,IF(D143=Lookup!$G$10,G143+1,""))</f>
        <v>3</v>
      </c>
      <c r="H144">
        <f>IF(F144=1,  IF(D144=Lookup!$G$9,2,1),  IF(G144&lt;F144-1,0,1)  )</f>
        <v>0</v>
      </c>
      <c r="I144">
        <f>IF(D144&lt;&gt;Lookup!$G$7,0,IF(INDEX(cards[name],MATCH(E144,cards[object_id order],0))&lt;&gt;"",0,1))</f>
        <v>0</v>
      </c>
      <c r="J144">
        <f>IF(D144&lt;&gt;Lookup!$G$7,0,IF(INDEX(cards[icon],MATCH(E144,cards[object_id order],0))&lt;&gt;"",0,1))</f>
        <v>0</v>
      </c>
      <c r="K144" t="str">
        <f>IF(D144=Lookup!$G$6,INDEX(cards[object_id],MATCH('card-code'!E144,cards[object_id order],0)),"")</f>
        <v/>
      </c>
      <c r="L144" t="str">
        <f>IF(D144=Lookup!$G$7,INDEX(cards[name],MATCH('card-code'!E144,cards[object_id order],0)),"")</f>
        <v/>
      </c>
      <c r="M144" t="str">
        <f>IF($D144=Lookup!$L$9,INDEX(cards[icon],MATCH($E144,cards[object_id order],0)),"")</f>
        <v/>
      </c>
      <c r="N144" t="str">
        <f>IF(OR(D144=Lookup!$G$10,D144=Lookup!$G$11),INDEX(cards[[1]:[25]],MATCH($E144,cards[object_id order],0),'card-code'!G144),"")</f>
        <v>sensor.humidity_sensor_14</v>
      </c>
      <c r="O144" t="str">
        <f t="shared" si="7"/>
        <v/>
      </c>
      <c r="P144" s="8" t="str">
        <f>INDEX(Lookup!$H$5:$H$11,MATCH(D144,Lookup!$G$5:$G$11,0))&amp;
K144&amp;L144&amp;M144&amp;N144&amp;
INDEX(Lookup!$I$5:$I$11,MATCH(D144,Lookup!$G$5:$G$11,0))</f>
        <v xml:space="preserve">    - sensor.humidity_sensor_14</v>
      </c>
    </row>
    <row r="145" spans="2:16" x14ac:dyDescent="0.45">
      <c r="B145">
        <f t="shared" si="6"/>
        <v>143</v>
      </c>
      <c r="C145">
        <f t="shared" si="8"/>
        <v>6</v>
      </c>
      <c r="D145" t="str">
        <f>VLOOKUP(C145,Lookup!$F$5:$G$11,2,FALSE)</f>
        <v>entities</v>
      </c>
      <c r="E145">
        <f>IF(D145=Lookup!$G$5,E144+1,E144)</f>
        <v>18</v>
      </c>
      <c r="F145" s="3">
        <f>INDEX(cards[Entities count],MATCH('card-code'!E145,cards[object_id order],0))</f>
        <v>5</v>
      </c>
      <c r="G145">
        <f>IF(D144=Lookup!$G$9,1,IF(D144=Lookup!$G$10,G144+1,""))</f>
        <v>4</v>
      </c>
      <c r="H145">
        <f>IF(F145=1,  IF(D145=Lookup!$G$9,2,1),  IF(G145&lt;F145-1,0,1)  )</f>
        <v>1</v>
      </c>
      <c r="I145">
        <f>IF(D145&lt;&gt;Lookup!$G$7,0,IF(INDEX(cards[name],MATCH(E145,cards[object_id order],0))&lt;&gt;"",0,1))</f>
        <v>0</v>
      </c>
      <c r="J145">
        <f>IF(D145&lt;&gt;Lookup!$G$7,0,IF(INDEX(cards[icon],MATCH(E145,cards[object_id order],0))&lt;&gt;"",0,1))</f>
        <v>0</v>
      </c>
      <c r="K145" t="str">
        <f>IF(D145=Lookup!$G$6,INDEX(cards[object_id],MATCH('card-code'!E145,cards[object_id order],0)),"")</f>
        <v/>
      </c>
      <c r="L145" t="str">
        <f>IF(D145=Lookup!$G$7,INDEX(cards[name],MATCH('card-code'!E145,cards[object_id order],0)),"")</f>
        <v/>
      </c>
      <c r="M145" t="str">
        <f>IF($D145=Lookup!$L$9,INDEX(cards[icon],MATCH($E145,cards[object_id order],0)),"")</f>
        <v/>
      </c>
      <c r="N145" t="str">
        <f>IF(OR(D145=Lookup!$G$10,D145=Lookup!$G$11),INDEX(cards[[1]:[25]],MATCH($E145,cards[object_id order],0),'card-code'!G145),"")</f>
        <v>binary_sensor.multi_sensor_4</v>
      </c>
      <c r="O145" t="str">
        <f t="shared" si="7"/>
        <v/>
      </c>
      <c r="P145" s="8" t="str">
        <f>INDEX(Lookup!$H$5:$H$11,MATCH(D145,Lookup!$G$5:$G$11,0))&amp;
K145&amp;L145&amp;M145&amp;N145&amp;
INDEX(Lookup!$I$5:$I$11,MATCH(D145,Lookup!$G$5:$G$11,0))</f>
        <v xml:space="preserve">    - binary_sensor.multi_sensor_4</v>
      </c>
    </row>
    <row r="146" spans="2:16" x14ac:dyDescent="0.45">
      <c r="B146">
        <f t="shared" si="6"/>
        <v>144</v>
      </c>
      <c r="C146">
        <f t="shared" si="8"/>
        <v>7</v>
      </c>
      <c r="D146" t="str">
        <f>VLOOKUP(C146,Lookup!$F$5:$G$11,2,FALSE)</f>
        <v>entities end</v>
      </c>
      <c r="E146">
        <f>IF(D146=Lookup!$G$5,E145+1,E145)</f>
        <v>18</v>
      </c>
      <c r="F146" s="3">
        <f>INDEX(cards[Entities count],MATCH('card-code'!E146,cards[object_id order],0))</f>
        <v>5</v>
      </c>
      <c r="G146">
        <f>IF(D145=Lookup!$G$9,1,IF(D145=Lookup!$G$10,G145+1,""))</f>
        <v>5</v>
      </c>
      <c r="H146">
        <f>IF(F146=1,  IF(D146=Lookup!$G$9,2,1),  IF(G146&lt;F146-1,0,1)  )</f>
        <v>1</v>
      </c>
      <c r="I146">
        <f>IF(D146&lt;&gt;Lookup!$G$7,0,IF(INDEX(cards[name],MATCH(E146,cards[object_id order],0))&lt;&gt;"",0,1))</f>
        <v>0</v>
      </c>
      <c r="J146">
        <f>IF(D146&lt;&gt;Lookup!$G$7,0,IF(INDEX(cards[icon],MATCH(E146,cards[object_id order],0))&lt;&gt;"",0,1))</f>
        <v>0</v>
      </c>
      <c r="K146" t="str">
        <f>IF(D146=Lookup!$G$6,INDEX(cards[object_id],MATCH('card-code'!E146,cards[object_id order],0)),"")</f>
        <v/>
      </c>
      <c r="L146" t="str">
        <f>IF(D146=Lookup!$G$7,INDEX(cards[name],MATCH('card-code'!E146,cards[object_id order],0)),"")</f>
        <v/>
      </c>
      <c r="M146" t="str">
        <f>IF($D146=Lookup!$L$9,INDEX(cards[icon],MATCH($E146,cards[object_id order],0)),"")</f>
        <v/>
      </c>
      <c r="N146" t="str">
        <f>IF(OR(D146=Lookup!$G$10,D146=Lookup!$G$11),INDEX(cards[[1]:[25]],MATCH($E146,cards[object_id order],0),'card-code'!G146),"")</f>
        <v>sensor.batt_multi_sensor</v>
      </c>
      <c r="O146" t="str">
        <f t="shared" si="7"/>
        <v/>
      </c>
      <c r="P146" s="8" t="str">
        <f>INDEX(Lookup!$H$5:$H$11,MATCH(D146,Lookup!$G$5:$G$11,0))&amp;
K146&amp;L146&amp;M146&amp;N146&amp;
INDEX(Lookup!$I$5:$I$11,MATCH(D146,Lookup!$G$5:$G$11,0))</f>
        <v xml:space="preserve">    - sensor.batt_multi_sensor</v>
      </c>
    </row>
    <row r="147" spans="2:16" x14ac:dyDescent="0.45">
      <c r="B147">
        <f t="shared" si="6"/>
        <v>145</v>
      </c>
      <c r="C147">
        <f t="shared" si="8"/>
        <v>1</v>
      </c>
      <c r="D147" t="str">
        <f>VLOOKUP(C147,Lookup!$F$5:$G$11,2,FALSE)</f>
        <v>blank</v>
      </c>
      <c r="E147">
        <f>IF(D147=Lookup!$G$5,E146+1,E146)</f>
        <v>19</v>
      </c>
      <c r="F147" s="3">
        <f>INDEX(cards[Entities count],MATCH('card-code'!E147,cards[object_id order],0))</f>
        <v>3</v>
      </c>
      <c r="G147" t="str">
        <f>IF(D146=Lookup!$G$9,1,IF(D146=Lookup!$G$10,G146+1,""))</f>
        <v/>
      </c>
      <c r="H147">
        <f>IF(F147=1,  IF(D147=Lookup!$G$9,2,1),  IF(G147&lt;F147-1,0,1)  )</f>
        <v>1</v>
      </c>
      <c r="I147">
        <f>IF(D147&lt;&gt;Lookup!$G$7,0,IF(INDEX(cards[name],MATCH(E147,cards[object_id order],0))&lt;&gt;"",0,1))</f>
        <v>0</v>
      </c>
      <c r="J147">
        <f>IF(D147&lt;&gt;Lookup!$G$7,0,IF(INDEX(cards[icon],MATCH(E147,cards[object_id order],0))&lt;&gt;"",0,1))</f>
        <v>0</v>
      </c>
      <c r="K147" t="str">
        <f>IF(D147=Lookup!$G$6,INDEX(cards[object_id],MATCH('card-code'!E147,cards[object_id order],0)),"")</f>
        <v/>
      </c>
      <c r="L147" t="str">
        <f>IF(D147=Lookup!$G$7,INDEX(cards[name],MATCH('card-code'!E147,cards[object_id order],0)),"")</f>
        <v/>
      </c>
      <c r="M147" t="str">
        <f>IF($D147=Lookup!$L$9,INDEX(cards[icon],MATCH($E147,cards[object_id order],0)),"")</f>
        <v/>
      </c>
      <c r="N147" t="str">
        <f>IF(OR(D147=Lookup!$G$10,D147=Lookup!$G$11),INDEX(cards[[1]:[25]],MATCH($E147,cards[object_id order],0),'card-code'!G147),"")</f>
        <v/>
      </c>
      <c r="O147" t="str">
        <f t="shared" si="7"/>
        <v/>
      </c>
      <c r="P147" s="8" t="str">
        <f>INDEX(Lookup!$H$5:$H$11,MATCH(D147,Lookup!$G$5:$G$11,0))&amp;
K147&amp;L147&amp;M147&amp;N147&amp;
INDEX(Lookup!$I$5:$I$11,MATCH(D147,Lookup!$G$5:$G$11,0))</f>
        <v/>
      </c>
    </row>
    <row r="148" spans="2:16" x14ac:dyDescent="0.45">
      <c r="B148">
        <f t="shared" si="6"/>
        <v>146</v>
      </c>
      <c r="C148">
        <f t="shared" si="8"/>
        <v>2</v>
      </c>
      <c r="D148" t="str">
        <f>VLOOKUP(C148,Lookup!$F$5:$G$11,2,FALSE)</f>
        <v>card</v>
      </c>
      <c r="E148">
        <f>IF(D148=Lookup!$G$5,E147+1,E147)</f>
        <v>19</v>
      </c>
      <c r="F148" s="3">
        <f>INDEX(cards[Entities count],MATCH('card-code'!E148,cards[object_id order],0))</f>
        <v>3</v>
      </c>
      <c r="G148" t="str">
        <f>IF(D147=Lookup!$G$9,1,IF(D147=Lookup!$G$10,G147+1,""))</f>
        <v/>
      </c>
      <c r="H148">
        <f>IF(F148=1,  IF(D148=Lookup!$G$9,2,1),  IF(G148&lt;F148-1,0,1)  )</f>
        <v>1</v>
      </c>
      <c r="I148">
        <f>IF(D148&lt;&gt;Lookup!$G$7,0,IF(INDEX(cards[name],MATCH(E148,cards[object_id order],0))&lt;&gt;"",0,1))</f>
        <v>0</v>
      </c>
      <c r="J148">
        <f>IF(D148&lt;&gt;Lookup!$G$7,0,IF(INDEX(cards[icon],MATCH(E148,cards[object_id order],0))&lt;&gt;"",0,1))</f>
        <v>0</v>
      </c>
      <c r="K148" t="str">
        <f>IF(D148=Lookup!$G$6,INDEX(cards[object_id],MATCH('card-code'!E148,cards[object_id order],0)),"")</f>
        <v>phones</v>
      </c>
      <c r="L148" t="str">
        <f>IF(D148=Lookup!$G$7,INDEX(cards[name],MATCH('card-code'!E148,cards[object_id order],0)),"")</f>
        <v/>
      </c>
      <c r="M148" t="str">
        <f>IF($D148=Lookup!$L$9,INDEX(cards[icon],MATCH($E148,cards[object_id order],0)),"")</f>
        <v/>
      </c>
      <c r="N148" t="str">
        <f>IF(OR(D148=Lookup!$G$10,D148=Lookup!$G$11),INDEX(cards[[1]:[25]],MATCH($E148,cards[object_id order],0),'card-code'!G148),"")</f>
        <v/>
      </c>
      <c r="O148" t="str">
        <f t="shared" si="7"/>
        <v/>
      </c>
      <c r="P148" s="8" t="str">
        <f>INDEX(Lookup!$H$5:$H$11,MATCH(D148,Lookup!$G$5:$G$11,0))&amp;
K148&amp;L148&amp;M148&amp;N148&amp;
INDEX(Lookup!$I$5:$I$11,MATCH(D148,Lookup!$G$5:$G$11,0))</f>
        <v>phones:</v>
      </c>
    </row>
    <row r="149" spans="2:16" x14ac:dyDescent="0.45">
      <c r="B149">
        <f t="shared" si="6"/>
        <v>147</v>
      </c>
      <c r="C149">
        <f t="shared" si="8"/>
        <v>3</v>
      </c>
      <c r="D149" t="str">
        <f>VLOOKUP(C149,Lookup!$F$5:$G$11,2,FALSE)</f>
        <v>name</v>
      </c>
      <c r="E149">
        <f>IF(D149=Lookup!$G$5,E148+1,E148)</f>
        <v>19</v>
      </c>
      <c r="F149" s="3">
        <f>INDEX(cards[Entities count],MATCH('card-code'!E149,cards[object_id order],0))</f>
        <v>3</v>
      </c>
      <c r="G149" t="str">
        <f>IF(D148=Lookup!$G$9,1,IF(D148=Lookup!$G$10,G148+1,""))</f>
        <v/>
      </c>
      <c r="H149">
        <f>IF(F149=1,  IF(D149=Lookup!$G$9,2,1),  IF(G149&lt;F149-1,0,1)  )</f>
        <v>1</v>
      </c>
      <c r="I149">
        <f>IF(D149&lt;&gt;Lookup!$G$7,0,IF(INDEX(cards[name],MATCH(E149,cards[object_id order],0))&lt;&gt;"",0,1))</f>
        <v>0</v>
      </c>
      <c r="J149">
        <f>IF(D149&lt;&gt;Lookup!$G$7,0,IF(INDEX(cards[icon],MATCH(E149,cards[object_id order],0))&lt;&gt;"",0,1))</f>
        <v>1</v>
      </c>
      <c r="K149" t="str">
        <f>IF(D149=Lookup!$G$6,INDEX(cards[object_id],MATCH('card-code'!E149,cards[object_id order],0)),"")</f>
        <v/>
      </c>
      <c r="L149" t="str">
        <f>IF(D149=Lookup!$G$7,INDEX(cards[name],MATCH('card-code'!E149,cards[object_id order],0)),"")</f>
        <v>LAN || Phones</v>
      </c>
      <c r="M149" t="str">
        <f>IF($D149=Lookup!$L$9,INDEX(cards[icon],MATCH($E149,cards[object_id order],0)),"")</f>
        <v/>
      </c>
      <c r="N149" t="str">
        <f>IF(OR(D149=Lookup!$G$10,D149=Lookup!$G$11),INDEX(cards[[1]:[25]],MATCH($E149,cards[object_id order],0),'card-code'!G149),"")</f>
        <v/>
      </c>
      <c r="O149" t="str">
        <f t="shared" si="7"/>
        <v/>
      </c>
      <c r="P149" s="8" t="str">
        <f>INDEX(Lookup!$H$5:$H$11,MATCH(D149,Lookup!$G$5:$G$11,0))&amp;
K149&amp;L149&amp;M149&amp;N149&amp;
INDEX(Lookup!$I$5:$I$11,MATCH(D149,Lookup!$G$5:$G$11,0))</f>
        <v xml:space="preserve">  name: "LAN || Phones"</v>
      </c>
    </row>
    <row r="150" spans="2:16" x14ac:dyDescent="0.45">
      <c r="B150">
        <f t="shared" si="6"/>
        <v>148</v>
      </c>
      <c r="C150">
        <f t="shared" si="8"/>
        <v>5</v>
      </c>
      <c r="D150" t="str">
        <f>VLOOKUP(C150,Lookup!$F$5:$G$11,2,FALSE)</f>
        <v>entities header</v>
      </c>
      <c r="E150">
        <f>IF(D150=Lookup!$G$5,E149+1,E149)</f>
        <v>19</v>
      </c>
      <c r="F150" s="3">
        <f>INDEX(cards[Entities count],MATCH('card-code'!E150,cards[object_id order],0))</f>
        <v>3</v>
      </c>
      <c r="G150" t="str">
        <f>IF(D149=Lookup!$G$9,1,IF(D149=Lookup!$G$10,G149+1,""))</f>
        <v/>
      </c>
      <c r="H150">
        <f>IF(F150=1,  IF(D150=Lookup!$G$9,2,1),  IF(G150&lt;F150-1,0,1)  )</f>
        <v>1</v>
      </c>
      <c r="I150">
        <f>IF(D150&lt;&gt;Lookup!$G$7,0,IF(INDEX(cards[name],MATCH(E150,cards[object_id order],0))&lt;&gt;"",0,1))</f>
        <v>0</v>
      </c>
      <c r="J150">
        <f>IF(D150&lt;&gt;Lookup!$G$7,0,IF(INDEX(cards[icon],MATCH(E150,cards[object_id order],0))&lt;&gt;"",0,1))</f>
        <v>0</v>
      </c>
      <c r="K150" t="str">
        <f>IF(D150=Lookup!$G$6,INDEX(cards[object_id],MATCH('card-code'!E150,cards[object_id order],0)),"")</f>
        <v/>
      </c>
      <c r="L150" t="str">
        <f>IF(D150=Lookup!$G$7,INDEX(cards[name],MATCH('card-code'!E150,cards[object_id order],0)),"")</f>
        <v/>
      </c>
      <c r="M150" t="str">
        <f>IF($D150=Lookup!$L$9,INDEX(cards[icon],MATCH($E150,cards[object_id order],0)),"")</f>
        <v/>
      </c>
      <c r="N150" t="str">
        <f>IF(OR(D150=Lookup!$G$10,D150=Lookup!$G$11),INDEX(cards[[1]:[25]],MATCH($E150,cards[object_id order],0),'card-code'!G150),"")</f>
        <v/>
      </c>
      <c r="O150" t="str">
        <f t="shared" si="7"/>
        <v/>
      </c>
      <c r="P150" s="8" t="str">
        <f>INDEX(Lookup!$H$5:$H$11,MATCH(D150,Lookup!$G$5:$G$11,0))&amp;
K150&amp;L150&amp;M150&amp;N150&amp;
INDEX(Lookup!$I$5:$I$11,MATCH(D150,Lookup!$G$5:$G$11,0))</f>
        <v xml:space="preserve">  entities:</v>
      </c>
    </row>
    <row r="151" spans="2:16" x14ac:dyDescent="0.45">
      <c r="B151">
        <f t="shared" si="6"/>
        <v>149</v>
      </c>
      <c r="C151">
        <f t="shared" si="8"/>
        <v>6</v>
      </c>
      <c r="D151" t="str">
        <f>VLOOKUP(C151,Lookup!$F$5:$G$11,2,FALSE)</f>
        <v>entities</v>
      </c>
      <c r="E151">
        <f>IF(D151=Lookup!$G$5,E150+1,E150)</f>
        <v>19</v>
      </c>
      <c r="F151" s="3">
        <f>INDEX(cards[Entities count],MATCH('card-code'!E151,cards[object_id order],0))</f>
        <v>3</v>
      </c>
      <c r="G151">
        <f>IF(D150=Lookup!$G$9,1,IF(D150=Lookup!$G$10,G150+1,""))</f>
        <v>1</v>
      </c>
      <c r="H151">
        <f>IF(F151=1,  IF(D151=Lookup!$G$9,2,1),  IF(G151&lt;F151-1,0,1)  )</f>
        <v>0</v>
      </c>
      <c r="I151">
        <f>IF(D151&lt;&gt;Lookup!$G$7,0,IF(INDEX(cards[name],MATCH(E151,cards[object_id order],0))&lt;&gt;"",0,1))</f>
        <v>0</v>
      </c>
      <c r="J151">
        <f>IF(D151&lt;&gt;Lookup!$G$7,0,IF(INDEX(cards[icon],MATCH(E151,cards[object_id order],0))&lt;&gt;"",0,1))</f>
        <v>0</v>
      </c>
      <c r="K151" t="str">
        <f>IF(D151=Lookup!$G$6,INDEX(cards[object_id],MATCH('card-code'!E151,cards[object_id order],0)),"")</f>
        <v/>
      </c>
      <c r="L151" t="str">
        <f>IF(D151=Lookup!$G$7,INDEX(cards[name],MATCH('card-code'!E151,cards[object_id order],0)),"")</f>
        <v/>
      </c>
      <c r="M151" t="str">
        <f>IF($D151=Lookup!$L$9,INDEX(cards[icon],MATCH($E151,cards[object_id order],0)),"")</f>
        <v/>
      </c>
      <c r="N151" t="str">
        <f>IF(OR(D151=Lookup!$G$10,D151=Lookup!$G$11),INDEX(cards[[1]:[25]],MATCH($E151,cards[object_id order],0),'card-code'!G151),"")</f>
        <v>device_tracker.ron_phone</v>
      </c>
      <c r="O151" t="str">
        <f t="shared" si="7"/>
        <v/>
      </c>
      <c r="P151" s="8" t="str">
        <f>INDEX(Lookup!$H$5:$H$11,MATCH(D151,Lookup!$G$5:$G$11,0))&amp;
K151&amp;L151&amp;M151&amp;N151&amp;
INDEX(Lookup!$I$5:$I$11,MATCH(D151,Lookup!$G$5:$G$11,0))</f>
        <v xml:space="preserve">    - device_tracker.ron_phone</v>
      </c>
    </row>
    <row r="152" spans="2:16" x14ac:dyDescent="0.45">
      <c r="B152">
        <f t="shared" si="6"/>
        <v>150</v>
      </c>
      <c r="C152">
        <f t="shared" si="8"/>
        <v>6</v>
      </c>
      <c r="D152" t="str">
        <f>VLOOKUP(C152,Lookup!$F$5:$G$11,2,FALSE)</f>
        <v>entities</v>
      </c>
      <c r="E152">
        <f>IF(D152=Lookup!$G$5,E151+1,E151)</f>
        <v>19</v>
      </c>
      <c r="F152" s="3">
        <f>INDEX(cards[Entities count],MATCH('card-code'!E152,cards[object_id order],0))</f>
        <v>3</v>
      </c>
      <c r="G152">
        <f>IF(D151=Lookup!$G$9,1,IF(D151=Lookup!$G$10,G151+1,""))</f>
        <v>2</v>
      </c>
      <c r="H152">
        <f>IF(F152=1,  IF(D152=Lookup!$G$9,2,1),  IF(G152&lt;F152-1,0,1)  )</f>
        <v>1</v>
      </c>
      <c r="I152">
        <f>IF(D152&lt;&gt;Lookup!$G$7,0,IF(INDEX(cards[name],MATCH(E152,cards[object_id order],0))&lt;&gt;"",0,1))</f>
        <v>0</v>
      </c>
      <c r="J152">
        <f>IF(D152&lt;&gt;Lookup!$G$7,0,IF(INDEX(cards[icon],MATCH(E152,cards[object_id order],0))&lt;&gt;"",0,1))</f>
        <v>0</v>
      </c>
      <c r="K152" t="str">
        <f>IF(D152=Lookup!$G$6,INDEX(cards[object_id],MATCH('card-code'!E152,cards[object_id order],0)),"")</f>
        <v/>
      </c>
      <c r="L152" t="str">
        <f>IF(D152=Lookup!$G$7,INDEX(cards[name],MATCH('card-code'!E152,cards[object_id order],0)),"")</f>
        <v/>
      </c>
      <c r="M152" t="str">
        <f>IF($D152=Lookup!$L$9,INDEX(cards[icon],MATCH($E152,cards[object_id order],0)),"")</f>
        <v/>
      </c>
      <c r="N152" t="str">
        <f>IF(OR(D152=Lookup!$G$10,D152=Lookup!$G$11),INDEX(cards[[1]:[25]],MATCH($E152,cards[object_id order],0),'card-code'!G152),"")</f>
        <v>device_tracker.daniel_phone</v>
      </c>
      <c r="O152" t="str">
        <f t="shared" si="7"/>
        <v/>
      </c>
      <c r="P152" s="8" t="str">
        <f>INDEX(Lookup!$H$5:$H$11,MATCH(D152,Lookup!$G$5:$G$11,0))&amp;
K152&amp;L152&amp;M152&amp;N152&amp;
INDEX(Lookup!$I$5:$I$11,MATCH(D152,Lookup!$G$5:$G$11,0))</f>
        <v xml:space="preserve">    - device_tracker.daniel_phone</v>
      </c>
    </row>
    <row r="153" spans="2:16" x14ac:dyDescent="0.45">
      <c r="B153">
        <f t="shared" si="6"/>
        <v>151</v>
      </c>
      <c r="C153">
        <f t="shared" si="8"/>
        <v>7</v>
      </c>
      <c r="D153" t="str">
        <f>VLOOKUP(C153,Lookup!$F$5:$G$11,2,FALSE)</f>
        <v>entities end</v>
      </c>
      <c r="E153">
        <f>IF(D153=Lookup!$G$5,E152+1,E152)</f>
        <v>19</v>
      </c>
      <c r="F153" s="3">
        <f>INDEX(cards[Entities count],MATCH('card-code'!E153,cards[object_id order],0))</f>
        <v>3</v>
      </c>
      <c r="G153">
        <f>IF(D152=Lookup!$G$9,1,IF(D152=Lookup!$G$10,G152+1,""))</f>
        <v>3</v>
      </c>
      <c r="H153">
        <f>IF(F153=1,  IF(D153=Lookup!$G$9,2,1),  IF(G153&lt;F153-1,0,1)  )</f>
        <v>1</v>
      </c>
      <c r="I153">
        <f>IF(D153&lt;&gt;Lookup!$G$7,0,IF(INDEX(cards[name],MATCH(E153,cards[object_id order],0))&lt;&gt;"",0,1))</f>
        <v>0</v>
      </c>
      <c r="J153">
        <f>IF(D153&lt;&gt;Lookup!$G$7,0,IF(INDEX(cards[icon],MATCH(E153,cards[object_id order],0))&lt;&gt;"",0,1))</f>
        <v>0</v>
      </c>
      <c r="K153" t="str">
        <f>IF(D153=Lookup!$G$6,INDEX(cards[object_id],MATCH('card-code'!E153,cards[object_id order],0)),"")</f>
        <v/>
      </c>
      <c r="L153" t="str">
        <f>IF(D153=Lookup!$G$7,INDEX(cards[name],MATCH('card-code'!E153,cards[object_id order],0)),"")</f>
        <v/>
      </c>
      <c r="M153" t="str">
        <f>IF($D153=Lookup!$L$9,INDEX(cards[icon],MATCH($E153,cards[object_id order],0)),"")</f>
        <v/>
      </c>
      <c r="N153" t="str">
        <f>IF(OR(D153=Lookup!$G$10,D153=Lookup!$G$11),INDEX(cards[[1]:[25]],MATCH($E153,cards[object_id order],0),'card-code'!G153),"")</f>
        <v>device_tracker.carolyn_phone</v>
      </c>
      <c r="O153" t="str">
        <f t="shared" si="7"/>
        <v/>
      </c>
      <c r="P153" s="8" t="str">
        <f>INDEX(Lookup!$H$5:$H$11,MATCH(D153,Lookup!$G$5:$G$11,0))&amp;
K153&amp;L153&amp;M153&amp;N153&amp;
INDEX(Lookup!$I$5:$I$11,MATCH(D153,Lookup!$G$5:$G$11,0))</f>
        <v xml:space="preserve">    - device_tracker.carolyn_phone</v>
      </c>
    </row>
    <row r="154" spans="2:16" x14ac:dyDescent="0.45">
      <c r="B154">
        <f t="shared" si="6"/>
        <v>152</v>
      </c>
      <c r="C154">
        <f t="shared" si="8"/>
        <v>1</v>
      </c>
      <c r="D154" t="str">
        <f>VLOOKUP(C154,Lookup!$F$5:$G$11,2,FALSE)</f>
        <v>blank</v>
      </c>
      <c r="E154">
        <f>IF(D154=Lookup!$G$5,E153+1,E153)</f>
        <v>20</v>
      </c>
      <c r="F154" s="3">
        <f>INDEX(cards[Entities count],MATCH('card-code'!E154,cards[object_id order],0))</f>
        <v>4</v>
      </c>
      <c r="G154" t="str">
        <f>IF(D153=Lookup!$G$9,1,IF(D153=Lookup!$G$10,G153+1,""))</f>
        <v/>
      </c>
      <c r="H154">
        <f>IF(F154=1,  IF(D154=Lookup!$G$9,2,1),  IF(G154&lt;F154-1,0,1)  )</f>
        <v>1</v>
      </c>
      <c r="I154">
        <f>IF(D154&lt;&gt;Lookup!$G$7,0,IF(INDEX(cards[name],MATCH(E154,cards[object_id order],0))&lt;&gt;"",0,1))</f>
        <v>0</v>
      </c>
      <c r="J154">
        <f>IF(D154&lt;&gt;Lookup!$G$7,0,IF(INDEX(cards[icon],MATCH(E154,cards[object_id order],0))&lt;&gt;"",0,1))</f>
        <v>0</v>
      </c>
      <c r="K154" t="str">
        <f>IF(D154=Lookup!$G$6,INDEX(cards[object_id],MATCH('card-code'!E154,cards[object_id order],0)),"")</f>
        <v/>
      </c>
      <c r="L154" t="str">
        <f>IF(D154=Lookup!$G$7,INDEX(cards[name],MATCH('card-code'!E154,cards[object_id order],0)),"")</f>
        <v/>
      </c>
      <c r="M154" t="str">
        <f>IF($D154=Lookup!$L$9,INDEX(cards[icon],MATCH($E154,cards[object_id order],0)),"")</f>
        <v/>
      </c>
      <c r="N154" t="str">
        <f>IF(OR(D154=Lookup!$G$10,D154=Lookup!$G$11),INDEX(cards[[1]:[25]],MATCH($E154,cards[object_id order],0),'card-code'!G154),"")</f>
        <v/>
      </c>
      <c r="O154" t="str">
        <f t="shared" si="7"/>
        <v/>
      </c>
      <c r="P154" s="8" t="str">
        <f>INDEX(Lookup!$H$5:$H$11,MATCH(D154,Lookup!$G$5:$G$11,0))&amp;
K154&amp;L154&amp;M154&amp;N154&amp;
INDEX(Lookup!$I$5:$I$11,MATCH(D154,Lookup!$G$5:$G$11,0))</f>
        <v/>
      </c>
    </row>
    <row r="155" spans="2:16" x14ac:dyDescent="0.45">
      <c r="B155">
        <f t="shared" si="6"/>
        <v>153</v>
      </c>
      <c r="C155">
        <f t="shared" si="8"/>
        <v>2</v>
      </c>
      <c r="D155" t="str">
        <f>VLOOKUP(C155,Lookup!$F$5:$G$11,2,FALSE)</f>
        <v>card</v>
      </c>
      <c r="E155">
        <f>IF(D155=Lookup!$G$5,E154+1,E154)</f>
        <v>20</v>
      </c>
      <c r="F155" s="3">
        <f>INDEX(cards[Entities count],MATCH('card-code'!E155,cards[object_id order],0))</f>
        <v>4</v>
      </c>
      <c r="G155" t="str">
        <f>IF(D154=Lookup!$G$9,1,IF(D154=Lookup!$G$10,G154+1,""))</f>
        <v/>
      </c>
      <c r="H155">
        <f>IF(F155=1,  IF(D155=Lookup!$G$9,2,1),  IF(G155&lt;F155-1,0,1)  )</f>
        <v>1</v>
      </c>
      <c r="I155">
        <f>IF(D155&lt;&gt;Lookup!$G$7,0,IF(INDEX(cards[name],MATCH(E155,cards[object_id order],0))&lt;&gt;"",0,1))</f>
        <v>0</v>
      </c>
      <c r="J155">
        <f>IF(D155&lt;&gt;Lookup!$G$7,0,IF(INDEX(cards[icon],MATCH(E155,cards[object_id order],0))&lt;&gt;"",0,1))</f>
        <v>0</v>
      </c>
      <c r="K155" t="str">
        <f>IF(D155=Lookup!$G$6,INDEX(cards[object_id],MATCH('card-code'!E155,cards[object_id order],0)),"")</f>
        <v>personal_devices</v>
      </c>
      <c r="L155" t="str">
        <f>IF(D155=Lookup!$G$7,INDEX(cards[name],MATCH('card-code'!E155,cards[object_id order],0)),"")</f>
        <v/>
      </c>
      <c r="M155" t="str">
        <f>IF($D155=Lookup!$L$9,INDEX(cards[icon],MATCH($E155,cards[object_id order],0)),"")</f>
        <v/>
      </c>
      <c r="N155" t="str">
        <f>IF(OR(D155=Lookup!$G$10,D155=Lookup!$G$11),INDEX(cards[[1]:[25]],MATCH($E155,cards[object_id order],0),'card-code'!G155),"")</f>
        <v/>
      </c>
      <c r="O155" t="str">
        <f t="shared" si="7"/>
        <v/>
      </c>
      <c r="P155" s="8" t="str">
        <f>INDEX(Lookup!$H$5:$H$11,MATCH(D155,Lookup!$G$5:$G$11,0))&amp;
K155&amp;L155&amp;M155&amp;N155&amp;
INDEX(Lookup!$I$5:$I$11,MATCH(D155,Lookup!$G$5:$G$11,0))</f>
        <v>personal_devices:</v>
      </c>
    </row>
    <row r="156" spans="2:16" x14ac:dyDescent="0.45">
      <c r="B156">
        <f t="shared" si="6"/>
        <v>154</v>
      </c>
      <c r="C156">
        <f t="shared" si="8"/>
        <v>3</v>
      </c>
      <c r="D156" t="str">
        <f>VLOOKUP(C156,Lookup!$F$5:$G$11,2,FALSE)</f>
        <v>name</v>
      </c>
      <c r="E156">
        <f>IF(D156=Lookup!$G$5,E155+1,E155)</f>
        <v>20</v>
      </c>
      <c r="F156" s="3">
        <f>INDEX(cards[Entities count],MATCH('card-code'!E156,cards[object_id order],0))</f>
        <v>4</v>
      </c>
      <c r="G156" t="str">
        <f>IF(D155=Lookup!$G$9,1,IF(D155=Lookup!$G$10,G155+1,""))</f>
        <v/>
      </c>
      <c r="H156">
        <f>IF(F156=1,  IF(D156=Lookup!$G$9,2,1),  IF(G156&lt;F156-1,0,1)  )</f>
        <v>1</v>
      </c>
      <c r="I156">
        <f>IF(D156&lt;&gt;Lookup!$G$7,0,IF(INDEX(cards[name],MATCH(E156,cards[object_id order],0))&lt;&gt;"",0,1))</f>
        <v>0</v>
      </c>
      <c r="J156">
        <f>IF(D156&lt;&gt;Lookup!$G$7,0,IF(INDEX(cards[icon],MATCH(E156,cards[object_id order],0))&lt;&gt;"",0,1))</f>
        <v>1</v>
      </c>
      <c r="K156" t="str">
        <f>IF(D156=Lookup!$G$6,INDEX(cards[object_id],MATCH('card-code'!E156,cards[object_id order],0)),"")</f>
        <v/>
      </c>
      <c r="L156" t="str">
        <f>IF(D156=Lookup!$G$7,INDEX(cards[name],MATCH('card-code'!E156,cards[object_id order],0)),"")</f>
        <v>LAN || Computers</v>
      </c>
      <c r="M156" t="str">
        <f>IF($D156=Lookup!$L$9,INDEX(cards[icon],MATCH($E156,cards[object_id order],0)),"")</f>
        <v/>
      </c>
      <c r="N156" t="str">
        <f>IF(OR(D156=Lookup!$G$10,D156=Lookup!$G$11),INDEX(cards[[1]:[25]],MATCH($E156,cards[object_id order],0),'card-code'!G156),"")</f>
        <v/>
      </c>
      <c r="O156" t="str">
        <f t="shared" si="7"/>
        <v/>
      </c>
      <c r="P156" s="8" t="str">
        <f>INDEX(Lookup!$H$5:$H$11,MATCH(D156,Lookup!$G$5:$G$11,0))&amp;
K156&amp;L156&amp;M156&amp;N156&amp;
INDEX(Lookup!$I$5:$I$11,MATCH(D156,Lookup!$G$5:$G$11,0))</f>
        <v xml:space="preserve">  name: "LAN || Computers"</v>
      </c>
    </row>
    <row r="157" spans="2:16" x14ac:dyDescent="0.45">
      <c r="B157">
        <f t="shared" si="6"/>
        <v>155</v>
      </c>
      <c r="C157">
        <f t="shared" si="8"/>
        <v>5</v>
      </c>
      <c r="D157" t="str">
        <f>VLOOKUP(C157,Lookup!$F$5:$G$11,2,FALSE)</f>
        <v>entities header</v>
      </c>
      <c r="E157">
        <f>IF(D157=Lookup!$G$5,E156+1,E156)</f>
        <v>20</v>
      </c>
      <c r="F157" s="3">
        <f>INDEX(cards[Entities count],MATCH('card-code'!E157,cards[object_id order],0))</f>
        <v>4</v>
      </c>
      <c r="G157" t="str">
        <f>IF(D156=Lookup!$G$9,1,IF(D156=Lookup!$G$10,G156+1,""))</f>
        <v/>
      </c>
      <c r="H157">
        <f>IF(F157=1,  IF(D157=Lookup!$G$9,2,1),  IF(G157&lt;F157-1,0,1)  )</f>
        <v>1</v>
      </c>
      <c r="I157">
        <f>IF(D157&lt;&gt;Lookup!$G$7,0,IF(INDEX(cards[name],MATCH(E157,cards[object_id order],0))&lt;&gt;"",0,1))</f>
        <v>0</v>
      </c>
      <c r="J157">
        <f>IF(D157&lt;&gt;Lookup!$G$7,0,IF(INDEX(cards[icon],MATCH(E157,cards[object_id order],0))&lt;&gt;"",0,1))</f>
        <v>0</v>
      </c>
      <c r="K157" t="str">
        <f>IF(D157=Lookup!$G$6,INDEX(cards[object_id],MATCH('card-code'!E157,cards[object_id order],0)),"")</f>
        <v/>
      </c>
      <c r="L157" t="str">
        <f>IF(D157=Lookup!$G$7,INDEX(cards[name],MATCH('card-code'!E157,cards[object_id order],0)),"")</f>
        <v/>
      </c>
      <c r="M157" t="str">
        <f>IF($D157=Lookup!$L$9,INDEX(cards[icon],MATCH($E157,cards[object_id order],0)),"")</f>
        <v/>
      </c>
      <c r="N157" t="str">
        <f>IF(OR(D157=Lookup!$G$10,D157=Lookup!$G$11),INDEX(cards[[1]:[25]],MATCH($E157,cards[object_id order],0),'card-code'!G157),"")</f>
        <v/>
      </c>
      <c r="O157" t="str">
        <f t="shared" si="7"/>
        <v/>
      </c>
      <c r="P157" s="8" t="str">
        <f>INDEX(Lookup!$H$5:$H$11,MATCH(D157,Lookup!$G$5:$G$11,0))&amp;
K157&amp;L157&amp;M157&amp;N157&amp;
INDEX(Lookup!$I$5:$I$11,MATCH(D157,Lookup!$G$5:$G$11,0))</f>
        <v xml:space="preserve">  entities:</v>
      </c>
    </row>
    <row r="158" spans="2:16" x14ac:dyDescent="0.45">
      <c r="B158">
        <f t="shared" si="6"/>
        <v>156</v>
      </c>
      <c r="C158">
        <f t="shared" si="8"/>
        <v>6</v>
      </c>
      <c r="D158" t="str">
        <f>VLOOKUP(C158,Lookup!$F$5:$G$11,2,FALSE)</f>
        <v>entities</v>
      </c>
      <c r="E158">
        <f>IF(D158=Lookup!$G$5,E157+1,E157)</f>
        <v>20</v>
      </c>
      <c r="F158" s="3">
        <f>INDEX(cards[Entities count],MATCH('card-code'!E158,cards[object_id order],0))</f>
        <v>4</v>
      </c>
      <c r="G158">
        <f>IF(D157=Lookup!$G$9,1,IF(D157=Lookup!$G$10,G157+1,""))</f>
        <v>1</v>
      </c>
      <c r="H158">
        <f>IF(F158=1,  IF(D158=Lookup!$G$9,2,1),  IF(G158&lt;F158-1,0,1)  )</f>
        <v>0</v>
      </c>
      <c r="I158">
        <f>IF(D158&lt;&gt;Lookup!$G$7,0,IF(INDEX(cards[name],MATCH(E158,cards[object_id order],0))&lt;&gt;"",0,1))</f>
        <v>0</v>
      </c>
      <c r="J158">
        <f>IF(D158&lt;&gt;Lookup!$G$7,0,IF(INDEX(cards[icon],MATCH(E158,cards[object_id order],0))&lt;&gt;"",0,1))</f>
        <v>0</v>
      </c>
      <c r="K158" t="str">
        <f>IF(D158=Lookup!$G$6,INDEX(cards[object_id],MATCH('card-code'!E158,cards[object_id order],0)),"")</f>
        <v/>
      </c>
      <c r="L158" t="str">
        <f>IF(D158=Lookup!$G$7,INDEX(cards[name],MATCH('card-code'!E158,cards[object_id order],0)),"")</f>
        <v/>
      </c>
      <c r="M158" t="str">
        <f>IF($D158=Lookup!$L$9,INDEX(cards[icon],MATCH($E158,cards[object_id order],0)),"")</f>
        <v/>
      </c>
      <c r="N158" t="str">
        <f>IF(OR(D158=Lookup!$G$10,D158=Lookup!$G$11),INDEX(cards[[1]:[25]],MATCH($E158,cards[object_id order],0),'card-code'!G158),"")</f>
        <v>device_tracker.humvee</v>
      </c>
      <c r="O158" t="str">
        <f t="shared" si="7"/>
        <v/>
      </c>
      <c r="P158" s="8" t="str">
        <f>INDEX(Lookup!$H$5:$H$11,MATCH(D158,Lookup!$G$5:$G$11,0))&amp;
K158&amp;L158&amp;M158&amp;N158&amp;
INDEX(Lookup!$I$5:$I$11,MATCH(D158,Lookup!$G$5:$G$11,0))</f>
        <v xml:space="preserve">    - device_tracker.humvee</v>
      </c>
    </row>
    <row r="159" spans="2:16" x14ac:dyDescent="0.45">
      <c r="B159">
        <f t="shared" si="6"/>
        <v>157</v>
      </c>
      <c r="C159">
        <f t="shared" si="8"/>
        <v>6</v>
      </c>
      <c r="D159" t="str">
        <f>VLOOKUP(C159,Lookup!$F$5:$G$11,2,FALSE)</f>
        <v>entities</v>
      </c>
      <c r="E159">
        <f>IF(D159=Lookup!$G$5,E158+1,E158)</f>
        <v>20</v>
      </c>
      <c r="F159" s="3">
        <f>INDEX(cards[Entities count],MATCH('card-code'!E159,cards[object_id order],0))</f>
        <v>4</v>
      </c>
      <c r="G159">
        <f>IF(D158=Lookup!$G$9,1,IF(D158=Lookup!$G$10,G158+1,""))</f>
        <v>2</v>
      </c>
      <c r="H159">
        <f>IF(F159=1,  IF(D159=Lookup!$G$9,2,1),  IF(G159&lt;F159-1,0,1)  )</f>
        <v>0</v>
      </c>
      <c r="I159">
        <f>IF(D159&lt;&gt;Lookup!$G$7,0,IF(INDEX(cards[name],MATCH(E159,cards[object_id order],0))&lt;&gt;"",0,1))</f>
        <v>0</v>
      </c>
      <c r="J159">
        <f>IF(D159&lt;&gt;Lookup!$G$7,0,IF(INDEX(cards[icon],MATCH(E159,cards[object_id order],0))&lt;&gt;"",0,1))</f>
        <v>0</v>
      </c>
      <c r="K159" t="str">
        <f>IF(D159=Lookup!$G$6,INDEX(cards[object_id],MATCH('card-code'!E159,cards[object_id order],0)),"")</f>
        <v/>
      </c>
      <c r="L159" t="str">
        <f>IF(D159=Lookup!$G$7,INDEX(cards[name],MATCH('card-code'!E159,cards[object_id order],0)),"")</f>
        <v/>
      </c>
      <c r="M159" t="str">
        <f>IF($D159=Lookup!$L$9,INDEX(cards[icon],MATCH($E159,cards[object_id order],0)),"")</f>
        <v/>
      </c>
      <c r="N159" t="str">
        <f>IF(OR(D159=Lookup!$G$10,D159=Lookup!$G$11),INDEX(cards[[1]:[25]],MATCH($E159,cards[object_id order],0),'card-code'!G159),"")</f>
        <v>device_tracker.tank</v>
      </c>
      <c r="O159" t="str">
        <f t="shared" si="7"/>
        <v/>
      </c>
      <c r="P159" s="8" t="str">
        <f>INDEX(Lookup!$H$5:$H$11,MATCH(D159,Lookup!$G$5:$G$11,0))&amp;
K159&amp;L159&amp;M159&amp;N159&amp;
INDEX(Lookup!$I$5:$I$11,MATCH(D159,Lookup!$G$5:$G$11,0))</f>
        <v xml:space="preserve">    - device_tracker.tank</v>
      </c>
    </row>
    <row r="160" spans="2:16" x14ac:dyDescent="0.45">
      <c r="B160">
        <f t="shared" si="6"/>
        <v>158</v>
      </c>
      <c r="C160">
        <f t="shared" si="8"/>
        <v>6</v>
      </c>
      <c r="D160" t="str">
        <f>VLOOKUP(C160,Lookup!$F$5:$G$11,2,FALSE)</f>
        <v>entities</v>
      </c>
      <c r="E160">
        <f>IF(D160=Lookup!$G$5,E159+1,E159)</f>
        <v>20</v>
      </c>
      <c r="F160" s="3">
        <f>INDEX(cards[Entities count],MATCH('card-code'!E160,cards[object_id order],0))</f>
        <v>4</v>
      </c>
      <c r="G160">
        <f>IF(D159=Lookup!$G$9,1,IF(D159=Lookup!$G$10,G159+1,""))</f>
        <v>3</v>
      </c>
      <c r="H160">
        <f>IF(F160=1,  IF(D160=Lookup!$G$9,2,1),  IF(G160&lt;F160-1,0,1)  )</f>
        <v>1</v>
      </c>
      <c r="I160">
        <f>IF(D160&lt;&gt;Lookup!$G$7,0,IF(INDEX(cards[name],MATCH(E160,cards[object_id order],0))&lt;&gt;"",0,1))</f>
        <v>0</v>
      </c>
      <c r="J160">
        <f>IF(D160&lt;&gt;Lookup!$G$7,0,IF(INDEX(cards[icon],MATCH(E160,cards[object_id order],0))&lt;&gt;"",0,1))</f>
        <v>0</v>
      </c>
      <c r="K160" t="str">
        <f>IF(D160=Lookup!$G$6,INDEX(cards[object_id],MATCH('card-code'!E160,cards[object_id order],0)),"")</f>
        <v/>
      </c>
      <c r="L160" t="str">
        <f>IF(D160=Lookup!$G$7,INDEX(cards[name],MATCH('card-code'!E160,cards[object_id order],0)),"")</f>
        <v/>
      </c>
      <c r="M160" t="str">
        <f>IF($D160=Lookup!$L$9,INDEX(cards[icon],MATCH($E160,cards[object_id order],0)),"")</f>
        <v/>
      </c>
      <c r="N160" t="str">
        <f>IF(OR(D160=Lookup!$G$10,D160=Lookup!$G$11),INDEX(cards[[1]:[25]],MATCH($E160,cards[object_id order],0),'card-code'!G160),"")</f>
        <v>device_tracker.growler</v>
      </c>
      <c r="O160" t="str">
        <f t="shared" si="7"/>
        <v/>
      </c>
      <c r="P160" s="8" t="str">
        <f>INDEX(Lookup!$H$5:$H$11,MATCH(D160,Lookup!$G$5:$G$11,0))&amp;
K160&amp;L160&amp;M160&amp;N160&amp;
INDEX(Lookup!$I$5:$I$11,MATCH(D160,Lookup!$G$5:$G$11,0))</f>
        <v xml:space="preserve">    - device_tracker.growler</v>
      </c>
    </row>
    <row r="161" spans="2:16" x14ac:dyDescent="0.45">
      <c r="B161">
        <f t="shared" si="6"/>
        <v>159</v>
      </c>
      <c r="C161">
        <f t="shared" si="8"/>
        <v>7</v>
      </c>
      <c r="D161" t="str">
        <f>VLOOKUP(C161,Lookup!$F$5:$G$11,2,FALSE)</f>
        <v>entities end</v>
      </c>
      <c r="E161">
        <f>IF(D161=Lookup!$G$5,E160+1,E160)</f>
        <v>20</v>
      </c>
      <c r="F161" s="3">
        <f>INDEX(cards[Entities count],MATCH('card-code'!E161,cards[object_id order],0))</f>
        <v>4</v>
      </c>
      <c r="G161">
        <f>IF(D160=Lookup!$G$9,1,IF(D160=Lookup!$G$10,G160+1,""))</f>
        <v>4</v>
      </c>
      <c r="H161">
        <f>IF(F161=1,  IF(D161=Lookup!$G$9,2,1),  IF(G161&lt;F161-1,0,1)  )</f>
        <v>1</v>
      </c>
      <c r="I161">
        <f>IF(D161&lt;&gt;Lookup!$G$7,0,IF(INDEX(cards[name],MATCH(E161,cards[object_id order],0))&lt;&gt;"",0,1))</f>
        <v>0</v>
      </c>
      <c r="J161">
        <f>IF(D161&lt;&gt;Lookup!$G$7,0,IF(INDEX(cards[icon],MATCH(E161,cards[object_id order],0))&lt;&gt;"",0,1))</f>
        <v>0</v>
      </c>
      <c r="K161" t="str">
        <f>IF(D161=Lookup!$G$6,INDEX(cards[object_id],MATCH('card-code'!E161,cards[object_id order],0)),"")</f>
        <v/>
      </c>
      <c r="L161" t="str">
        <f>IF(D161=Lookup!$G$7,INDEX(cards[name],MATCH('card-code'!E161,cards[object_id order],0)),"")</f>
        <v/>
      </c>
      <c r="M161" t="str">
        <f>IF($D161=Lookup!$L$9,INDEX(cards[icon],MATCH($E161,cards[object_id order],0)),"")</f>
        <v/>
      </c>
      <c r="N161" t="str">
        <f>IF(OR(D161=Lookup!$G$10,D161=Lookup!$G$11),INDEX(cards[[1]:[25]],MATCH($E161,cards[object_id order],0),'card-code'!G161),"")</f>
        <v>device_tracker.bazooka</v>
      </c>
      <c r="O161" t="str">
        <f t="shared" si="7"/>
        <v/>
      </c>
      <c r="P161" s="8" t="str">
        <f>INDEX(Lookup!$H$5:$H$11,MATCH(D161,Lookup!$G$5:$G$11,0))&amp;
K161&amp;L161&amp;M161&amp;N161&amp;
INDEX(Lookup!$I$5:$I$11,MATCH(D161,Lookup!$G$5:$G$11,0))</f>
        <v xml:space="preserve">    - device_tracker.bazooka</v>
      </c>
    </row>
    <row r="162" spans="2:16" x14ac:dyDescent="0.45">
      <c r="B162">
        <f t="shared" si="6"/>
        <v>160</v>
      </c>
      <c r="C162">
        <f t="shared" si="8"/>
        <v>1</v>
      </c>
      <c r="D162" t="str">
        <f>VLOOKUP(C162,Lookup!$F$5:$G$11,2,FALSE)</f>
        <v>blank</v>
      </c>
      <c r="E162">
        <f>IF(D162=Lookup!$G$5,E161+1,E161)</f>
        <v>21</v>
      </c>
      <c r="F162" s="3">
        <f>INDEX(cards[Entities count],MATCH('card-code'!E162,cards[object_id order],0))</f>
        <v>10</v>
      </c>
      <c r="G162" t="str">
        <f>IF(D161=Lookup!$G$9,1,IF(D161=Lookup!$G$10,G161+1,""))</f>
        <v/>
      </c>
      <c r="H162">
        <f>IF(F162=1,  IF(D162=Lookup!$G$9,2,1),  IF(G162&lt;F162-1,0,1)  )</f>
        <v>1</v>
      </c>
      <c r="I162">
        <f>IF(D162&lt;&gt;Lookup!$G$7,0,IF(INDEX(cards[name],MATCH(E162,cards[object_id order],0))&lt;&gt;"",0,1))</f>
        <v>0</v>
      </c>
      <c r="J162">
        <f>IF(D162&lt;&gt;Lookup!$G$7,0,IF(INDEX(cards[icon],MATCH(E162,cards[object_id order],0))&lt;&gt;"",0,1))</f>
        <v>0</v>
      </c>
      <c r="K162" t="str">
        <f>IF(D162=Lookup!$G$6,INDEX(cards[object_id],MATCH('card-code'!E162,cards[object_id order],0)),"")</f>
        <v/>
      </c>
      <c r="L162" t="str">
        <f>IF(D162=Lookup!$G$7,INDEX(cards[name],MATCH('card-code'!E162,cards[object_id order],0)),"")</f>
        <v/>
      </c>
      <c r="M162" t="str">
        <f>IF($D162=Lookup!$L$9,INDEX(cards[icon],MATCH($E162,cards[object_id order],0)),"")</f>
        <v/>
      </c>
      <c r="N162" t="str">
        <f>IF(OR(D162=Lookup!$G$10,D162=Lookup!$G$11),INDEX(cards[[1]:[25]],MATCH($E162,cards[object_id order],0),'card-code'!G162),"")</f>
        <v/>
      </c>
      <c r="O162" t="str">
        <f t="shared" si="7"/>
        <v/>
      </c>
      <c r="P162" s="8" t="str">
        <f>INDEX(Lookup!$H$5:$H$11,MATCH(D162,Lookup!$G$5:$G$11,0))&amp;
K162&amp;L162&amp;M162&amp;N162&amp;
INDEX(Lookup!$I$5:$I$11,MATCH(D162,Lookup!$G$5:$G$11,0))</f>
        <v/>
      </c>
    </row>
    <row r="163" spans="2:16" x14ac:dyDescent="0.45">
      <c r="B163">
        <f t="shared" si="6"/>
        <v>161</v>
      </c>
      <c r="C163">
        <f t="shared" si="8"/>
        <v>2</v>
      </c>
      <c r="D163" t="str">
        <f>VLOOKUP(C163,Lookup!$F$5:$G$11,2,FALSE)</f>
        <v>card</v>
      </c>
      <c r="E163">
        <f>IF(D163=Lookup!$G$5,E162+1,E162)</f>
        <v>21</v>
      </c>
      <c r="F163" s="3">
        <f>INDEX(cards[Entities count],MATCH('card-code'!E163,cards[object_id order],0))</f>
        <v>10</v>
      </c>
      <c r="G163" t="str">
        <f>IF(D162=Lookup!$G$9,1,IF(D162=Lookup!$G$10,G162+1,""))</f>
        <v/>
      </c>
      <c r="H163">
        <f>IF(F163=1,  IF(D163=Lookup!$G$9,2,1),  IF(G163&lt;F163-1,0,1)  )</f>
        <v>1</v>
      </c>
      <c r="I163">
        <f>IF(D163&lt;&gt;Lookup!$G$7,0,IF(INDEX(cards[name],MATCH(E163,cards[object_id order],0))&lt;&gt;"",0,1))</f>
        <v>0</v>
      </c>
      <c r="J163">
        <f>IF(D163&lt;&gt;Lookup!$G$7,0,IF(INDEX(cards[icon],MATCH(E163,cards[object_id order],0))&lt;&gt;"",0,1))</f>
        <v>0</v>
      </c>
      <c r="K163" t="str">
        <f>IF(D163=Lookup!$G$6,INDEX(cards[object_id],MATCH('card-code'!E163,cards[object_id order],0)),"")</f>
        <v>iot_devices</v>
      </c>
      <c r="L163" t="str">
        <f>IF(D163=Lookup!$G$7,INDEX(cards[name],MATCH('card-code'!E163,cards[object_id order],0)),"")</f>
        <v/>
      </c>
      <c r="M163" t="str">
        <f>IF($D163=Lookup!$L$9,INDEX(cards[icon],MATCH($E163,cards[object_id order],0)),"")</f>
        <v/>
      </c>
      <c r="N163" t="str">
        <f>IF(OR(D163=Lookup!$G$10,D163=Lookup!$G$11),INDEX(cards[[1]:[25]],MATCH($E163,cards[object_id order],0),'card-code'!G163),"")</f>
        <v/>
      </c>
      <c r="O163" t="str">
        <f t="shared" si="7"/>
        <v/>
      </c>
      <c r="P163" s="8" t="str">
        <f>INDEX(Lookup!$H$5:$H$11,MATCH(D163,Lookup!$G$5:$G$11,0))&amp;
K163&amp;L163&amp;M163&amp;N163&amp;
INDEX(Lookup!$I$5:$I$11,MATCH(D163,Lookup!$G$5:$G$11,0))</f>
        <v>iot_devices:</v>
      </c>
    </row>
    <row r="164" spans="2:16" x14ac:dyDescent="0.45">
      <c r="B164">
        <f t="shared" si="6"/>
        <v>162</v>
      </c>
      <c r="C164">
        <f t="shared" si="8"/>
        <v>3</v>
      </c>
      <c r="D164" t="str">
        <f>VLOOKUP(C164,Lookup!$F$5:$G$11,2,FALSE)</f>
        <v>name</v>
      </c>
      <c r="E164">
        <f>IF(D164=Lookup!$G$5,E163+1,E163)</f>
        <v>21</v>
      </c>
      <c r="F164" s="3">
        <f>INDEX(cards[Entities count],MATCH('card-code'!E164,cards[object_id order],0))</f>
        <v>10</v>
      </c>
      <c r="G164" t="str">
        <f>IF(D163=Lookup!$G$9,1,IF(D163=Lookup!$G$10,G163+1,""))</f>
        <v/>
      </c>
      <c r="H164">
        <f>IF(F164=1,  IF(D164=Lookup!$G$9,2,1),  IF(G164&lt;F164-1,0,1)  )</f>
        <v>1</v>
      </c>
      <c r="I164">
        <f>IF(D164&lt;&gt;Lookup!$G$7,0,IF(INDEX(cards[name],MATCH(E164,cards[object_id order],0))&lt;&gt;"",0,1))</f>
        <v>0</v>
      </c>
      <c r="J164">
        <f>IF(D164&lt;&gt;Lookup!$G$7,0,IF(INDEX(cards[icon],MATCH(E164,cards[object_id order],0))&lt;&gt;"",0,1))</f>
        <v>1</v>
      </c>
      <c r="K164" t="str">
        <f>IF(D164=Lookup!$G$6,INDEX(cards[object_id],MATCH('card-code'!E164,cards[object_id order],0)),"")</f>
        <v/>
      </c>
      <c r="L164" t="str">
        <f>IF(D164=Lookup!$G$7,INDEX(cards[name],MATCH('card-code'!E164,cards[object_id order],0)),"")</f>
        <v>LAN || IoT</v>
      </c>
      <c r="M164" t="str">
        <f>IF($D164=Lookup!$L$9,INDEX(cards[icon],MATCH($E164,cards[object_id order],0)),"")</f>
        <v/>
      </c>
      <c r="N164" t="str">
        <f>IF(OR(D164=Lookup!$G$10,D164=Lookup!$G$11),INDEX(cards[[1]:[25]],MATCH($E164,cards[object_id order],0),'card-code'!G164),"")</f>
        <v/>
      </c>
      <c r="O164" t="str">
        <f t="shared" si="7"/>
        <v/>
      </c>
      <c r="P164" s="8" t="str">
        <f>INDEX(Lookup!$H$5:$H$11,MATCH(D164,Lookup!$G$5:$G$11,0))&amp;
K164&amp;L164&amp;M164&amp;N164&amp;
INDEX(Lookup!$I$5:$I$11,MATCH(D164,Lookup!$G$5:$G$11,0))</f>
        <v xml:space="preserve">  name: "LAN || IoT"</v>
      </c>
    </row>
    <row r="165" spans="2:16" x14ac:dyDescent="0.45">
      <c r="B165">
        <f t="shared" si="6"/>
        <v>163</v>
      </c>
      <c r="C165">
        <f t="shared" si="8"/>
        <v>5</v>
      </c>
      <c r="D165" t="str">
        <f>VLOOKUP(C165,Lookup!$F$5:$G$11,2,FALSE)</f>
        <v>entities header</v>
      </c>
      <c r="E165">
        <f>IF(D165=Lookup!$G$5,E164+1,E164)</f>
        <v>21</v>
      </c>
      <c r="F165" s="3">
        <f>INDEX(cards[Entities count],MATCH('card-code'!E165,cards[object_id order],0))</f>
        <v>10</v>
      </c>
      <c r="G165" t="str">
        <f>IF(D164=Lookup!$G$9,1,IF(D164=Lookup!$G$10,G164+1,""))</f>
        <v/>
      </c>
      <c r="H165">
        <f>IF(F165=1,  IF(D165=Lookup!$G$9,2,1),  IF(G165&lt;F165-1,0,1)  )</f>
        <v>1</v>
      </c>
      <c r="I165">
        <f>IF(D165&lt;&gt;Lookup!$G$7,0,IF(INDEX(cards[name],MATCH(E165,cards[object_id order],0))&lt;&gt;"",0,1))</f>
        <v>0</v>
      </c>
      <c r="J165">
        <f>IF(D165&lt;&gt;Lookup!$G$7,0,IF(INDEX(cards[icon],MATCH(E165,cards[object_id order],0))&lt;&gt;"",0,1))</f>
        <v>0</v>
      </c>
      <c r="K165" t="str">
        <f>IF(D165=Lookup!$G$6,INDEX(cards[object_id],MATCH('card-code'!E165,cards[object_id order],0)),"")</f>
        <v/>
      </c>
      <c r="L165" t="str">
        <f>IF(D165=Lookup!$G$7,INDEX(cards[name],MATCH('card-code'!E165,cards[object_id order],0)),"")</f>
        <v/>
      </c>
      <c r="M165" t="str">
        <f>IF($D165=Lookup!$L$9,INDEX(cards[icon],MATCH($E165,cards[object_id order],0)),"")</f>
        <v/>
      </c>
      <c r="N165" t="str">
        <f>IF(OR(D165=Lookup!$G$10,D165=Lookup!$G$11),INDEX(cards[[1]:[25]],MATCH($E165,cards[object_id order],0),'card-code'!G165),"")</f>
        <v/>
      </c>
      <c r="O165" t="str">
        <f t="shared" si="7"/>
        <v/>
      </c>
      <c r="P165" s="8" t="str">
        <f>INDEX(Lookup!$H$5:$H$11,MATCH(D165,Lookup!$G$5:$G$11,0))&amp;
K165&amp;L165&amp;M165&amp;N165&amp;
INDEX(Lookup!$I$5:$I$11,MATCH(D165,Lookup!$G$5:$G$11,0))</f>
        <v xml:space="preserve">  entities:</v>
      </c>
    </row>
    <row r="166" spans="2:16" x14ac:dyDescent="0.45">
      <c r="B166">
        <f t="shared" si="6"/>
        <v>164</v>
      </c>
      <c r="C166">
        <f t="shared" si="8"/>
        <v>6</v>
      </c>
      <c r="D166" t="str">
        <f>VLOOKUP(C166,Lookup!$F$5:$G$11,2,FALSE)</f>
        <v>entities</v>
      </c>
      <c r="E166">
        <f>IF(D166=Lookup!$G$5,E165+1,E165)</f>
        <v>21</v>
      </c>
      <c r="F166" s="3">
        <f>INDEX(cards[Entities count],MATCH('card-code'!E166,cards[object_id order],0))</f>
        <v>10</v>
      </c>
      <c r="G166">
        <f>IF(D165=Lookup!$G$9,1,IF(D165=Lookup!$G$10,G165+1,""))</f>
        <v>1</v>
      </c>
      <c r="H166">
        <f>IF(F166=1,  IF(D166=Lookup!$G$9,2,1),  IF(G166&lt;F166-1,0,1)  )</f>
        <v>0</v>
      </c>
      <c r="I166">
        <f>IF(D166&lt;&gt;Lookup!$G$7,0,IF(INDEX(cards[name],MATCH(E166,cards[object_id order],0))&lt;&gt;"",0,1))</f>
        <v>0</v>
      </c>
      <c r="J166">
        <f>IF(D166&lt;&gt;Lookup!$G$7,0,IF(INDEX(cards[icon],MATCH(E166,cards[object_id order],0))&lt;&gt;"",0,1))</f>
        <v>0</v>
      </c>
      <c r="K166" t="str">
        <f>IF(D166=Lookup!$G$6,INDEX(cards[object_id],MATCH('card-code'!E166,cards[object_id order],0)),"")</f>
        <v/>
      </c>
      <c r="L166" t="str">
        <f>IF(D166=Lookup!$G$7,INDEX(cards[name],MATCH('card-code'!E166,cards[object_id order],0)),"")</f>
        <v/>
      </c>
      <c r="M166" t="str">
        <f>IF($D166=Lookup!$L$9,INDEX(cards[icon],MATCH($E166,cards[object_id order],0)),"")</f>
        <v/>
      </c>
      <c r="N166" t="str">
        <f>IF(OR(D166=Lookup!$G$10,D166=Lookup!$G$11),INDEX(cards[[1]:[25]],MATCH($E166,cards[object_id order],0),'card-code'!G166),"")</f>
        <v>device_tracker.vera_lite</v>
      </c>
      <c r="O166" t="str">
        <f t="shared" si="7"/>
        <v/>
      </c>
      <c r="P166" s="8" t="str">
        <f>INDEX(Lookup!$H$5:$H$11,MATCH(D166,Lookup!$G$5:$G$11,0))&amp;
K166&amp;L166&amp;M166&amp;N166&amp;
INDEX(Lookup!$I$5:$I$11,MATCH(D166,Lookup!$G$5:$G$11,0))</f>
        <v xml:space="preserve">    - device_tracker.vera_lite</v>
      </c>
    </row>
    <row r="167" spans="2:16" x14ac:dyDescent="0.45">
      <c r="B167">
        <f t="shared" si="6"/>
        <v>165</v>
      </c>
      <c r="C167">
        <f t="shared" si="8"/>
        <v>6</v>
      </c>
      <c r="D167" t="str">
        <f>VLOOKUP(C167,Lookup!$F$5:$G$11,2,FALSE)</f>
        <v>entities</v>
      </c>
      <c r="E167">
        <f>IF(D167=Lookup!$G$5,E166+1,E166)</f>
        <v>21</v>
      </c>
      <c r="F167" s="3">
        <f>INDEX(cards[Entities count],MATCH('card-code'!E167,cards[object_id order],0))</f>
        <v>10</v>
      </c>
      <c r="G167">
        <f>IF(D166=Lookup!$G$9,1,IF(D166=Lookup!$G$10,G166+1,""))</f>
        <v>2</v>
      </c>
      <c r="H167">
        <f>IF(F167=1,  IF(D167=Lookup!$G$9,2,1),  IF(G167&lt;F167-1,0,1)  )</f>
        <v>0</v>
      </c>
      <c r="I167">
        <f>IF(D167&lt;&gt;Lookup!$G$7,0,IF(INDEX(cards[name],MATCH(E167,cards[object_id order],0))&lt;&gt;"",0,1))</f>
        <v>0</v>
      </c>
      <c r="J167">
        <f>IF(D167&lt;&gt;Lookup!$G$7,0,IF(INDEX(cards[icon],MATCH(E167,cards[object_id order],0))&lt;&gt;"",0,1))</f>
        <v>0</v>
      </c>
      <c r="K167" t="str">
        <f>IF(D167=Lookup!$G$6,INDEX(cards[object_id],MATCH('card-code'!E167,cards[object_id order],0)),"")</f>
        <v/>
      </c>
      <c r="L167" t="str">
        <f>IF(D167=Lookup!$G$7,INDEX(cards[name],MATCH('card-code'!E167,cards[object_id order],0)),"")</f>
        <v/>
      </c>
      <c r="M167" t="str">
        <f>IF($D167=Lookup!$L$9,INDEX(cards[icon],MATCH($E167,cards[object_id order],0)),"")</f>
        <v/>
      </c>
      <c r="N167" t="str">
        <f>IF(OR(D167=Lookup!$G$10,D167=Lookup!$G$11),INDEX(cards[[1]:[25]],MATCH($E167,cards[object_id order],0),'card-code'!G167),"")</f>
        <v>device_tracker.hue_hub</v>
      </c>
      <c r="O167" t="str">
        <f t="shared" si="7"/>
        <v/>
      </c>
      <c r="P167" s="8" t="str">
        <f>INDEX(Lookup!$H$5:$H$11,MATCH(D167,Lookup!$G$5:$G$11,0))&amp;
K167&amp;L167&amp;M167&amp;N167&amp;
INDEX(Lookup!$I$5:$I$11,MATCH(D167,Lookup!$G$5:$G$11,0))</f>
        <v xml:space="preserve">    - device_tracker.hue_hub</v>
      </c>
    </row>
    <row r="168" spans="2:16" x14ac:dyDescent="0.45">
      <c r="B168">
        <f t="shared" si="6"/>
        <v>166</v>
      </c>
      <c r="C168">
        <f t="shared" si="8"/>
        <v>6</v>
      </c>
      <c r="D168" t="str">
        <f>VLOOKUP(C168,Lookup!$F$5:$G$11,2,FALSE)</f>
        <v>entities</v>
      </c>
      <c r="E168">
        <f>IF(D168=Lookup!$G$5,E167+1,E167)</f>
        <v>21</v>
      </c>
      <c r="F168" s="3">
        <f>INDEX(cards[Entities count],MATCH('card-code'!E168,cards[object_id order],0))</f>
        <v>10</v>
      </c>
      <c r="G168">
        <f>IF(D167=Lookup!$G$9,1,IF(D167=Lookup!$G$10,G167+1,""))</f>
        <v>3</v>
      </c>
      <c r="H168">
        <f>IF(F168=1,  IF(D168=Lookup!$G$9,2,1),  IF(G168&lt;F168-1,0,1)  )</f>
        <v>0</v>
      </c>
      <c r="I168">
        <f>IF(D168&lt;&gt;Lookup!$G$7,0,IF(INDEX(cards[name],MATCH(E168,cards[object_id order],0))&lt;&gt;"",0,1))</f>
        <v>0</v>
      </c>
      <c r="J168">
        <f>IF(D168&lt;&gt;Lookup!$G$7,0,IF(INDEX(cards[icon],MATCH(E168,cards[object_id order],0))&lt;&gt;"",0,1))</f>
        <v>0</v>
      </c>
      <c r="K168" t="str">
        <f>IF(D168=Lookup!$G$6,INDEX(cards[object_id],MATCH('card-code'!E168,cards[object_id order],0)),"")</f>
        <v/>
      </c>
      <c r="L168" t="str">
        <f>IF(D168=Lookup!$G$7,INDEX(cards[name],MATCH('card-code'!E168,cards[object_id order],0)),"")</f>
        <v/>
      </c>
      <c r="M168" t="str">
        <f>IF($D168=Lookup!$L$9,INDEX(cards[icon],MATCH($E168,cards[object_id order],0)),"")</f>
        <v/>
      </c>
      <c r="N168" t="str">
        <f>IF(OR(D168=Lookup!$G$10,D168=Lookup!$G$11),INDEX(cards[[1]:[25]],MATCH($E168,cards[object_id order],0),'card-code'!G168),"")</f>
        <v>device_tracker.wf2ir</v>
      </c>
      <c r="O168" t="str">
        <f t="shared" si="7"/>
        <v/>
      </c>
      <c r="P168" s="8" t="str">
        <f>INDEX(Lookup!$H$5:$H$11,MATCH(D168,Lookup!$G$5:$G$11,0))&amp;
K168&amp;L168&amp;M168&amp;N168&amp;
INDEX(Lookup!$I$5:$I$11,MATCH(D168,Lookup!$G$5:$G$11,0))</f>
        <v xml:space="preserve">    - device_tracker.wf2ir</v>
      </c>
    </row>
    <row r="169" spans="2:16" x14ac:dyDescent="0.45">
      <c r="B169">
        <f t="shared" si="6"/>
        <v>167</v>
      </c>
      <c r="C169">
        <f t="shared" si="8"/>
        <v>6</v>
      </c>
      <c r="D169" t="str">
        <f>VLOOKUP(C169,Lookup!$F$5:$G$11,2,FALSE)</f>
        <v>entities</v>
      </c>
      <c r="E169">
        <f>IF(D169=Lookup!$G$5,E168+1,E168)</f>
        <v>21</v>
      </c>
      <c r="F169" s="3">
        <f>INDEX(cards[Entities count],MATCH('card-code'!E169,cards[object_id order],0))</f>
        <v>10</v>
      </c>
      <c r="G169">
        <f>IF(D168=Lookup!$G$9,1,IF(D168=Lookup!$G$10,G168+1,""))</f>
        <v>4</v>
      </c>
      <c r="H169">
        <f>IF(F169=1,  IF(D169=Lookup!$G$9,2,1),  IF(G169&lt;F169-1,0,1)  )</f>
        <v>0</v>
      </c>
      <c r="I169">
        <f>IF(D169&lt;&gt;Lookup!$G$7,0,IF(INDEX(cards[name],MATCH(E169,cards[object_id order],0))&lt;&gt;"",0,1))</f>
        <v>0</v>
      </c>
      <c r="J169">
        <f>IF(D169&lt;&gt;Lookup!$G$7,0,IF(INDEX(cards[icon],MATCH(E169,cards[object_id order],0))&lt;&gt;"",0,1))</f>
        <v>0</v>
      </c>
      <c r="K169" t="str">
        <f>IF(D169=Lookup!$G$6,INDEX(cards[object_id],MATCH('card-code'!E169,cards[object_id order],0)),"")</f>
        <v/>
      </c>
      <c r="L169" t="str">
        <f>IF(D169=Lookup!$G$7,INDEX(cards[name],MATCH('card-code'!E169,cards[object_id order],0)),"")</f>
        <v/>
      </c>
      <c r="M169" t="str">
        <f>IF($D169=Lookup!$L$9,INDEX(cards[icon],MATCH($E169,cards[object_id order],0)),"")</f>
        <v/>
      </c>
      <c r="N169" t="str">
        <f>IF(OR(D169=Lookup!$G$10,D169=Lookup!$G$11),INDEX(cards[[1]:[25]],MATCH($E169,cards[object_id order],0),'card-code'!G169),"")</f>
        <v>device_tracker.jtac</v>
      </c>
      <c r="O169" t="str">
        <f t="shared" si="7"/>
        <v/>
      </c>
      <c r="P169" s="8" t="str">
        <f>INDEX(Lookup!$H$5:$H$11,MATCH(D169,Lookup!$G$5:$G$11,0))&amp;
K169&amp;L169&amp;M169&amp;N169&amp;
INDEX(Lookup!$I$5:$I$11,MATCH(D169,Lookup!$G$5:$G$11,0))</f>
        <v xml:space="preserve">    - device_tracker.jtac</v>
      </c>
    </row>
    <row r="170" spans="2:16" x14ac:dyDescent="0.45">
      <c r="B170">
        <f t="shared" si="6"/>
        <v>168</v>
      </c>
      <c r="C170">
        <f t="shared" si="8"/>
        <v>6</v>
      </c>
      <c r="D170" t="str">
        <f>VLOOKUP(C170,Lookup!$F$5:$G$11,2,FALSE)</f>
        <v>entities</v>
      </c>
      <c r="E170">
        <f>IF(D170=Lookup!$G$5,E169+1,E169)</f>
        <v>21</v>
      </c>
      <c r="F170" s="3">
        <f>INDEX(cards[Entities count],MATCH('card-code'!E170,cards[object_id order],0))</f>
        <v>10</v>
      </c>
      <c r="G170">
        <f>IF(D169=Lookup!$G$9,1,IF(D169=Lookup!$G$10,G169+1,""))</f>
        <v>5</v>
      </c>
      <c r="H170">
        <f>IF(F170=1,  IF(D170=Lookup!$G$9,2,1),  IF(G170&lt;F170-1,0,1)  )</f>
        <v>0</v>
      </c>
      <c r="I170">
        <f>IF(D170&lt;&gt;Lookup!$G$7,0,IF(INDEX(cards[name],MATCH(E170,cards[object_id order],0))&lt;&gt;"",0,1))</f>
        <v>0</v>
      </c>
      <c r="J170">
        <f>IF(D170&lt;&gt;Lookup!$G$7,0,IF(INDEX(cards[icon],MATCH(E170,cards[object_id order],0))&lt;&gt;"",0,1))</f>
        <v>0</v>
      </c>
      <c r="K170" t="str">
        <f>IF(D170=Lookup!$G$6,INDEX(cards[object_id],MATCH('card-code'!E170,cards[object_id order],0)),"")</f>
        <v/>
      </c>
      <c r="L170" t="str">
        <f>IF(D170=Lookup!$G$7,INDEX(cards[name],MATCH('card-code'!E170,cards[object_id order],0)),"")</f>
        <v/>
      </c>
      <c r="M170" t="str">
        <f>IF($D170=Lookup!$L$9,INDEX(cards[icon],MATCH($E170,cards[object_id order],0)),"")</f>
        <v/>
      </c>
      <c r="N170" t="str">
        <f>IF(OR(D170=Lookup!$G$10,D170=Lookup!$G$11),INDEX(cards[[1]:[25]],MATCH($E170,cards[object_id order],0),'card-code'!G170),"")</f>
        <v>device_tracker.raspi_vpn</v>
      </c>
      <c r="O170" t="str">
        <f t="shared" si="7"/>
        <v/>
      </c>
      <c r="P170" s="8" t="str">
        <f>INDEX(Lookup!$H$5:$H$11,MATCH(D170,Lookup!$G$5:$G$11,0))&amp;
K170&amp;L170&amp;M170&amp;N170&amp;
INDEX(Lookup!$I$5:$I$11,MATCH(D170,Lookup!$G$5:$G$11,0))</f>
        <v xml:space="preserve">    - device_tracker.raspi_vpn</v>
      </c>
    </row>
    <row r="171" spans="2:16" x14ac:dyDescent="0.45">
      <c r="B171">
        <f t="shared" si="6"/>
        <v>169</v>
      </c>
      <c r="C171">
        <f t="shared" si="8"/>
        <v>6</v>
      </c>
      <c r="D171" t="str">
        <f>VLOOKUP(C171,Lookup!$F$5:$G$11,2,FALSE)</f>
        <v>entities</v>
      </c>
      <c r="E171">
        <f>IF(D171=Lookup!$G$5,E170+1,E170)</f>
        <v>21</v>
      </c>
      <c r="F171" s="3">
        <f>INDEX(cards[Entities count],MATCH('card-code'!E171,cards[object_id order],0))</f>
        <v>10</v>
      </c>
      <c r="G171">
        <f>IF(D170=Lookup!$G$9,1,IF(D170=Lookup!$G$10,G170+1,""))</f>
        <v>6</v>
      </c>
      <c r="H171">
        <f>IF(F171=1,  IF(D171=Lookup!$G$9,2,1),  IF(G171&lt;F171-1,0,1)  )</f>
        <v>0</v>
      </c>
      <c r="I171">
        <f>IF(D171&lt;&gt;Lookup!$G$7,0,IF(INDEX(cards[name],MATCH(E171,cards[object_id order],0))&lt;&gt;"",0,1))</f>
        <v>0</v>
      </c>
      <c r="J171">
        <f>IF(D171&lt;&gt;Lookup!$G$7,0,IF(INDEX(cards[icon],MATCH(E171,cards[object_id order],0))&lt;&gt;"",0,1))</f>
        <v>0</v>
      </c>
      <c r="K171" t="str">
        <f>IF(D171=Lookup!$G$6,INDEX(cards[object_id],MATCH('card-code'!E171,cards[object_id order],0)),"")</f>
        <v/>
      </c>
      <c r="L171" t="str">
        <f>IF(D171=Lookup!$G$7,INDEX(cards[name],MATCH('card-code'!E171,cards[object_id order],0)),"")</f>
        <v/>
      </c>
      <c r="M171" t="str">
        <f>IF($D171=Lookup!$L$9,INDEX(cards[icon],MATCH($E171,cards[object_id order],0)),"")</f>
        <v/>
      </c>
      <c r="N171" t="str">
        <f>IF(OR(D171=Lookup!$G$10,D171=Lookup!$G$11),INDEX(cards[[1]:[25]],MATCH($E171,cards[object_id order],0),'card-code'!G171),"")</f>
        <v>device_tracker.chromecast</v>
      </c>
      <c r="O171" t="str">
        <f t="shared" si="7"/>
        <v/>
      </c>
      <c r="P171" s="8" t="str">
        <f>INDEX(Lookup!$H$5:$H$11,MATCH(D171,Lookup!$G$5:$G$11,0))&amp;
K171&amp;L171&amp;M171&amp;N171&amp;
INDEX(Lookup!$I$5:$I$11,MATCH(D171,Lookup!$G$5:$G$11,0))</f>
        <v xml:space="preserve">    - device_tracker.chromecast</v>
      </c>
    </row>
    <row r="172" spans="2:16" x14ac:dyDescent="0.45">
      <c r="B172">
        <f t="shared" si="6"/>
        <v>170</v>
      </c>
      <c r="C172">
        <f t="shared" si="8"/>
        <v>6</v>
      </c>
      <c r="D172" t="str">
        <f>VLOOKUP(C172,Lookup!$F$5:$G$11,2,FALSE)</f>
        <v>entities</v>
      </c>
      <c r="E172">
        <f>IF(D172=Lookup!$G$5,E171+1,E171)</f>
        <v>21</v>
      </c>
      <c r="F172" s="3">
        <f>INDEX(cards[Entities count],MATCH('card-code'!E172,cards[object_id order],0))</f>
        <v>10</v>
      </c>
      <c r="G172">
        <f>IF(D171=Lookup!$G$9,1,IF(D171=Lookup!$G$10,G171+1,""))</f>
        <v>7</v>
      </c>
      <c r="H172">
        <f>IF(F172=1,  IF(D172=Lookup!$G$9,2,1),  IF(G172&lt;F172-1,0,1)  )</f>
        <v>0</v>
      </c>
      <c r="I172">
        <f>IF(D172&lt;&gt;Lookup!$G$7,0,IF(INDEX(cards[name],MATCH(E172,cards[object_id order],0))&lt;&gt;"",0,1))</f>
        <v>0</v>
      </c>
      <c r="J172">
        <f>IF(D172&lt;&gt;Lookup!$G$7,0,IF(INDEX(cards[icon],MATCH(E172,cards[object_id order],0))&lt;&gt;"",0,1))</f>
        <v>0</v>
      </c>
      <c r="K172" t="str">
        <f>IF(D172=Lookup!$G$6,INDEX(cards[object_id],MATCH('card-code'!E172,cards[object_id order],0)),"")</f>
        <v/>
      </c>
      <c r="L172" t="str">
        <f>IF(D172=Lookup!$G$7,INDEX(cards[name],MATCH('card-code'!E172,cards[object_id order],0)),"")</f>
        <v/>
      </c>
      <c r="M172" t="str">
        <f>IF($D172=Lookup!$L$9,INDEX(cards[icon],MATCH($E172,cards[object_id order],0)),"")</f>
        <v/>
      </c>
      <c r="N172" t="str">
        <f>IF(OR(D172=Lookup!$G$10,D172=Lookup!$G$11),INDEX(cards[[1]:[25]],MATCH($E172,cards[object_id order],0),'card-code'!G172),"")</f>
        <v>device_tracker.chromecast_2</v>
      </c>
      <c r="O172" t="str">
        <f t="shared" si="7"/>
        <v/>
      </c>
      <c r="P172" s="8" t="str">
        <f>INDEX(Lookup!$H$5:$H$11,MATCH(D172,Lookup!$G$5:$G$11,0))&amp;
K172&amp;L172&amp;M172&amp;N172&amp;
INDEX(Lookup!$I$5:$I$11,MATCH(D172,Lookup!$G$5:$G$11,0))</f>
        <v xml:space="preserve">    - device_tracker.chromecast_2</v>
      </c>
    </row>
    <row r="173" spans="2:16" x14ac:dyDescent="0.45">
      <c r="B173">
        <f t="shared" si="6"/>
        <v>171</v>
      </c>
      <c r="C173">
        <f t="shared" si="8"/>
        <v>6</v>
      </c>
      <c r="D173" t="str">
        <f>VLOOKUP(C173,Lookup!$F$5:$G$11,2,FALSE)</f>
        <v>entities</v>
      </c>
      <c r="E173">
        <f>IF(D173=Lookup!$G$5,E172+1,E172)</f>
        <v>21</v>
      </c>
      <c r="F173" s="3">
        <f>INDEX(cards[Entities count],MATCH('card-code'!E173,cards[object_id order],0))</f>
        <v>10</v>
      </c>
      <c r="G173">
        <f>IF(D172=Lookup!$G$9,1,IF(D172=Lookup!$G$10,G172+1,""))</f>
        <v>8</v>
      </c>
      <c r="H173">
        <f>IF(F173=1,  IF(D173=Lookup!$G$9,2,1),  IF(G173&lt;F173-1,0,1)  )</f>
        <v>0</v>
      </c>
      <c r="I173">
        <f>IF(D173&lt;&gt;Lookup!$G$7,0,IF(INDEX(cards[name],MATCH(E173,cards[object_id order],0))&lt;&gt;"",0,1))</f>
        <v>0</v>
      </c>
      <c r="J173">
        <f>IF(D173&lt;&gt;Lookup!$G$7,0,IF(INDEX(cards[icon],MATCH(E173,cards[object_id order],0))&lt;&gt;"",0,1))</f>
        <v>0</v>
      </c>
      <c r="K173" t="str">
        <f>IF(D173=Lookup!$G$6,INDEX(cards[object_id],MATCH('card-code'!E173,cards[object_id order],0)),"")</f>
        <v/>
      </c>
      <c r="L173" t="str">
        <f>IF(D173=Lookup!$G$7,INDEX(cards[name],MATCH('card-code'!E173,cards[object_id order],0)),"")</f>
        <v/>
      </c>
      <c r="M173" t="str">
        <f>IF($D173=Lookup!$L$9,INDEX(cards[icon],MATCH($E173,cards[object_id order],0)),"")</f>
        <v/>
      </c>
      <c r="N173" t="str">
        <f>IF(OR(D173=Lookup!$G$10,D173=Lookup!$G$11),INDEX(cards[[1]:[25]],MATCH($E173,cards[object_id order],0),'card-code'!G173),"")</f>
        <v>device_tracker.echo_dot</v>
      </c>
      <c r="O173" t="str">
        <f t="shared" si="7"/>
        <v/>
      </c>
      <c r="P173" s="8" t="str">
        <f>INDEX(Lookup!$H$5:$H$11,MATCH(D173,Lookup!$G$5:$G$11,0))&amp;
K173&amp;L173&amp;M173&amp;N173&amp;
INDEX(Lookup!$I$5:$I$11,MATCH(D173,Lookup!$G$5:$G$11,0))</f>
        <v xml:space="preserve">    - device_tracker.echo_dot</v>
      </c>
    </row>
    <row r="174" spans="2:16" x14ac:dyDescent="0.45">
      <c r="B174">
        <f t="shared" si="6"/>
        <v>172</v>
      </c>
      <c r="C174">
        <f t="shared" si="8"/>
        <v>6</v>
      </c>
      <c r="D174" t="str">
        <f>VLOOKUP(C174,Lookup!$F$5:$G$11,2,FALSE)</f>
        <v>entities</v>
      </c>
      <c r="E174">
        <f>IF(D174=Lookup!$G$5,E173+1,E173)</f>
        <v>21</v>
      </c>
      <c r="F174" s="3">
        <f>INDEX(cards[Entities count],MATCH('card-code'!E174,cards[object_id order],0))</f>
        <v>10</v>
      </c>
      <c r="G174">
        <f>IF(D173=Lookup!$G$9,1,IF(D173=Lookup!$G$10,G173+1,""))</f>
        <v>9</v>
      </c>
      <c r="H174">
        <f>IF(F174=1,  IF(D174=Lookup!$G$9,2,1),  IF(G174&lt;F174-1,0,1)  )</f>
        <v>1</v>
      </c>
      <c r="I174">
        <f>IF(D174&lt;&gt;Lookup!$G$7,0,IF(INDEX(cards[name],MATCH(E174,cards[object_id order],0))&lt;&gt;"",0,1))</f>
        <v>0</v>
      </c>
      <c r="J174">
        <f>IF(D174&lt;&gt;Lookup!$G$7,0,IF(INDEX(cards[icon],MATCH(E174,cards[object_id order],0))&lt;&gt;"",0,1))</f>
        <v>0</v>
      </c>
      <c r="K174" t="str">
        <f>IF(D174=Lookup!$G$6,INDEX(cards[object_id],MATCH('card-code'!E174,cards[object_id order],0)),"")</f>
        <v/>
      </c>
      <c r="L174" t="str">
        <f>IF(D174=Lookup!$G$7,INDEX(cards[name],MATCH('card-code'!E174,cards[object_id order],0)),"")</f>
        <v/>
      </c>
      <c r="M174" t="str">
        <f>IF($D174=Lookup!$L$9,INDEX(cards[icon],MATCH($E174,cards[object_id order],0)),"")</f>
        <v/>
      </c>
      <c r="N174" t="str">
        <f>IF(OR(D174=Lookup!$G$10,D174=Lookup!$G$11),INDEX(cards[[1]:[25]],MATCH($E174,cards[object_id order],0),'card-code'!G174),"")</f>
        <v>device_tracker.echo_tap</v>
      </c>
      <c r="O174" t="str">
        <f t="shared" si="7"/>
        <v/>
      </c>
      <c r="P174" s="8" t="str">
        <f>INDEX(Lookup!$H$5:$H$11,MATCH(D174,Lookup!$G$5:$G$11,0))&amp;
K174&amp;L174&amp;M174&amp;N174&amp;
INDEX(Lookup!$I$5:$I$11,MATCH(D174,Lookup!$G$5:$G$11,0))</f>
        <v xml:space="preserve">    - device_tracker.echo_tap</v>
      </c>
    </row>
    <row r="175" spans="2:16" x14ac:dyDescent="0.45">
      <c r="B175">
        <f t="shared" si="6"/>
        <v>173</v>
      </c>
      <c r="C175">
        <f t="shared" si="8"/>
        <v>7</v>
      </c>
      <c r="D175" t="str">
        <f>VLOOKUP(C175,Lookup!$F$5:$G$11,2,FALSE)</f>
        <v>entities end</v>
      </c>
      <c r="E175">
        <f>IF(D175=Lookup!$G$5,E174+1,E174)</f>
        <v>21</v>
      </c>
      <c r="F175" s="3">
        <f>INDEX(cards[Entities count],MATCH('card-code'!E175,cards[object_id order],0))</f>
        <v>10</v>
      </c>
      <c r="G175">
        <f>IF(D174=Lookup!$G$9,1,IF(D174=Lookup!$G$10,G174+1,""))</f>
        <v>10</v>
      </c>
      <c r="H175">
        <f>IF(F175=1,  IF(D175=Lookup!$G$9,2,1),  IF(G175&lt;F175-1,0,1)  )</f>
        <v>1</v>
      </c>
      <c r="I175">
        <f>IF(D175&lt;&gt;Lookup!$G$7,0,IF(INDEX(cards[name],MATCH(E175,cards[object_id order],0))&lt;&gt;"",0,1))</f>
        <v>0</v>
      </c>
      <c r="J175">
        <f>IF(D175&lt;&gt;Lookup!$G$7,0,IF(INDEX(cards[icon],MATCH(E175,cards[object_id order],0))&lt;&gt;"",0,1))</f>
        <v>0</v>
      </c>
      <c r="K175" t="str">
        <f>IF(D175=Lookup!$G$6,INDEX(cards[object_id],MATCH('card-code'!E175,cards[object_id order],0)),"")</f>
        <v/>
      </c>
      <c r="L175" t="str">
        <f>IF(D175=Lookup!$G$7,INDEX(cards[name],MATCH('card-code'!E175,cards[object_id order],0)),"")</f>
        <v/>
      </c>
      <c r="M175" t="str">
        <f>IF($D175=Lookup!$L$9,INDEX(cards[icon],MATCH($E175,cards[object_id order],0)),"")</f>
        <v/>
      </c>
      <c r="N175" t="str">
        <f>IF(OR(D175=Lookup!$G$10,D175=Lookup!$G$11),INDEX(cards[[1]:[25]],MATCH($E175,cards[object_id order],0),'card-code'!G175),"")</f>
        <v>device_tracker.withings_scale</v>
      </c>
      <c r="O175" t="str">
        <f t="shared" si="7"/>
        <v/>
      </c>
      <c r="P175" s="8" t="str">
        <f>INDEX(Lookup!$H$5:$H$11,MATCH(D175,Lookup!$G$5:$G$11,0))&amp;
K175&amp;L175&amp;M175&amp;N175&amp;
INDEX(Lookup!$I$5:$I$11,MATCH(D175,Lookup!$G$5:$G$11,0))</f>
        <v xml:space="preserve">    - device_tracker.withings_scale</v>
      </c>
    </row>
    <row r="176" spans="2:16" x14ac:dyDescent="0.45">
      <c r="B176">
        <f t="shared" si="6"/>
        <v>174</v>
      </c>
      <c r="C176">
        <f t="shared" si="8"/>
        <v>1</v>
      </c>
      <c r="D176" t="str">
        <f>VLOOKUP(C176,Lookup!$F$5:$G$11,2,FALSE)</f>
        <v>blank</v>
      </c>
      <c r="E176">
        <f>IF(D176=Lookup!$G$5,E175+1,E175)</f>
        <v>22</v>
      </c>
      <c r="F176" s="3">
        <f>INDEX(cards[Entities count],MATCH('card-code'!E176,cards[object_id order],0))</f>
        <v>3</v>
      </c>
      <c r="G176" t="str">
        <f>IF(D175=Lookup!$G$9,1,IF(D175=Lookup!$G$10,G175+1,""))</f>
        <v/>
      </c>
      <c r="H176">
        <f>IF(F176=1,  IF(D176=Lookup!$G$9,2,1),  IF(G176&lt;F176-1,0,1)  )</f>
        <v>1</v>
      </c>
      <c r="I176">
        <f>IF(D176&lt;&gt;Lookup!$G$7,0,IF(INDEX(cards[name],MATCH(E176,cards[object_id order],0))&lt;&gt;"",0,1))</f>
        <v>0</v>
      </c>
      <c r="J176">
        <f>IF(D176&lt;&gt;Lookup!$G$7,0,IF(INDEX(cards[icon],MATCH(E176,cards[object_id order],0))&lt;&gt;"",0,1))</f>
        <v>0</v>
      </c>
      <c r="K176" t="str">
        <f>IF(D176=Lookup!$G$6,INDEX(cards[object_id],MATCH('card-code'!E176,cards[object_id order],0)),"")</f>
        <v/>
      </c>
      <c r="L176" t="str">
        <f>IF(D176=Lookup!$G$7,INDEX(cards[name],MATCH('card-code'!E176,cards[object_id order],0)),"")</f>
        <v/>
      </c>
      <c r="M176" t="str">
        <f>IF($D176=Lookup!$L$9,INDEX(cards[icon],MATCH($E176,cards[object_id order],0)),"")</f>
        <v/>
      </c>
      <c r="N176" t="str">
        <f>IF(OR(D176=Lookup!$G$10,D176=Lookup!$G$11),INDEX(cards[[1]:[25]],MATCH($E176,cards[object_id order],0),'card-code'!G176),"")</f>
        <v/>
      </c>
      <c r="O176" t="str">
        <f t="shared" si="7"/>
        <v/>
      </c>
      <c r="P176" s="8" t="str">
        <f>INDEX(Lookup!$H$5:$H$11,MATCH(D176,Lookup!$G$5:$G$11,0))&amp;
K176&amp;L176&amp;M176&amp;N176&amp;
INDEX(Lookup!$I$5:$I$11,MATCH(D176,Lookup!$G$5:$G$11,0))</f>
        <v/>
      </c>
    </row>
    <row r="177" spans="2:16" x14ac:dyDescent="0.45">
      <c r="B177">
        <f t="shared" si="6"/>
        <v>175</v>
      </c>
      <c r="C177">
        <f t="shared" si="8"/>
        <v>2</v>
      </c>
      <c r="D177" t="str">
        <f>VLOOKUP(C177,Lookup!$F$5:$G$11,2,FALSE)</f>
        <v>card</v>
      </c>
      <c r="E177">
        <f>IF(D177=Lookup!$G$5,E176+1,E176)</f>
        <v>22</v>
      </c>
      <c r="F177" s="3">
        <f>INDEX(cards[Entities count],MATCH('card-code'!E177,cards[object_id order],0))</f>
        <v>3</v>
      </c>
      <c r="G177" t="str">
        <f>IF(D176=Lookup!$G$9,1,IF(D176=Lookup!$G$10,G176+1,""))</f>
        <v/>
      </c>
      <c r="H177">
        <f>IF(F177=1,  IF(D177=Lookup!$G$9,2,1),  IF(G177&lt;F177-1,0,1)  )</f>
        <v>1</v>
      </c>
      <c r="I177">
        <f>IF(D177&lt;&gt;Lookup!$G$7,0,IF(INDEX(cards[name],MATCH(E177,cards[object_id order],0))&lt;&gt;"",0,1))</f>
        <v>0</v>
      </c>
      <c r="J177">
        <f>IF(D177&lt;&gt;Lookup!$G$7,0,IF(INDEX(cards[icon],MATCH(E177,cards[object_id order],0))&lt;&gt;"",0,1))</f>
        <v>0</v>
      </c>
      <c r="K177" t="str">
        <f>IF(D177=Lookup!$G$6,INDEX(cards[object_id],MATCH('card-code'!E177,cards[object_id order],0)),"")</f>
        <v>network</v>
      </c>
      <c r="L177" t="str">
        <f>IF(D177=Lookup!$G$7,INDEX(cards[name],MATCH('card-code'!E177,cards[object_id order],0)),"")</f>
        <v/>
      </c>
      <c r="M177" t="str">
        <f>IF($D177=Lookup!$L$9,INDEX(cards[icon],MATCH($E177,cards[object_id order],0)),"")</f>
        <v/>
      </c>
      <c r="N177" t="str">
        <f>IF(OR(D177=Lookup!$G$10,D177=Lookup!$G$11),INDEX(cards[[1]:[25]],MATCH($E177,cards[object_id order],0),'card-code'!G177),"")</f>
        <v/>
      </c>
      <c r="O177" t="str">
        <f t="shared" si="7"/>
        <v/>
      </c>
      <c r="P177" s="8" t="str">
        <f>INDEX(Lookup!$H$5:$H$11,MATCH(D177,Lookup!$G$5:$G$11,0))&amp;
K177&amp;L177&amp;M177&amp;N177&amp;
INDEX(Lookup!$I$5:$I$11,MATCH(D177,Lookup!$G$5:$G$11,0))</f>
        <v>network:</v>
      </c>
    </row>
    <row r="178" spans="2:16" x14ac:dyDescent="0.45">
      <c r="B178">
        <f t="shared" si="6"/>
        <v>176</v>
      </c>
      <c r="C178">
        <f t="shared" si="8"/>
        <v>3</v>
      </c>
      <c r="D178" t="str">
        <f>VLOOKUP(C178,Lookup!$F$5:$G$11,2,FALSE)</f>
        <v>name</v>
      </c>
      <c r="E178">
        <f>IF(D178=Lookup!$G$5,E177+1,E177)</f>
        <v>22</v>
      </c>
      <c r="F178" s="3">
        <f>INDEX(cards[Entities count],MATCH('card-code'!E178,cards[object_id order],0))</f>
        <v>3</v>
      </c>
      <c r="G178" t="str">
        <f>IF(D177=Lookup!$G$9,1,IF(D177=Lookup!$G$10,G177+1,""))</f>
        <v/>
      </c>
      <c r="H178">
        <f>IF(F178=1,  IF(D178=Lookup!$G$9,2,1),  IF(G178&lt;F178-1,0,1)  )</f>
        <v>1</v>
      </c>
      <c r="I178">
        <f>IF(D178&lt;&gt;Lookup!$G$7,0,IF(INDEX(cards[name],MATCH(E178,cards[object_id order],0))&lt;&gt;"",0,1))</f>
        <v>0</v>
      </c>
      <c r="J178">
        <f>IF(D178&lt;&gt;Lookup!$G$7,0,IF(INDEX(cards[icon],MATCH(E178,cards[object_id order],0))&lt;&gt;"",0,1))</f>
        <v>1</v>
      </c>
      <c r="K178" t="str">
        <f>IF(D178=Lookup!$G$6,INDEX(cards[object_id],MATCH('card-code'!E178,cards[object_id order],0)),"")</f>
        <v/>
      </c>
      <c r="L178" t="str">
        <f>IF(D178=Lookup!$G$7,INDEX(cards[name],MATCH('card-code'!E178,cards[object_id order],0)),"")</f>
        <v>Network</v>
      </c>
      <c r="M178" t="str">
        <f>IF($D178=Lookup!$L$9,INDEX(cards[icon],MATCH($E178,cards[object_id order],0)),"")</f>
        <v/>
      </c>
      <c r="N178" t="str">
        <f>IF(OR(D178=Lookup!$G$10,D178=Lookup!$G$11),INDEX(cards[[1]:[25]],MATCH($E178,cards[object_id order],0),'card-code'!G178),"")</f>
        <v/>
      </c>
      <c r="O178" t="str">
        <f t="shared" si="7"/>
        <v/>
      </c>
      <c r="P178" s="8" t="str">
        <f>INDEX(Lookup!$H$5:$H$11,MATCH(D178,Lookup!$G$5:$G$11,0))&amp;
K178&amp;L178&amp;M178&amp;N178&amp;
INDEX(Lookup!$I$5:$I$11,MATCH(D178,Lookup!$G$5:$G$11,0))</f>
        <v xml:space="preserve">  name: "Network"</v>
      </c>
    </row>
    <row r="179" spans="2:16" x14ac:dyDescent="0.45">
      <c r="B179">
        <f t="shared" si="6"/>
        <v>177</v>
      </c>
      <c r="C179">
        <f t="shared" si="8"/>
        <v>5</v>
      </c>
      <c r="D179" t="str">
        <f>VLOOKUP(C179,Lookup!$F$5:$G$11,2,FALSE)</f>
        <v>entities header</v>
      </c>
      <c r="E179">
        <f>IF(D179=Lookup!$G$5,E178+1,E178)</f>
        <v>22</v>
      </c>
      <c r="F179" s="3">
        <f>INDEX(cards[Entities count],MATCH('card-code'!E179,cards[object_id order],0))</f>
        <v>3</v>
      </c>
      <c r="G179" t="str">
        <f>IF(D178=Lookup!$G$9,1,IF(D178=Lookup!$G$10,G178+1,""))</f>
        <v/>
      </c>
      <c r="H179">
        <f>IF(F179=1,  IF(D179=Lookup!$G$9,2,1),  IF(G179&lt;F179-1,0,1)  )</f>
        <v>1</v>
      </c>
      <c r="I179">
        <f>IF(D179&lt;&gt;Lookup!$G$7,0,IF(INDEX(cards[name],MATCH(E179,cards[object_id order],0))&lt;&gt;"",0,1))</f>
        <v>0</v>
      </c>
      <c r="J179">
        <f>IF(D179&lt;&gt;Lookup!$G$7,0,IF(INDEX(cards[icon],MATCH(E179,cards[object_id order],0))&lt;&gt;"",0,1))</f>
        <v>0</v>
      </c>
      <c r="K179" t="str">
        <f>IF(D179=Lookup!$G$6,INDEX(cards[object_id],MATCH('card-code'!E179,cards[object_id order],0)),"")</f>
        <v/>
      </c>
      <c r="L179" t="str">
        <f>IF(D179=Lookup!$G$7,INDEX(cards[name],MATCH('card-code'!E179,cards[object_id order],0)),"")</f>
        <v/>
      </c>
      <c r="M179" t="str">
        <f>IF($D179=Lookup!$L$9,INDEX(cards[icon],MATCH($E179,cards[object_id order],0)),"")</f>
        <v/>
      </c>
      <c r="N179" t="str">
        <f>IF(OR(D179=Lookup!$G$10,D179=Lookup!$G$11),INDEX(cards[[1]:[25]],MATCH($E179,cards[object_id order],0),'card-code'!G179),"")</f>
        <v/>
      </c>
      <c r="O179" t="str">
        <f t="shared" si="7"/>
        <v/>
      </c>
      <c r="P179" s="8" t="str">
        <f>INDEX(Lookup!$H$5:$H$11,MATCH(D179,Lookup!$G$5:$G$11,0))&amp;
K179&amp;L179&amp;M179&amp;N179&amp;
INDEX(Lookup!$I$5:$I$11,MATCH(D179,Lookup!$G$5:$G$11,0))</f>
        <v xml:space="preserve">  entities:</v>
      </c>
    </row>
    <row r="180" spans="2:16" x14ac:dyDescent="0.45">
      <c r="B180">
        <f t="shared" si="6"/>
        <v>178</v>
      </c>
      <c r="C180">
        <f t="shared" si="8"/>
        <v>6</v>
      </c>
      <c r="D180" t="str">
        <f>VLOOKUP(C180,Lookup!$F$5:$G$11,2,FALSE)</f>
        <v>entities</v>
      </c>
      <c r="E180">
        <f>IF(D180=Lookup!$G$5,E179+1,E179)</f>
        <v>22</v>
      </c>
      <c r="F180" s="3">
        <f>INDEX(cards[Entities count],MATCH('card-code'!E180,cards[object_id order],0))</f>
        <v>3</v>
      </c>
      <c r="G180">
        <f>IF(D179=Lookup!$G$9,1,IF(D179=Lookup!$G$10,G179+1,""))</f>
        <v>1</v>
      </c>
      <c r="H180">
        <f>IF(F180=1,  IF(D180=Lookup!$G$9,2,1),  IF(G180&lt;F180-1,0,1)  )</f>
        <v>0</v>
      </c>
      <c r="I180">
        <f>IF(D180&lt;&gt;Lookup!$G$7,0,IF(INDEX(cards[name],MATCH(E180,cards[object_id order],0))&lt;&gt;"",0,1))</f>
        <v>0</v>
      </c>
      <c r="J180">
        <f>IF(D180&lt;&gt;Lookup!$G$7,0,IF(INDEX(cards[icon],MATCH(E180,cards[object_id order],0))&lt;&gt;"",0,1))</f>
        <v>0</v>
      </c>
      <c r="K180" t="str">
        <f>IF(D180=Lookup!$G$6,INDEX(cards[object_id],MATCH('card-code'!E180,cards[object_id order],0)),"")</f>
        <v/>
      </c>
      <c r="L180" t="str">
        <f>IF(D180=Lookup!$G$7,INDEX(cards[name],MATCH('card-code'!E180,cards[object_id order],0)),"")</f>
        <v/>
      </c>
      <c r="M180" t="str">
        <f>IF($D180=Lookup!$L$9,INDEX(cards[icon],MATCH($E180,cards[object_id order],0)),"")</f>
        <v/>
      </c>
      <c r="N180" t="str">
        <f>IF(OR(D180=Lookup!$G$10,D180=Lookup!$G$11),INDEX(cards[[1]:[25]],MATCH($E180,cards[object_id order],0),'card-code'!G180),"")</f>
        <v>sensor.speedtest_download</v>
      </c>
      <c r="O180" t="str">
        <f t="shared" si="7"/>
        <v/>
      </c>
      <c r="P180" s="8" t="str">
        <f>INDEX(Lookup!$H$5:$H$11,MATCH(D180,Lookup!$G$5:$G$11,0))&amp;
K180&amp;L180&amp;M180&amp;N180&amp;
INDEX(Lookup!$I$5:$I$11,MATCH(D180,Lookup!$G$5:$G$11,0))</f>
        <v xml:space="preserve">    - sensor.speedtest_download</v>
      </c>
    </row>
    <row r="181" spans="2:16" x14ac:dyDescent="0.45">
      <c r="B181">
        <f t="shared" si="6"/>
        <v>179</v>
      </c>
      <c r="C181">
        <f t="shared" si="8"/>
        <v>6</v>
      </c>
      <c r="D181" t="str">
        <f>VLOOKUP(C181,Lookup!$F$5:$G$11,2,FALSE)</f>
        <v>entities</v>
      </c>
      <c r="E181">
        <f>IF(D181=Lookup!$G$5,E180+1,E180)</f>
        <v>22</v>
      </c>
      <c r="F181" s="3">
        <f>INDEX(cards[Entities count],MATCH('card-code'!E181,cards[object_id order],0))</f>
        <v>3</v>
      </c>
      <c r="G181">
        <f>IF(D180=Lookup!$G$9,1,IF(D180=Lookup!$G$10,G180+1,""))</f>
        <v>2</v>
      </c>
      <c r="H181">
        <f>IF(F181=1,  IF(D181=Lookup!$G$9,2,1),  IF(G181&lt;F181-1,0,1)  )</f>
        <v>1</v>
      </c>
      <c r="I181">
        <f>IF(D181&lt;&gt;Lookup!$G$7,0,IF(INDEX(cards[name],MATCH(E181,cards[object_id order],0))&lt;&gt;"",0,1))</f>
        <v>0</v>
      </c>
      <c r="J181">
        <f>IF(D181&lt;&gt;Lookup!$G$7,0,IF(INDEX(cards[icon],MATCH(E181,cards[object_id order],0))&lt;&gt;"",0,1))</f>
        <v>0</v>
      </c>
      <c r="K181" t="str">
        <f>IF(D181=Lookup!$G$6,INDEX(cards[object_id],MATCH('card-code'!E181,cards[object_id order],0)),"")</f>
        <v/>
      </c>
      <c r="L181" t="str">
        <f>IF(D181=Lookup!$G$7,INDEX(cards[name],MATCH('card-code'!E181,cards[object_id order],0)),"")</f>
        <v/>
      </c>
      <c r="M181" t="str">
        <f>IF($D181=Lookup!$L$9,INDEX(cards[icon],MATCH($E181,cards[object_id order],0)),"")</f>
        <v/>
      </c>
      <c r="N181" t="str">
        <f>IF(OR(D181=Lookup!$G$10,D181=Lookup!$G$11),INDEX(cards[[1]:[25]],MATCH($E181,cards[object_id order],0),'card-code'!G181),"")</f>
        <v>sensor.speedtest_upload</v>
      </c>
      <c r="O181" t="str">
        <f t="shared" si="7"/>
        <v/>
      </c>
      <c r="P181" s="8" t="str">
        <f>INDEX(Lookup!$H$5:$H$11,MATCH(D181,Lookup!$G$5:$G$11,0))&amp;
K181&amp;L181&amp;M181&amp;N181&amp;
INDEX(Lookup!$I$5:$I$11,MATCH(D181,Lookup!$G$5:$G$11,0))</f>
        <v xml:space="preserve">    - sensor.speedtest_upload</v>
      </c>
    </row>
    <row r="182" spans="2:16" x14ac:dyDescent="0.45">
      <c r="B182">
        <f t="shared" si="6"/>
        <v>180</v>
      </c>
      <c r="C182">
        <f t="shared" si="8"/>
        <v>7</v>
      </c>
      <c r="D182" t="str">
        <f>VLOOKUP(C182,Lookup!$F$5:$G$11,2,FALSE)</f>
        <v>entities end</v>
      </c>
      <c r="E182">
        <f>IF(D182=Lookup!$G$5,E181+1,E181)</f>
        <v>22</v>
      </c>
      <c r="F182" s="3">
        <f>INDEX(cards[Entities count],MATCH('card-code'!E182,cards[object_id order],0))</f>
        <v>3</v>
      </c>
      <c r="G182">
        <f>IF(D181=Lookup!$G$9,1,IF(D181=Lookup!$G$10,G181+1,""))</f>
        <v>3</v>
      </c>
      <c r="H182">
        <f>IF(F182=1,  IF(D182=Lookup!$G$9,2,1),  IF(G182&lt;F182-1,0,1)  )</f>
        <v>1</v>
      </c>
      <c r="I182">
        <f>IF(D182&lt;&gt;Lookup!$G$7,0,IF(INDEX(cards[name],MATCH(E182,cards[object_id order],0))&lt;&gt;"",0,1))</f>
        <v>0</v>
      </c>
      <c r="J182">
        <f>IF(D182&lt;&gt;Lookup!$G$7,0,IF(INDEX(cards[icon],MATCH(E182,cards[object_id order],0))&lt;&gt;"",0,1))</f>
        <v>0</v>
      </c>
      <c r="K182" t="str">
        <f>IF(D182=Lookup!$G$6,INDEX(cards[object_id],MATCH('card-code'!E182,cards[object_id order],0)),"")</f>
        <v/>
      </c>
      <c r="L182" t="str">
        <f>IF(D182=Lookup!$G$7,INDEX(cards[name],MATCH('card-code'!E182,cards[object_id order],0)),"")</f>
        <v/>
      </c>
      <c r="M182" t="str">
        <f>IF($D182=Lookup!$L$9,INDEX(cards[icon],MATCH($E182,cards[object_id order],0)),"")</f>
        <v/>
      </c>
      <c r="N182" t="str">
        <f>IF(OR(D182=Lookup!$G$10,D182=Lookup!$G$11),INDEX(cards[[1]:[25]],MATCH($E182,cards[object_id order],0),'card-code'!G182),"")</f>
        <v>sensor.speedtest_ping</v>
      </c>
      <c r="O182" t="str">
        <f t="shared" si="7"/>
        <v/>
      </c>
      <c r="P182" s="8" t="str">
        <f>INDEX(Lookup!$H$5:$H$11,MATCH(D182,Lookup!$G$5:$G$11,0))&amp;
K182&amp;L182&amp;M182&amp;N182&amp;
INDEX(Lookup!$I$5:$I$11,MATCH(D182,Lookup!$G$5:$G$11,0))</f>
        <v xml:space="preserve">    - sensor.speedtest_ping</v>
      </c>
    </row>
    <row r="183" spans="2:16" x14ac:dyDescent="0.45">
      <c r="B183">
        <f t="shared" si="6"/>
        <v>181</v>
      </c>
      <c r="C183">
        <f t="shared" si="8"/>
        <v>1</v>
      </c>
      <c r="D183" t="str">
        <f>VLOOKUP(C183,Lookup!$F$5:$G$11,2,FALSE)</f>
        <v>blank</v>
      </c>
      <c r="E183">
        <f>IF(D183=Lookup!$G$5,E182+1,E182)</f>
        <v>23</v>
      </c>
      <c r="F183" s="3">
        <f>INDEX(cards[Entities count],MATCH('card-code'!E183,cards[object_id order],0))</f>
        <v>5</v>
      </c>
      <c r="G183" t="str">
        <f>IF(D182=Lookup!$G$9,1,IF(D182=Lookup!$G$10,G182+1,""))</f>
        <v/>
      </c>
      <c r="H183">
        <f>IF(F183=1,  IF(D183=Lookup!$G$9,2,1),  IF(G183&lt;F183-1,0,1)  )</f>
        <v>1</v>
      </c>
      <c r="I183">
        <f>IF(D183&lt;&gt;Lookup!$G$7,0,IF(INDEX(cards[name],MATCH(E183,cards[object_id order],0))&lt;&gt;"",0,1))</f>
        <v>0</v>
      </c>
      <c r="J183">
        <f>IF(D183&lt;&gt;Lookup!$G$7,0,IF(INDEX(cards[icon],MATCH(E183,cards[object_id order],0))&lt;&gt;"",0,1))</f>
        <v>0</v>
      </c>
      <c r="K183" t="str">
        <f>IF(D183=Lookup!$G$6,INDEX(cards[object_id],MATCH('card-code'!E183,cards[object_id order],0)),"")</f>
        <v/>
      </c>
      <c r="L183" t="str">
        <f>IF(D183=Lookup!$G$7,INDEX(cards[name],MATCH('card-code'!E183,cards[object_id order],0)),"")</f>
        <v/>
      </c>
      <c r="M183" t="str">
        <f>IF($D183=Lookup!$L$9,INDEX(cards[icon],MATCH($E183,cards[object_id order],0)),"")</f>
        <v/>
      </c>
      <c r="N183" t="str">
        <f>IF(OR(D183=Lookup!$G$10,D183=Lookup!$G$11),INDEX(cards[[1]:[25]],MATCH($E183,cards[object_id order],0),'card-code'!G183),"")</f>
        <v/>
      </c>
      <c r="O183" t="str">
        <f t="shared" si="7"/>
        <v/>
      </c>
      <c r="P183" s="8" t="str">
        <f>INDEX(Lookup!$H$5:$H$11,MATCH(D183,Lookup!$G$5:$G$11,0))&amp;
K183&amp;L183&amp;M183&amp;N183&amp;
INDEX(Lookup!$I$5:$I$11,MATCH(D183,Lookup!$G$5:$G$11,0))</f>
        <v/>
      </c>
    </row>
    <row r="184" spans="2:16" x14ac:dyDescent="0.45">
      <c r="B184">
        <f t="shared" si="6"/>
        <v>182</v>
      </c>
      <c r="C184">
        <f t="shared" si="8"/>
        <v>2</v>
      </c>
      <c r="D184" t="str">
        <f>VLOOKUP(C184,Lookup!$F$5:$G$11,2,FALSE)</f>
        <v>card</v>
      </c>
      <c r="E184">
        <f>IF(D184=Lookup!$G$5,E183+1,E183)</f>
        <v>23</v>
      </c>
      <c r="F184" s="3">
        <f>INDEX(cards[Entities count],MATCH('card-code'!E184,cards[object_id order],0))</f>
        <v>5</v>
      </c>
      <c r="G184" t="str">
        <f>IF(D183=Lookup!$G$9,1,IF(D183=Lookup!$G$10,G183+1,""))</f>
        <v/>
      </c>
      <c r="H184">
        <f>IF(F184=1,  IF(D184=Lookup!$G$9,2,1),  IF(G184&lt;F184-1,0,1)  )</f>
        <v>1</v>
      </c>
      <c r="I184">
        <f>IF(D184&lt;&gt;Lookup!$G$7,0,IF(INDEX(cards[name],MATCH(E184,cards[object_id order],0))&lt;&gt;"",0,1))</f>
        <v>0</v>
      </c>
      <c r="J184">
        <f>IF(D184&lt;&gt;Lookup!$G$7,0,IF(INDEX(cards[icon],MATCH(E184,cards[object_id order],0))&lt;&gt;"",0,1))</f>
        <v>0</v>
      </c>
      <c r="K184" t="str">
        <f>IF(D184=Lookup!$G$6,INDEX(cards[object_id],MATCH('card-code'!E184,cards[object_id order],0)),"")</f>
        <v>host_device</v>
      </c>
      <c r="L184" t="str">
        <f>IF(D184=Lookup!$G$7,INDEX(cards[name],MATCH('card-code'!E184,cards[object_id order],0)),"")</f>
        <v/>
      </c>
      <c r="M184" t="str">
        <f>IF($D184=Lookup!$L$9,INDEX(cards[icon],MATCH($E184,cards[object_id order],0)),"")</f>
        <v/>
      </c>
      <c r="N184" t="str">
        <f>IF(OR(D184=Lookup!$G$10,D184=Lookup!$G$11),INDEX(cards[[1]:[25]],MATCH($E184,cards[object_id order],0),'card-code'!G184),"")</f>
        <v/>
      </c>
      <c r="O184" t="str">
        <f t="shared" si="7"/>
        <v/>
      </c>
      <c r="P184" s="8" t="str">
        <f>INDEX(Lookup!$H$5:$H$11,MATCH(D184,Lookup!$G$5:$G$11,0))&amp;
K184&amp;L184&amp;M184&amp;N184&amp;
INDEX(Lookup!$I$5:$I$11,MATCH(D184,Lookup!$G$5:$G$11,0))</f>
        <v>host_device:</v>
      </c>
    </row>
    <row r="185" spans="2:16" x14ac:dyDescent="0.45">
      <c r="B185">
        <f t="shared" si="6"/>
        <v>183</v>
      </c>
      <c r="C185">
        <f t="shared" si="8"/>
        <v>3</v>
      </c>
      <c r="D185" t="str">
        <f>VLOOKUP(C185,Lookup!$F$5:$G$11,2,FALSE)</f>
        <v>name</v>
      </c>
      <c r="E185">
        <f>IF(D185=Lookup!$G$5,E184+1,E184)</f>
        <v>23</v>
      </c>
      <c r="F185" s="3">
        <f>INDEX(cards[Entities count],MATCH('card-code'!E185,cards[object_id order],0))</f>
        <v>5</v>
      </c>
      <c r="G185" t="str">
        <f>IF(D184=Lookup!$G$9,1,IF(D184=Lookup!$G$10,G184+1,""))</f>
        <v/>
      </c>
      <c r="H185">
        <f>IF(F185=1,  IF(D185=Lookup!$G$9,2,1),  IF(G185&lt;F185-1,0,1)  )</f>
        <v>1</v>
      </c>
      <c r="I185">
        <f>IF(D185&lt;&gt;Lookup!$G$7,0,IF(INDEX(cards[name],MATCH(E185,cards[object_id order],0))&lt;&gt;"",0,1))</f>
        <v>0</v>
      </c>
      <c r="J185">
        <f>IF(D185&lt;&gt;Lookup!$G$7,0,IF(INDEX(cards[icon],MATCH(E185,cards[object_id order],0))&lt;&gt;"",0,1))</f>
        <v>1</v>
      </c>
      <c r="K185" t="str">
        <f>IF(D185=Lookup!$G$6,INDEX(cards[object_id],MATCH('card-code'!E185,cards[object_id order],0)),"")</f>
        <v/>
      </c>
      <c r="L185" t="str">
        <f>IF(D185=Lookup!$G$7,INDEX(cards[name],MATCH('card-code'!E185,cards[object_id order],0)),"")</f>
        <v>HA Host</v>
      </c>
      <c r="M185" t="str">
        <f>IF($D185=Lookup!$L$9,INDEX(cards[icon],MATCH($E185,cards[object_id order],0)),"")</f>
        <v/>
      </c>
      <c r="N185" t="str">
        <f>IF(OR(D185=Lookup!$G$10,D185=Lookup!$G$11),INDEX(cards[[1]:[25]],MATCH($E185,cards[object_id order],0),'card-code'!G185),"")</f>
        <v/>
      </c>
      <c r="O185" t="str">
        <f t="shared" si="7"/>
        <v/>
      </c>
      <c r="P185" s="8" t="str">
        <f>INDEX(Lookup!$H$5:$H$11,MATCH(D185,Lookup!$G$5:$G$11,0))&amp;
K185&amp;L185&amp;M185&amp;N185&amp;
INDEX(Lookup!$I$5:$I$11,MATCH(D185,Lookup!$G$5:$G$11,0))</f>
        <v xml:space="preserve">  name: "HA Host"</v>
      </c>
    </row>
    <row r="186" spans="2:16" x14ac:dyDescent="0.45">
      <c r="B186">
        <f t="shared" si="6"/>
        <v>184</v>
      </c>
      <c r="C186">
        <f t="shared" si="8"/>
        <v>5</v>
      </c>
      <c r="D186" t="str">
        <f>VLOOKUP(C186,Lookup!$F$5:$G$11,2,FALSE)</f>
        <v>entities header</v>
      </c>
      <c r="E186">
        <f>IF(D186=Lookup!$G$5,E185+1,E185)</f>
        <v>23</v>
      </c>
      <c r="F186" s="3">
        <f>INDEX(cards[Entities count],MATCH('card-code'!E186,cards[object_id order],0))</f>
        <v>5</v>
      </c>
      <c r="G186" t="str">
        <f>IF(D185=Lookup!$G$9,1,IF(D185=Lookup!$G$10,G185+1,""))</f>
        <v/>
      </c>
      <c r="H186">
        <f>IF(F186=1,  IF(D186=Lookup!$G$9,2,1),  IF(G186&lt;F186-1,0,1)  )</f>
        <v>1</v>
      </c>
      <c r="I186">
        <f>IF(D186&lt;&gt;Lookup!$G$7,0,IF(INDEX(cards[name],MATCH(E186,cards[object_id order],0))&lt;&gt;"",0,1))</f>
        <v>0</v>
      </c>
      <c r="J186">
        <f>IF(D186&lt;&gt;Lookup!$G$7,0,IF(INDEX(cards[icon],MATCH(E186,cards[object_id order],0))&lt;&gt;"",0,1))</f>
        <v>0</v>
      </c>
      <c r="K186" t="str">
        <f>IF(D186=Lookup!$G$6,INDEX(cards[object_id],MATCH('card-code'!E186,cards[object_id order],0)),"")</f>
        <v/>
      </c>
      <c r="L186" t="str">
        <f>IF(D186=Lookup!$G$7,INDEX(cards[name],MATCH('card-code'!E186,cards[object_id order],0)),"")</f>
        <v/>
      </c>
      <c r="M186" t="str">
        <f>IF($D186=Lookup!$L$9,INDEX(cards[icon],MATCH($E186,cards[object_id order],0)),"")</f>
        <v/>
      </c>
      <c r="N186" t="str">
        <f>IF(OR(D186=Lookup!$G$10,D186=Lookup!$G$11),INDEX(cards[[1]:[25]],MATCH($E186,cards[object_id order],0),'card-code'!G186),"")</f>
        <v/>
      </c>
      <c r="O186" t="str">
        <f t="shared" si="7"/>
        <v/>
      </c>
      <c r="P186" s="8" t="str">
        <f>INDEX(Lookup!$H$5:$H$11,MATCH(D186,Lookup!$G$5:$G$11,0))&amp;
K186&amp;L186&amp;M186&amp;N186&amp;
INDEX(Lookup!$I$5:$I$11,MATCH(D186,Lookup!$G$5:$G$11,0))</f>
        <v xml:space="preserve">  entities:</v>
      </c>
    </row>
    <row r="187" spans="2:16" x14ac:dyDescent="0.45">
      <c r="B187">
        <f t="shared" si="6"/>
        <v>185</v>
      </c>
      <c r="C187">
        <f t="shared" si="8"/>
        <v>6</v>
      </c>
      <c r="D187" t="str">
        <f>VLOOKUP(C187,Lookup!$F$5:$G$11,2,FALSE)</f>
        <v>entities</v>
      </c>
      <c r="E187">
        <f>IF(D187=Lookup!$G$5,E186+1,E186)</f>
        <v>23</v>
      </c>
      <c r="F187" s="3">
        <f>INDEX(cards[Entities count],MATCH('card-code'!E187,cards[object_id order],0))</f>
        <v>5</v>
      </c>
      <c r="G187">
        <f>IF(D186=Lookup!$G$9,1,IF(D186=Lookup!$G$10,G186+1,""))</f>
        <v>1</v>
      </c>
      <c r="H187">
        <f>IF(F187=1,  IF(D187=Lookup!$G$9,2,1),  IF(G187&lt;F187-1,0,1)  )</f>
        <v>0</v>
      </c>
      <c r="I187">
        <f>IF(D187&lt;&gt;Lookup!$G$7,0,IF(INDEX(cards[name],MATCH(E187,cards[object_id order],0))&lt;&gt;"",0,1))</f>
        <v>0</v>
      </c>
      <c r="J187">
        <f>IF(D187&lt;&gt;Lookup!$G$7,0,IF(INDEX(cards[icon],MATCH(E187,cards[object_id order],0))&lt;&gt;"",0,1))</f>
        <v>0</v>
      </c>
      <c r="K187" t="str">
        <f>IF(D187=Lookup!$G$6,INDEX(cards[object_id],MATCH('card-code'!E187,cards[object_id order],0)),"")</f>
        <v/>
      </c>
      <c r="L187" t="str">
        <f>IF(D187=Lookup!$G$7,INDEX(cards[name],MATCH('card-code'!E187,cards[object_id order],0)),"")</f>
        <v/>
      </c>
      <c r="M187" t="str">
        <f>IF($D187=Lookup!$L$9,INDEX(cards[icon],MATCH($E187,cards[object_id order],0)),"")</f>
        <v/>
      </c>
      <c r="N187" t="str">
        <f>IF(OR(D187=Lookup!$G$10,D187=Lookup!$G$11),INDEX(cards[[1]:[25]],MATCH($E187,cards[object_id order],0),'card-code'!G187),"")</f>
        <v>sensor.cpu_temp</v>
      </c>
      <c r="O187" t="str">
        <f t="shared" si="7"/>
        <v/>
      </c>
      <c r="P187" s="8" t="str">
        <f>INDEX(Lookup!$H$5:$H$11,MATCH(D187,Lookup!$G$5:$G$11,0))&amp;
K187&amp;L187&amp;M187&amp;N187&amp;
INDEX(Lookup!$I$5:$I$11,MATCH(D187,Lookup!$G$5:$G$11,0))</f>
        <v xml:space="preserve">    - sensor.cpu_temp</v>
      </c>
    </row>
    <row r="188" spans="2:16" x14ac:dyDescent="0.45">
      <c r="B188">
        <f t="shared" si="6"/>
        <v>186</v>
      </c>
      <c r="C188">
        <f t="shared" si="8"/>
        <v>6</v>
      </c>
      <c r="D188" t="str">
        <f>VLOOKUP(C188,Lookup!$F$5:$G$11,2,FALSE)</f>
        <v>entities</v>
      </c>
      <c r="E188">
        <f>IF(D188=Lookup!$G$5,E187+1,E187)</f>
        <v>23</v>
      </c>
      <c r="F188" s="3">
        <f>INDEX(cards[Entities count],MATCH('card-code'!E188,cards[object_id order],0))</f>
        <v>5</v>
      </c>
      <c r="G188">
        <f>IF(D187=Lookup!$G$9,1,IF(D187=Lookup!$G$10,G187+1,""))</f>
        <v>2</v>
      </c>
      <c r="H188">
        <f>IF(F188=1,  IF(D188=Lookup!$G$9,2,1),  IF(G188&lt;F188-1,0,1)  )</f>
        <v>0</v>
      </c>
      <c r="I188">
        <f>IF(D188&lt;&gt;Lookup!$G$7,0,IF(INDEX(cards[name],MATCH(E188,cards[object_id order],0))&lt;&gt;"",0,1))</f>
        <v>0</v>
      </c>
      <c r="J188">
        <f>IF(D188&lt;&gt;Lookup!$G$7,0,IF(INDEX(cards[icon],MATCH(E188,cards[object_id order],0))&lt;&gt;"",0,1))</f>
        <v>0</v>
      </c>
      <c r="K188" t="str">
        <f>IF(D188=Lookup!$G$6,INDEX(cards[object_id],MATCH('card-code'!E188,cards[object_id order],0)),"")</f>
        <v/>
      </c>
      <c r="L188" t="str">
        <f>IF(D188=Lookup!$G$7,INDEX(cards[name],MATCH('card-code'!E188,cards[object_id order],0)),"")</f>
        <v/>
      </c>
      <c r="M188" t="str">
        <f>IF($D188=Lookup!$L$9,INDEX(cards[icon],MATCH($E188,cards[object_id order],0)),"")</f>
        <v/>
      </c>
      <c r="N188" t="str">
        <f>IF(OR(D188=Lookup!$G$10,D188=Lookup!$G$11),INDEX(cards[[1]:[25]],MATCH($E188,cards[object_id order],0),'card-code'!G188),"")</f>
        <v>sensor.cpu_use</v>
      </c>
      <c r="O188" t="str">
        <f t="shared" si="7"/>
        <v/>
      </c>
      <c r="P188" s="8" t="str">
        <f>INDEX(Lookup!$H$5:$H$11,MATCH(D188,Lookup!$G$5:$G$11,0))&amp;
K188&amp;L188&amp;M188&amp;N188&amp;
INDEX(Lookup!$I$5:$I$11,MATCH(D188,Lookup!$G$5:$G$11,0))</f>
        <v xml:space="preserve">    - sensor.cpu_use</v>
      </c>
    </row>
    <row r="189" spans="2:16" x14ac:dyDescent="0.45">
      <c r="B189">
        <f t="shared" si="6"/>
        <v>187</v>
      </c>
      <c r="C189">
        <f t="shared" si="8"/>
        <v>6</v>
      </c>
      <c r="D189" t="str">
        <f>VLOOKUP(C189,Lookup!$F$5:$G$11,2,FALSE)</f>
        <v>entities</v>
      </c>
      <c r="E189">
        <f>IF(D189=Lookup!$G$5,E188+1,E188)</f>
        <v>23</v>
      </c>
      <c r="F189" s="3">
        <f>INDEX(cards[Entities count],MATCH('card-code'!E189,cards[object_id order],0))</f>
        <v>5</v>
      </c>
      <c r="G189">
        <f>IF(D188=Lookup!$G$9,1,IF(D188=Lookup!$G$10,G188+1,""))</f>
        <v>3</v>
      </c>
      <c r="H189">
        <f>IF(F189=1,  IF(D189=Lookup!$G$9,2,1),  IF(G189&lt;F189-1,0,1)  )</f>
        <v>0</v>
      </c>
      <c r="I189">
        <f>IF(D189&lt;&gt;Lookup!$G$7,0,IF(INDEX(cards[name],MATCH(E189,cards[object_id order],0))&lt;&gt;"",0,1))</f>
        <v>0</v>
      </c>
      <c r="J189">
        <f>IF(D189&lt;&gt;Lookup!$G$7,0,IF(INDEX(cards[icon],MATCH(E189,cards[object_id order],0))&lt;&gt;"",0,1))</f>
        <v>0</v>
      </c>
      <c r="K189" t="str">
        <f>IF(D189=Lookup!$G$6,INDEX(cards[object_id],MATCH('card-code'!E189,cards[object_id order],0)),"")</f>
        <v/>
      </c>
      <c r="L189" t="str">
        <f>IF(D189=Lookup!$G$7,INDEX(cards[name],MATCH('card-code'!E189,cards[object_id order],0)),"")</f>
        <v/>
      </c>
      <c r="M189" t="str">
        <f>IF($D189=Lookup!$L$9,INDEX(cards[icon],MATCH($E189,cards[object_id order],0)),"")</f>
        <v/>
      </c>
      <c r="N189" t="str">
        <f>IF(OR(D189=Lookup!$G$10,D189=Lookup!$G$11),INDEX(cards[[1]:[25]],MATCH($E189,cards[object_id order],0),'card-code'!G189),"")</f>
        <v>sensor.ram_free</v>
      </c>
      <c r="O189" t="str">
        <f t="shared" si="7"/>
        <v/>
      </c>
      <c r="P189" s="8" t="str">
        <f>INDEX(Lookup!$H$5:$H$11,MATCH(D189,Lookup!$G$5:$G$11,0))&amp;
K189&amp;L189&amp;M189&amp;N189&amp;
INDEX(Lookup!$I$5:$I$11,MATCH(D189,Lookup!$G$5:$G$11,0))</f>
        <v xml:space="preserve">    - sensor.ram_free</v>
      </c>
    </row>
    <row r="190" spans="2:16" x14ac:dyDescent="0.45">
      <c r="B190">
        <f t="shared" si="6"/>
        <v>188</v>
      </c>
      <c r="C190">
        <f t="shared" si="8"/>
        <v>6</v>
      </c>
      <c r="D190" t="str">
        <f>VLOOKUP(C190,Lookup!$F$5:$G$11,2,FALSE)</f>
        <v>entities</v>
      </c>
      <c r="E190">
        <f>IF(D190=Lookup!$G$5,E189+1,E189)</f>
        <v>23</v>
      </c>
      <c r="F190" s="3">
        <f>INDEX(cards[Entities count],MATCH('card-code'!E190,cards[object_id order],0))</f>
        <v>5</v>
      </c>
      <c r="G190">
        <f>IF(D189=Lookup!$G$9,1,IF(D189=Lookup!$G$10,G189+1,""))</f>
        <v>4</v>
      </c>
      <c r="H190">
        <f>IF(F190=1,  IF(D190=Lookup!$G$9,2,1),  IF(G190&lt;F190-1,0,1)  )</f>
        <v>1</v>
      </c>
      <c r="I190">
        <f>IF(D190&lt;&gt;Lookup!$G$7,0,IF(INDEX(cards[name],MATCH(E190,cards[object_id order],0))&lt;&gt;"",0,1))</f>
        <v>0</v>
      </c>
      <c r="J190">
        <f>IF(D190&lt;&gt;Lookup!$G$7,0,IF(INDEX(cards[icon],MATCH(E190,cards[object_id order],0))&lt;&gt;"",0,1))</f>
        <v>0</v>
      </c>
      <c r="K190" t="str">
        <f>IF(D190=Lookup!$G$6,INDEX(cards[object_id],MATCH('card-code'!E190,cards[object_id order],0)),"")</f>
        <v/>
      </c>
      <c r="L190" t="str">
        <f>IF(D190=Lookup!$G$7,INDEX(cards[name],MATCH('card-code'!E190,cards[object_id order],0)),"")</f>
        <v/>
      </c>
      <c r="M190" t="str">
        <f>IF($D190=Lookup!$L$9,INDEX(cards[icon],MATCH($E190,cards[object_id order],0)),"")</f>
        <v/>
      </c>
      <c r="N190" t="str">
        <f>IF(OR(D190=Lookup!$G$10,D190=Lookup!$G$11),INDEX(cards[[1]:[25]],MATCH($E190,cards[object_id order],0),'card-code'!G190),"")</f>
        <v>sensor.disk_use_home</v>
      </c>
      <c r="O190" t="str">
        <f t="shared" si="7"/>
        <v/>
      </c>
      <c r="P190" s="8" t="str">
        <f>INDEX(Lookup!$H$5:$H$11,MATCH(D190,Lookup!$G$5:$G$11,0))&amp;
K190&amp;L190&amp;M190&amp;N190&amp;
INDEX(Lookup!$I$5:$I$11,MATCH(D190,Lookup!$G$5:$G$11,0))</f>
        <v xml:space="preserve">    - sensor.disk_use_home</v>
      </c>
    </row>
    <row r="191" spans="2:16" x14ac:dyDescent="0.45">
      <c r="B191">
        <f t="shared" si="6"/>
        <v>189</v>
      </c>
      <c r="C191">
        <f t="shared" si="8"/>
        <v>7</v>
      </c>
      <c r="D191" t="str">
        <f>VLOOKUP(C191,Lookup!$F$5:$G$11,2,FALSE)</f>
        <v>entities end</v>
      </c>
      <c r="E191">
        <f>IF(D191=Lookup!$G$5,E190+1,E190)</f>
        <v>23</v>
      </c>
      <c r="F191" s="3">
        <f>INDEX(cards[Entities count],MATCH('card-code'!E191,cards[object_id order],0))</f>
        <v>5</v>
      </c>
      <c r="G191">
        <f>IF(D190=Lookup!$G$9,1,IF(D190=Lookup!$G$10,G190+1,""))</f>
        <v>5</v>
      </c>
      <c r="H191">
        <f>IF(F191=1,  IF(D191=Lookup!$G$9,2,1),  IF(G191&lt;F191-1,0,1)  )</f>
        <v>1</v>
      </c>
      <c r="I191">
        <f>IF(D191&lt;&gt;Lookup!$G$7,0,IF(INDEX(cards[name],MATCH(E191,cards[object_id order],0))&lt;&gt;"",0,1))</f>
        <v>0</v>
      </c>
      <c r="J191">
        <f>IF(D191&lt;&gt;Lookup!$G$7,0,IF(INDEX(cards[icon],MATCH(E191,cards[object_id order],0))&lt;&gt;"",0,1))</f>
        <v>0</v>
      </c>
      <c r="K191" t="str">
        <f>IF(D191=Lookup!$G$6,INDEX(cards[object_id],MATCH('card-code'!E191,cards[object_id order],0)),"")</f>
        <v/>
      </c>
      <c r="L191" t="str">
        <f>IF(D191=Lookup!$G$7,INDEX(cards[name],MATCH('card-code'!E191,cards[object_id order],0)),"")</f>
        <v/>
      </c>
      <c r="M191" t="str">
        <f>IF($D191=Lookup!$L$9,INDEX(cards[icon],MATCH($E191,cards[object_id order],0)),"")</f>
        <v/>
      </c>
      <c r="N191" t="str">
        <f>IF(OR(D191=Lookup!$G$10,D191=Lookup!$G$11),INDEX(cards[[1]:[25]],MATCH($E191,cards[object_id order],0),'card-code'!G191),"")</f>
        <v>sensor.last_boot</v>
      </c>
      <c r="O191" t="str">
        <f t="shared" si="7"/>
        <v/>
      </c>
      <c r="P191" s="8" t="str">
        <f>INDEX(Lookup!$H$5:$H$11,MATCH(D191,Lookup!$G$5:$G$11,0))&amp;
K191&amp;L191&amp;M191&amp;N191&amp;
INDEX(Lookup!$I$5:$I$11,MATCH(D191,Lookup!$G$5:$G$11,0))</f>
        <v xml:space="preserve">    - sensor.last_boot</v>
      </c>
    </row>
    <row r="192" spans="2:16" x14ac:dyDescent="0.45">
      <c r="B192">
        <f t="shared" si="6"/>
        <v>190</v>
      </c>
      <c r="C192">
        <f t="shared" si="8"/>
        <v>1</v>
      </c>
      <c r="D192" t="str">
        <f>VLOOKUP(C192,Lookup!$F$5:$G$11,2,FALSE)</f>
        <v>blank</v>
      </c>
      <c r="E192">
        <f>IF(D192=Lookup!$G$5,E191+1,E191)</f>
        <v>24</v>
      </c>
      <c r="F192" s="3">
        <f>INDEX(cards[Entities count],MATCH('card-code'!E192,cards[object_id order],0))</f>
        <v>1</v>
      </c>
      <c r="G192" t="str">
        <f>IF(D191=Lookup!$G$9,1,IF(D191=Lookup!$G$10,G191+1,""))</f>
        <v/>
      </c>
      <c r="H192">
        <f>IF(F192=1,  IF(D192=Lookup!$G$9,2,1),  IF(G192&lt;F192-1,0,1)  )</f>
        <v>1</v>
      </c>
      <c r="I192">
        <f>IF(D192&lt;&gt;Lookup!$G$7,0,IF(INDEX(cards[name],MATCH(E192,cards[object_id order],0))&lt;&gt;"",0,1))</f>
        <v>0</v>
      </c>
      <c r="J192">
        <f>IF(D192&lt;&gt;Lookup!$G$7,0,IF(INDEX(cards[icon],MATCH(E192,cards[object_id order],0))&lt;&gt;"",0,1))</f>
        <v>0</v>
      </c>
      <c r="K192" t="str">
        <f>IF(D192=Lookup!$G$6,INDEX(cards[object_id],MATCH('card-code'!E192,cards[object_id order],0)),"")</f>
        <v/>
      </c>
      <c r="L192" t="str">
        <f>IF(D192=Lookup!$G$7,INDEX(cards[name],MATCH('card-code'!E192,cards[object_id order],0)),"")</f>
        <v/>
      </c>
      <c r="M192" t="str">
        <f>IF($D192=Lookup!$L$9,INDEX(cards[icon],MATCH($E192,cards[object_id order],0)),"")</f>
        <v/>
      </c>
      <c r="N192" t="str">
        <f>IF(OR(D192=Lookup!$G$10,D192=Lookup!$G$11),INDEX(cards[[1]:[25]],MATCH($E192,cards[object_id order],0),'card-code'!G192),"")</f>
        <v/>
      </c>
      <c r="O192" t="str">
        <f t="shared" si="7"/>
        <v/>
      </c>
      <c r="P192" s="8" t="str">
        <f>INDEX(Lookup!$H$5:$H$11,MATCH(D192,Lookup!$G$5:$G$11,0))&amp;
K192&amp;L192&amp;M192&amp;N192&amp;
INDEX(Lookup!$I$5:$I$11,MATCH(D192,Lookup!$G$5:$G$11,0))</f>
        <v/>
      </c>
    </row>
    <row r="193" spans="2:16" x14ac:dyDescent="0.45">
      <c r="B193">
        <f t="shared" si="6"/>
        <v>191</v>
      </c>
      <c r="C193">
        <f t="shared" si="8"/>
        <v>2</v>
      </c>
      <c r="D193" t="str">
        <f>VLOOKUP(C193,Lookup!$F$5:$G$11,2,FALSE)</f>
        <v>card</v>
      </c>
      <c r="E193">
        <f>IF(D193=Lookup!$G$5,E192+1,E192)</f>
        <v>24</v>
      </c>
      <c r="F193" s="3">
        <f>INDEX(cards[Entities count],MATCH('card-code'!E193,cards[object_id order],0))</f>
        <v>1</v>
      </c>
      <c r="G193" t="str">
        <f>IF(D192=Lookup!$G$9,1,IF(D192=Lookup!$G$10,G192+1,""))</f>
        <v/>
      </c>
      <c r="H193">
        <f>IF(F193=1,  IF(D193=Lookup!$G$9,2,1),  IF(G193&lt;F193-1,0,1)  )</f>
        <v>1</v>
      </c>
      <c r="I193">
        <f>IF(D193&lt;&gt;Lookup!$G$7,0,IF(INDEX(cards[name],MATCH(E193,cards[object_id order],0))&lt;&gt;"",0,1))</f>
        <v>0</v>
      </c>
      <c r="J193">
        <f>IF(D193&lt;&gt;Lookup!$G$7,0,IF(INDEX(cards[icon],MATCH(E193,cards[object_id order],0))&lt;&gt;"",0,1))</f>
        <v>0</v>
      </c>
      <c r="K193" t="str">
        <f>IF(D193=Lookup!$G$6,INDEX(cards[object_id],MATCH('card-code'!E193,cards[object_id order],0)),"")</f>
        <v>misc_devices</v>
      </c>
      <c r="L193" t="str">
        <f>IF(D193=Lookup!$G$7,INDEX(cards[name],MATCH('card-code'!E193,cards[object_id order],0)),"")</f>
        <v/>
      </c>
      <c r="M193" t="str">
        <f>IF($D193=Lookup!$L$9,INDEX(cards[icon],MATCH($E193,cards[object_id order],0)),"")</f>
        <v/>
      </c>
      <c r="N193" t="str">
        <f>IF(OR(D193=Lookup!$G$10,D193=Lookup!$G$11),INDEX(cards[[1]:[25]],MATCH($E193,cards[object_id order],0),'card-code'!G193),"")</f>
        <v/>
      </c>
      <c r="O193" t="str">
        <f t="shared" si="7"/>
        <v/>
      </c>
      <c r="P193" s="8" t="str">
        <f>INDEX(Lookup!$H$5:$H$11,MATCH(D193,Lookup!$G$5:$G$11,0))&amp;
K193&amp;L193&amp;M193&amp;N193&amp;
INDEX(Lookup!$I$5:$I$11,MATCH(D193,Lookup!$G$5:$G$11,0))</f>
        <v>misc_devices:</v>
      </c>
    </row>
    <row r="194" spans="2:16" x14ac:dyDescent="0.45">
      <c r="B194">
        <f t="shared" si="6"/>
        <v>192</v>
      </c>
      <c r="C194">
        <f t="shared" si="8"/>
        <v>3</v>
      </c>
      <c r="D194" t="str">
        <f>VLOOKUP(C194,Lookup!$F$5:$G$11,2,FALSE)</f>
        <v>name</v>
      </c>
      <c r="E194">
        <f>IF(D194=Lookup!$G$5,E193+1,E193)</f>
        <v>24</v>
      </c>
      <c r="F194" s="3">
        <f>INDEX(cards[Entities count],MATCH('card-code'!E194,cards[object_id order],0))</f>
        <v>1</v>
      </c>
      <c r="G194" t="str">
        <f>IF(D193=Lookup!$G$9,1,IF(D193=Lookup!$G$10,G193+1,""))</f>
        <v/>
      </c>
      <c r="H194">
        <f>IF(F194=1,  IF(D194=Lookup!$G$9,2,1),  IF(G194&lt;F194-1,0,1)  )</f>
        <v>1</v>
      </c>
      <c r="I194">
        <f>IF(D194&lt;&gt;Lookup!$G$7,0,IF(INDEX(cards[name],MATCH(E194,cards[object_id order],0))&lt;&gt;"",0,1))</f>
        <v>0</v>
      </c>
      <c r="J194">
        <f>IF(D194&lt;&gt;Lookup!$G$7,0,IF(INDEX(cards[icon],MATCH(E194,cards[object_id order],0))&lt;&gt;"",0,1))</f>
        <v>1</v>
      </c>
      <c r="K194" t="str">
        <f>IF(D194=Lookup!$G$6,INDEX(cards[object_id],MATCH('card-code'!E194,cards[object_id order],0)),"")</f>
        <v/>
      </c>
      <c r="L194" t="str">
        <f>IF(D194=Lookup!$G$7,INDEX(cards[name],MATCH('card-code'!E194,cards[object_id order],0)),"")</f>
        <v>Misc Devices</v>
      </c>
      <c r="M194" t="str">
        <f>IF($D194=Lookup!$L$9,INDEX(cards[icon],MATCH($E194,cards[object_id order],0)),"")</f>
        <v/>
      </c>
      <c r="N194" t="str">
        <f>IF(OR(D194=Lookup!$G$10,D194=Lookup!$G$11),INDEX(cards[[1]:[25]],MATCH($E194,cards[object_id order],0),'card-code'!G194),"")</f>
        <v/>
      </c>
      <c r="O194" t="str">
        <f t="shared" si="7"/>
        <v/>
      </c>
      <c r="P194" s="8" t="str">
        <f>INDEX(Lookup!$H$5:$H$11,MATCH(D194,Lookup!$G$5:$G$11,0))&amp;
K194&amp;L194&amp;M194&amp;N194&amp;
INDEX(Lookup!$I$5:$I$11,MATCH(D194,Lookup!$G$5:$G$11,0))</f>
        <v xml:space="preserve">  name: "Misc Devices"</v>
      </c>
    </row>
    <row r="195" spans="2:16" x14ac:dyDescent="0.45">
      <c r="B195">
        <f t="shared" si="6"/>
        <v>193</v>
      </c>
      <c r="C195">
        <f t="shared" si="8"/>
        <v>5</v>
      </c>
      <c r="D195" t="str">
        <f>VLOOKUP(C195,Lookup!$F$5:$G$11,2,FALSE)</f>
        <v>entities header</v>
      </c>
      <c r="E195">
        <f>IF(D195=Lookup!$G$5,E194+1,E194)</f>
        <v>24</v>
      </c>
      <c r="F195" s="3">
        <f>INDEX(cards[Entities count],MATCH('card-code'!E195,cards[object_id order],0))</f>
        <v>1</v>
      </c>
      <c r="G195" t="str">
        <f>IF(D194=Lookup!$G$9,1,IF(D194=Lookup!$G$10,G194+1,""))</f>
        <v/>
      </c>
      <c r="H195">
        <f>IF(F195=1,  IF(D195=Lookup!$G$9,2,1),  IF(G195&lt;F195-1,0,1)  )</f>
        <v>2</v>
      </c>
      <c r="I195">
        <f>IF(D195&lt;&gt;Lookup!$G$7,0,IF(INDEX(cards[name],MATCH(E195,cards[object_id order],0))&lt;&gt;"",0,1))</f>
        <v>0</v>
      </c>
      <c r="J195">
        <f>IF(D195&lt;&gt;Lookup!$G$7,0,IF(INDEX(cards[icon],MATCH(E195,cards[object_id order],0))&lt;&gt;"",0,1))</f>
        <v>0</v>
      </c>
      <c r="K195" t="str">
        <f>IF(D195=Lookup!$G$6,INDEX(cards[object_id],MATCH('card-code'!E195,cards[object_id order],0)),"")</f>
        <v/>
      </c>
      <c r="L195" t="str">
        <f>IF(D195=Lookup!$G$7,INDEX(cards[name],MATCH('card-code'!E195,cards[object_id order],0)),"")</f>
        <v/>
      </c>
      <c r="M195" t="str">
        <f>IF($D195=Lookup!$L$9,INDEX(cards[icon],MATCH($E195,cards[object_id order],0)),"")</f>
        <v/>
      </c>
      <c r="N195" t="str">
        <f>IF(OR(D195=Lookup!$G$10,D195=Lookup!$G$11),INDEX(cards[[1]:[25]],MATCH($E195,cards[object_id order],0),'card-code'!G195),"")</f>
        <v/>
      </c>
      <c r="O195" t="str">
        <f t="shared" si="7"/>
        <v/>
      </c>
      <c r="P195" s="8" t="str">
        <f>INDEX(Lookup!$H$5:$H$11,MATCH(D195,Lookup!$G$5:$G$11,0))&amp;
K195&amp;L195&amp;M195&amp;N195&amp;
INDEX(Lookup!$I$5:$I$11,MATCH(D195,Lookup!$G$5:$G$11,0))</f>
        <v xml:space="preserve">  entities:</v>
      </c>
    </row>
    <row r="196" spans="2:16" x14ac:dyDescent="0.45">
      <c r="B196">
        <f t="shared" si="6"/>
        <v>194</v>
      </c>
      <c r="C196">
        <f t="shared" si="8"/>
        <v>7</v>
      </c>
      <c r="D196" t="str">
        <f>VLOOKUP(C196,Lookup!$F$5:$G$11,2,FALSE)</f>
        <v>entities end</v>
      </c>
      <c r="E196">
        <f>IF(D196=Lookup!$G$5,E195+1,E195)</f>
        <v>24</v>
      </c>
      <c r="F196" s="3">
        <f>INDEX(cards[Entities count],MATCH('card-code'!E196,cards[object_id order],0))</f>
        <v>1</v>
      </c>
      <c r="G196">
        <f>IF(D195=Lookup!$G$9,1,IF(D195=Lookup!$G$10,G195+1,""))</f>
        <v>1</v>
      </c>
      <c r="H196">
        <f>IF(F196=1,  IF(D196=Lookup!$G$9,2,1),  IF(G196&lt;F196-1,0,1)  )</f>
        <v>1</v>
      </c>
      <c r="I196">
        <f>IF(D196&lt;&gt;Lookup!$G$7,0,IF(INDEX(cards[name],MATCH(E196,cards[object_id order],0))&lt;&gt;"",0,1))</f>
        <v>0</v>
      </c>
      <c r="J196">
        <f>IF(D196&lt;&gt;Lookup!$G$7,0,IF(INDEX(cards[icon],MATCH(E196,cards[object_id order],0))&lt;&gt;"",0,1))</f>
        <v>0</v>
      </c>
      <c r="K196" t="str">
        <f>IF(D196=Lookup!$G$6,INDEX(cards[object_id],MATCH('card-code'!E196,cards[object_id order],0)),"")</f>
        <v/>
      </c>
      <c r="L196" t="str">
        <f>IF(D196=Lookup!$G$7,INDEX(cards[name],MATCH('card-code'!E196,cards[object_id order],0)),"")</f>
        <v/>
      </c>
      <c r="M196" t="str">
        <f>IF($D196=Lookup!$L$9,INDEX(cards[icon],MATCH($E196,cards[object_id order],0)),"")</f>
        <v/>
      </c>
      <c r="N196" t="str">
        <f>IF(OR(D196=Lookup!$G$10,D196=Lookup!$G$11),INDEX(cards[[1]:[25]],MATCH($E196,cards[object_id order],0),'card-code'!G196),"")</f>
        <v>device_tracker.gear_fit_2</v>
      </c>
      <c r="O196" t="str">
        <f t="shared" si="7"/>
        <v/>
      </c>
      <c r="P196" s="8" t="str">
        <f>INDEX(Lookup!$H$5:$H$11,MATCH(D196,Lookup!$G$5:$G$11,0))&amp;
K196&amp;L196&amp;M196&amp;N196&amp;
INDEX(Lookup!$I$5:$I$11,MATCH(D196,Lookup!$G$5:$G$11,0))</f>
        <v xml:space="preserve">    - device_tracker.gear_fit_2</v>
      </c>
    </row>
    <row r="197" spans="2:16" x14ac:dyDescent="0.45">
      <c r="B197">
        <f t="shared" ref="B197:B260" si="9">B196+1</f>
        <v>195</v>
      </c>
      <c r="C197">
        <f t="shared" si="8"/>
        <v>1</v>
      </c>
      <c r="D197" t="str">
        <f>VLOOKUP(C197,Lookup!$F$5:$G$11,2,FALSE)</f>
        <v>blank</v>
      </c>
      <c r="E197">
        <f>IF(D197=Lookup!$G$5,E196+1,E196)</f>
        <v>25</v>
      </c>
      <c r="F197" s="3" t="e">
        <f>INDEX(cards[Entities count],MATCH('card-code'!E197,cards[object_id order],0))</f>
        <v>#N/A</v>
      </c>
      <c r="G197" t="str">
        <f>IF(D196=Lookup!$G$9,1,IF(D196=Lookup!$G$10,G196+1,""))</f>
        <v/>
      </c>
      <c r="H197" t="e">
        <f>IF(F197=1,  IF(D197=Lookup!$G$9,2,1),  IF(G197&lt;F197-1,0,1)  )</f>
        <v>#N/A</v>
      </c>
      <c r="I197">
        <f>IF(D197&lt;&gt;Lookup!$G$7,0,IF(INDEX(cards[name],MATCH(E197,cards[object_id order],0))&lt;&gt;"",0,1))</f>
        <v>0</v>
      </c>
      <c r="J197">
        <f>IF(D197&lt;&gt;Lookup!$G$7,0,IF(INDEX(cards[icon],MATCH(E197,cards[object_id order],0))&lt;&gt;"",0,1))</f>
        <v>0</v>
      </c>
      <c r="K197" t="str">
        <f>IF(D197=Lookup!$G$6,INDEX(cards[object_id],MATCH('card-code'!E197,cards[object_id order],0)),"")</f>
        <v/>
      </c>
      <c r="L197" t="str">
        <f>IF(D197=Lookup!$G$7,INDEX(cards[name],MATCH('card-code'!E197,cards[object_id order],0)),"")</f>
        <v/>
      </c>
      <c r="M197" t="str">
        <f>IF($D197=Lookup!$L$9,INDEX(cards[icon],MATCH($E197,cards[object_id order],0)),"")</f>
        <v/>
      </c>
      <c r="N197" t="str">
        <f>IF(OR(D197=Lookup!$G$10,D197=Lookup!$G$11),INDEX(cards[[1]:[25]],MATCH($E197,cards[object_id order],0),'card-code'!G197),"")</f>
        <v/>
      </c>
      <c r="O197" t="str">
        <f t="shared" ref="O197:O260" si="10">IF(AND(NOT(ISNA(F196)),ISNA(F197)),"END","")</f>
        <v>END</v>
      </c>
      <c r="P197" s="8" t="str">
        <f>INDEX(Lookup!$H$5:$H$11,MATCH(D197,Lookup!$G$5:$G$11,0))&amp;
K197&amp;L197&amp;M197&amp;N197&amp;
INDEX(Lookup!$I$5:$I$11,MATCH(D197,Lookup!$G$5:$G$11,0))</f>
        <v/>
      </c>
    </row>
    <row r="198" spans="2:16" x14ac:dyDescent="0.45">
      <c r="B198">
        <f t="shared" si="9"/>
        <v>196</v>
      </c>
      <c r="C198" t="e">
        <f t="shared" si="8"/>
        <v>#N/A</v>
      </c>
      <c r="D198" t="e">
        <f>VLOOKUP(C198,Lookup!$F$5:$G$11,2,FALSE)</f>
        <v>#N/A</v>
      </c>
      <c r="E198" t="e">
        <f>IF(D198=Lookup!$G$5,E197+1,E197)</f>
        <v>#N/A</v>
      </c>
      <c r="F198" s="3" t="e">
        <f>INDEX(cards[Entities count],MATCH('card-code'!E198,cards[object_id order],0))</f>
        <v>#N/A</v>
      </c>
      <c r="G198" t="str">
        <f>IF(D197=Lookup!$G$9,1,IF(D197=Lookup!$G$10,G197+1,""))</f>
        <v/>
      </c>
      <c r="H198" t="e">
        <f>IF(F198=1,  IF(D198=Lookup!$G$9,2,1),  IF(G198&lt;F198-1,0,1)  )</f>
        <v>#N/A</v>
      </c>
      <c r="I198" t="e">
        <f>IF(D198&lt;&gt;Lookup!$G$7,0,IF(INDEX(cards[name],MATCH(E198,cards[object_id order],0))&lt;&gt;"",0,1))</f>
        <v>#N/A</v>
      </c>
      <c r="J198" t="e">
        <f>IF(D198&lt;&gt;Lookup!$G$7,0,IF(INDEX(cards[icon],MATCH(E198,cards[object_id order],0))&lt;&gt;"",0,1))</f>
        <v>#N/A</v>
      </c>
      <c r="K198" t="e">
        <f>IF(D198=Lookup!$G$6,INDEX(cards[object_id],MATCH('card-code'!E198,cards[object_id order],0)),"")</f>
        <v>#N/A</v>
      </c>
      <c r="L198" t="e">
        <f>IF(D198=Lookup!$G$7,INDEX(cards[name],MATCH('card-code'!E198,cards[object_id order],0)),"")</f>
        <v>#N/A</v>
      </c>
      <c r="M198" t="e">
        <f>IF($D198=Lookup!$L$9,INDEX(cards[icon],MATCH($E198,cards[object_id order],0)),"")</f>
        <v>#N/A</v>
      </c>
      <c r="N198" t="e">
        <f>IF(OR(D198=Lookup!$G$10,D198=Lookup!$G$11),INDEX(cards[[1]:[25]],MATCH($E198,cards[object_id order],0),'card-code'!G198),"")</f>
        <v>#N/A</v>
      </c>
      <c r="O198" t="str">
        <f t="shared" si="10"/>
        <v/>
      </c>
      <c r="P198" s="8" t="e">
        <f>INDEX(Lookup!$H$5:$H$11,MATCH(D198,Lookup!$G$5:$G$11,0))&amp;
K198&amp;L198&amp;M198&amp;N198&amp;
INDEX(Lookup!$I$5:$I$11,MATCH(D198,Lookup!$G$5:$G$11,0))</f>
        <v>#N/A</v>
      </c>
    </row>
    <row r="199" spans="2:16" x14ac:dyDescent="0.45">
      <c r="B199">
        <f t="shared" si="9"/>
        <v>197</v>
      </c>
      <c r="C199" t="e">
        <f t="shared" ref="C199:C262" si="11">IF(C198=7,  1,  C198+SUM(H198:J198)  )</f>
        <v>#N/A</v>
      </c>
      <c r="D199" t="e">
        <f>VLOOKUP(C199,Lookup!$F$5:$G$11,2,FALSE)</f>
        <v>#N/A</v>
      </c>
      <c r="E199" t="e">
        <f>IF(D199=Lookup!$G$5,E198+1,E198)</f>
        <v>#N/A</v>
      </c>
      <c r="F199" s="3" t="e">
        <f>INDEX(cards[Entities count],MATCH('card-code'!E199,cards[object_id order],0))</f>
        <v>#N/A</v>
      </c>
      <c r="G199" t="e">
        <f>IF(D198=Lookup!$G$9,1,IF(D198=Lookup!$G$10,G198+1,""))</f>
        <v>#N/A</v>
      </c>
      <c r="H199" t="e">
        <f>IF(F199=1,  IF(D199=Lookup!$G$9,2,1),  IF(G199&lt;F199-1,0,1)  )</f>
        <v>#N/A</v>
      </c>
      <c r="I199" t="e">
        <f>IF(D199&lt;&gt;Lookup!$G$7,0,IF(INDEX(cards[name],MATCH(E199,cards[object_id order],0))&lt;&gt;"",0,1))</f>
        <v>#N/A</v>
      </c>
      <c r="J199" t="e">
        <f>IF(D199&lt;&gt;Lookup!$G$7,0,IF(INDEX(cards[icon],MATCH(E199,cards[object_id order],0))&lt;&gt;"",0,1))</f>
        <v>#N/A</v>
      </c>
      <c r="K199" t="e">
        <f>IF(D199=Lookup!$G$6,INDEX(cards[object_id],MATCH('card-code'!E199,cards[object_id order],0)),"")</f>
        <v>#N/A</v>
      </c>
      <c r="L199" t="e">
        <f>IF(D199=Lookup!$G$7,INDEX(cards[name],MATCH('card-code'!E199,cards[object_id order],0)),"")</f>
        <v>#N/A</v>
      </c>
      <c r="M199" t="e">
        <f>IF($D199=Lookup!$L$9,INDEX(cards[icon],MATCH($E199,cards[object_id order],0)),"")</f>
        <v>#N/A</v>
      </c>
      <c r="N199" t="e">
        <f>IF(OR(D199=Lookup!$G$10,D199=Lookup!$G$11),INDEX(cards[[1]:[25]],MATCH($E199,cards[object_id order],0),'card-code'!G199),"")</f>
        <v>#N/A</v>
      </c>
      <c r="O199" t="str">
        <f t="shared" si="10"/>
        <v/>
      </c>
      <c r="P199" s="8" t="e">
        <f>INDEX(Lookup!$H$5:$H$11,MATCH(D199,Lookup!$G$5:$G$11,0))&amp;
K199&amp;L199&amp;M199&amp;N199&amp;
INDEX(Lookup!$I$5:$I$11,MATCH(D199,Lookup!$G$5:$G$11,0))</f>
        <v>#N/A</v>
      </c>
    </row>
    <row r="200" spans="2:16" x14ac:dyDescent="0.45">
      <c r="B200">
        <f t="shared" si="9"/>
        <v>198</v>
      </c>
      <c r="C200" t="e">
        <f t="shared" si="11"/>
        <v>#N/A</v>
      </c>
      <c r="D200" t="e">
        <f>VLOOKUP(C200,Lookup!$F$5:$G$11,2,FALSE)</f>
        <v>#N/A</v>
      </c>
      <c r="E200" t="e">
        <f>IF(D200=Lookup!$G$5,E199+1,E199)</f>
        <v>#N/A</v>
      </c>
      <c r="F200" s="3" t="e">
        <f>INDEX(cards[Entities count],MATCH('card-code'!E200,cards[object_id order],0))</f>
        <v>#N/A</v>
      </c>
      <c r="G200" t="e">
        <f>IF(D199=Lookup!$G$9,1,IF(D199=Lookup!$G$10,G199+1,""))</f>
        <v>#N/A</v>
      </c>
      <c r="H200" t="e">
        <f>IF(F200=1,  IF(D200=Lookup!$G$9,2,1),  IF(G200&lt;F200-1,0,1)  )</f>
        <v>#N/A</v>
      </c>
      <c r="I200" t="e">
        <f>IF(D200&lt;&gt;Lookup!$G$7,0,IF(INDEX(cards[name],MATCH(E200,cards[object_id order],0))&lt;&gt;"",0,1))</f>
        <v>#N/A</v>
      </c>
      <c r="J200" t="e">
        <f>IF(D200&lt;&gt;Lookup!$G$7,0,IF(INDEX(cards[icon],MATCH(E200,cards[object_id order],0))&lt;&gt;"",0,1))</f>
        <v>#N/A</v>
      </c>
      <c r="K200" t="e">
        <f>IF(D200=Lookup!$G$6,INDEX(cards[object_id],MATCH('card-code'!E200,cards[object_id order],0)),"")</f>
        <v>#N/A</v>
      </c>
      <c r="L200" t="e">
        <f>IF(D200=Lookup!$G$7,INDEX(cards[name],MATCH('card-code'!E200,cards[object_id order],0)),"")</f>
        <v>#N/A</v>
      </c>
      <c r="M200" t="e">
        <f>IF($D200=Lookup!$L$9,INDEX(cards[icon],MATCH($E200,cards[object_id order],0)),"")</f>
        <v>#N/A</v>
      </c>
      <c r="N200" t="e">
        <f>IF(OR(D200=Lookup!$G$10,D200=Lookup!$G$11),INDEX(cards[[1]:[25]],MATCH($E200,cards[object_id order],0),'card-code'!G200),"")</f>
        <v>#N/A</v>
      </c>
      <c r="O200" t="str">
        <f t="shared" si="10"/>
        <v/>
      </c>
      <c r="P200" s="8" t="e">
        <f>INDEX(Lookup!$H$5:$H$11,MATCH(D200,Lookup!$G$5:$G$11,0))&amp;
K200&amp;L200&amp;M200&amp;N200&amp;
INDEX(Lookup!$I$5:$I$11,MATCH(D200,Lookup!$G$5:$G$11,0))</f>
        <v>#N/A</v>
      </c>
    </row>
    <row r="201" spans="2:16" x14ac:dyDescent="0.45">
      <c r="B201">
        <f t="shared" si="9"/>
        <v>199</v>
      </c>
      <c r="C201" t="e">
        <f t="shared" si="11"/>
        <v>#N/A</v>
      </c>
      <c r="D201" t="e">
        <f>VLOOKUP(C201,Lookup!$F$5:$G$11,2,FALSE)</f>
        <v>#N/A</v>
      </c>
      <c r="E201" t="e">
        <f>IF(D201=Lookup!$G$5,E200+1,E200)</f>
        <v>#N/A</v>
      </c>
      <c r="F201" s="3" t="e">
        <f>INDEX(cards[Entities count],MATCH('card-code'!E201,cards[object_id order],0))</f>
        <v>#N/A</v>
      </c>
      <c r="G201" t="e">
        <f>IF(D200=Lookup!$G$9,1,IF(D200=Lookup!$G$10,G200+1,""))</f>
        <v>#N/A</v>
      </c>
      <c r="H201" t="e">
        <f>IF(F201=1,  IF(D201=Lookup!$G$9,2,1),  IF(G201&lt;F201-1,0,1)  )</f>
        <v>#N/A</v>
      </c>
      <c r="I201" t="e">
        <f>IF(D201&lt;&gt;Lookup!$G$7,0,IF(INDEX(cards[name],MATCH(E201,cards[object_id order],0))&lt;&gt;"",0,1))</f>
        <v>#N/A</v>
      </c>
      <c r="J201" t="e">
        <f>IF(D201&lt;&gt;Lookup!$G$7,0,IF(INDEX(cards[icon],MATCH(E201,cards[object_id order],0))&lt;&gt;"",0,1))</f>
        <v>#N/A</v>
      </c>
      <c r="K201" t="e">
        <f>IF(D201=Lookup!$G$6,INDEX(cards[object_id],MATCH('card-code'!E201,cards[object_id order],0)),"")</f>
        <v>#N/A</v>
      </c>
      <c r="L201" t="e">
        <f>IF(D201=Lookup!$G$7,INDEX(cards[name],MATCH('card-code'!E201,cards[object_id order],0)),"")</f>
        <v>#N/A</v>
      </c>
      <c r="M201" t="e">
        <f>IF($D201=Lookup!$L$9,INDEX(cards[icon],MATCH($E201,cards[object_id order],0)),"")</f>
        <v>#N/A</v>
      </c>
      <c r="N201" t="e">
        <f>IF(OR(D201=Lookup!$G$10,D201=Lookup!$G$11),INDEX(cards[[1]:[25]],MATCH($E201,cards[object_id order],0),'card-code'!G201),"")</f>
        <v>#N/A</v>
      </c>
      <c r="O201" t="str">
        <f t="shared" si="10"/>
        <v/>
      </c>
      <c r="P201" s="8" t="e">
        <f>INDEX(Lookup!$H$5:$H$11,MATCH(D201,Lookup!$G$5:$G$11,0))&amp;
K201&amp;L201&amp;M201&amp;N201&amp;
INDEX(Lookup!$I$5:$I$11,MATCH(D201,Lookup!$G$5:$G$11,0))</f>
        <v>#N/A</v>
      </c>
    </row>
    <row r="202" spans="2:16" x14ac:dyDescent="0.45">
      <c r="B202">
        <f t="shared" si="9"/>
        <v>200</v>
      </c>
      <c r="C202" t="e">
        <f t="shared" si="11"/>
        <v>#N/A</v>
      </c>
      <c r="D202" t="e">
        <f>VLOOKUP(C202,Lookup!$F$5:$G$11,2,FALSE)</f>
        <v>#N/A</v>
      </c>
      <c r="E202" t="e">
        <f>IF(D202=Lookup!$G$5,E201+1,E201)</f>
        <v>#N/A</v>
      </c>
      <c r="F202" s="3" t="e">
        <f>INDEX(cards[Entities count],MATCH('card-code'!E202,cards[object_id order],0))</f>
        <v>#N/A</v>
      </c>
      <c r="G202" t="e">
        <f>IF(D201=Lookup!$G$9,1,IF(D201=Lookup!$G$10,G201+1,""))</f>
        <v>#N/A</v>
      </c>
      <c r="H202" t="e">
        <f>IF(F202=1,  IF(D202=Lookup!$G$9,2,1),  IF(G202&lt;F202-1,0,1)  )</f>
        <v>#N/A</v>
      </c>
      <c r="I202" t="e">
        <f>IF(D202&lt;&gt;Lookup!$G$7,0,IF(INDEX(cards[name],MATCH(E202,cards[object_id order],0))&lt;&gt;"",0,1))</f>
        <v>#N/A</v>
      </c>
      <c r="J202" t="e">
        <f>IF(D202&lt;&gt;Lookup!$G$7,0,IF(INDEX(cards[icon],MATCH(E202,cards[object_id order],0))&lt;&gt;"",0,1))</f>
        <v>#N/A</v>
      </c>
      <c r="K202" t="e">
        <f>IF(D202=Lookup!$G$6,INDEX(cards[object_id],MATCH('card-code'!E202,cards[object_id order],0)),"")</f>
        <v>#N/A</v>
      </c>
      <c r="L202" t="e">
        <f>IF(D202=Lookup!$G$7,INDEX(cards[name],MATCH('card-code'!E202,cards[object_id order],0)),"")</f>
        <v>#N/A</v>
      </c>
      <c r="M202" t="e">
        <f>IF($D202=Lookup!$L$9,INDEX(cards[icon],MATCH($E202,cards[object_id order],0)),"")</f>
        <v>#N/A</v>
      </c>
      <c r="N202" t="e">
        <f>IF(OR(D202=Lookup!$G$10,D202=Lookup!$G$11),INDEX(cards[[1]:[25]],MATCH($E202,cards[object_id order],0),'card-code'!G202),"")</f>
        <v>#N/A</v>
      </c>
      <c r="O202" t="str">
        <f t="shared" si="10"/>
        <v/>
      </c>
      <c r="P202" s="8" t="e">
        <f>INDEX(Lookup!$H$5:$H$11,MATCH(D202,Lookup!$G$5:$G$11,0))&amp;
K202&amp;L202&amp;M202&amp;N202&amp;
INDEX(Lookup!$I$5:$I$11,MATCH(D202,Lookup!$G$5:$G$11,0))</f>
        <v>#N/A</v>
      </c>
    </row>
    <row r="203" spans="2:16" x14ac:dyDescent="0.45">
      <c r="B203">
        <f t="shared" si="9"/>
        <v>201</v>
      </c>
      <c r="C203" t="e">
        <f t="shared" si="11"/>
        <v>#N/A</v>
      </c>
      <c r="D203" t="e">
        <f>VLOOKUP(C203,Lookup!$F$5:$G$11,2,FALSE)</f>
        <v>#N/A</v>
      </c>
      <c r="E203" t="e">
        <f>IF(D203=Lookup!$G$5,E202+1,E202)</f>
        <v>#N/A</v>
      </c>
      <c r="F203" s="3" t="e">
        <f>INDEX(cards[Entities count],MATCH('card-code'!E203,cards[object_id order],0))</f>
        <v>#N/A</v>
      </c>
      <c r="G203" t="e">
        <f>IF(D202=Lookup!$G$9,1,IF(D202=Lookup!$G$10,G202+1,""))</f>
        <v>#N/A</v>
      </c>
      <c r="H203" t="e">
        <f>IF(F203=1,  IF(D203=Lookup!$G$9,2,1),  IF(G203&lt;F203-1,0,1)  )</f>
        <v>#N/A</v>
      </c>
      <c r="I203" t="e">
        <f>IF(D203&lt;&gt;Lookup!$G$7,0,IF(INDEX(cards[name],MATCH(E203,cards[object_id order],0))&lt;&gt;"",0,1))</f>
        <v>#N/A</v>
      </c>
      <c r="J203" t="e">
        <f>IF(D203&lt;&gt;Lookup!$G$7,0,IF(INDEX(cards[icon],MATCH(E203,cards[object_id order],0))&lt;&gt;"",0,1))</f>
        <v>#N/A</v>
      </c>
      <c r="K203" t="e">
        <f>IF(D203=Lookup!$G$6,INDEX(cards[object_id],MATCH('card-code'!E203,cards[object_id order],0)),"")</f>
        <v>#N/A</v>
      </c>
      <c r="L203" t="e">
        <f>IF(D203=Lookup!$G$7,INDEX(cards[name],MATCH('card-code'!E203,cards[object_id order],0)),"")</f>
        <v>#N/A</v>
      </c>
      <c r="M203" t="e">
        <f>IF($D203=Lookup!$L$9,INDEX(cards[icon],MATCH($E203,cards[object_id order],0)),"")</f>
        <v>#N/A</v>
      </c>
      <c r="N203" t="e">
        <f>IF(OR(D203=Lookup!$G$10,D203=Lookup!$G$11),INDEX(cards[[1]:[25]],MATCH($E203,cards[object_id order],0),'card-code'!G203),"")</f>
        <v>#N/A</v>
      </c>
      <c r="O203" t="str">
        <f t="shared" si="10"/>
        <v/>
      </c>
      <c r="P203" s="8" t="e">
        <f>INDEX(Lookup!$H$5:$H$11,MATCH(D203,Lookup!$G$5:$G$11,0))&amp;
K203&amp;L203&amp;M203&amp;N203&amp;
INDEX(Lookup!$I$5:$I$11,MATCH(D203,Lookup!$G$5:$G$11,0))</f>
        <v>#N/A</v>
      </c>
    </row>
    <row r="204" spans="2:16" x14ac:dyDescent="0.45">
      <c r="B204">
        <f t="shared" si="9"/>
        <v>202</v>
      </c>
      <c r="C204" t="e">
        <f t="shared" si="11"/>
        <v>#N/A</v>
      </c>
      <c r="D204" t="e">
        <f>VLOOKUP(C204,Lookup!$F$5:$G$11,2,FALSE)</f>
        <v>#N/A</v>
      </c>
      <c r="E204" t="e">
        <f>IF(D204=Lookup!$G$5,E203+1,E203)</f>
        <v>#N/A</v>
      </c>
      <c r="F204" s="3" t="e">
        <f>INDEX(cards[Entities count],MATCH('card-code'!E204,cards[object_id order],0))</f>
        <v>#N/A</v>
      </c>
      <c r="G204" t="e">
        <f>IF(D203=Lookup!$G$9,1,IF(D203=Lookup!$G$10,G203+1,""))</f>
        <v>#N/A</v>
      </c>
      <c r="H204" t="e">
        <f>IF(F204=1,  IF(D204=Lookup!$G$9,2,1),  IF(G204&lt;F204-1,0,1)  )</f>
        <v>#N/A</v>
      </c>
      <c r="I204" t="e">
        <f>IF(D204&lt;&gt;Lookup!$G$7,0,IF(INDEX(cards[name],MATCH(E204,cards[object_id order],0))&lt;&gt;"",0,1))</f>
        <v>#N/A</v>
      </c>
      <c r="J204" t="e">
        <f>IF(D204&lt;&gt;Lookup!$G$7,0,IF(INDEX(cards[icon],MATCH(E204,cards[object_id order],0))&lt;&gt;"",0,1))</f>
        <v>#N/A</v>
      </c>
      <c r="K204" t="e">
        <f>IF(D204=Lookup!$G$6,INDEX(cards[object_id],MATCH('card-code'!E204,cards[object_id order],0)),"")</f>
        <v>#N/A</v>
      </c>
      <c r="L204" t="e">
        <f>IF(D204=Lookup!$G$7,INDEX(cards[name],MATCH('card-code'!E204,cards[object_id order],0)),"")</f>
        <v>#N/A</v>
      </c>
      <c r="M204" t="e">
        <f>IF($D204=Lookup!$L$9,INDEX(cards[icon],MATCH($E204,cards[object_id order],0)),"")</f>
        <v>#N/A</v>
      </c>
      <c r="N204" t="e">
        <f>IF(OR(D204=Lookup!$G$10,D204=Lookup!$G$11),INDEX(cards[[1]:[25]],MATCH($E204,cards[object_id order],0),'card-code'!G204),"")</f>
        <v>#N/A</v>
      </c>
      <c r="O204" t="str">
        <f t="shared" si="10"/>
        <v/>
      </c>
      <c r="P204" s="8" t="e">
        <f>INDEX(Lookup!$H$5:$H$11,MATCH(D204,Lookup!$G$5:$G$11,0))&amp;
K204&amp;L204&amp;M204&amp;N204&amp;
INDEX(Lookup!$I$5:$I$11,MATCH(D204,Lookup!$G$5:$G$11,0))</f>
        <v>#N/A</v>
      </c>
    </row>
    <row r="205" spans="2:16" x14ac:dyDescent="0.45">
      <c r="B205">
        <f t="shared" si="9"/>
        <v>203</v>
      </c>
      <c r="C205" t="e">
        <f t="shared" si="11"/>
        <v>#N/A</v>
      </c>
      <c r="D205" t="e">
        <f>VLOOKUP(C205,Lookup!$F$5:$G$11,2,FALSE)</f>
        <v>#N/A</v>
      </c>
      <c r="E205" t="e">
        <f>IF(D205=Lookup!$G$5,E204+1,E204)</f>
        <v>#N/A</v>
      </c>
      <c r="F205" s="3" t="e">
        <f>INDEX(cards[Entities count],MATCH('card-code'!E205,cards[object_id order],0))</f>
        <v>#N/A</v>
      </c>
      <c r="G205" t="e">
        <f>IF(D204=Lookup!$G$9,1,IF(D204=Lookup!$G$10,G204+1,""))</f>
        <v>#N/A</v>
      </c>
      <c r="H205" t="e">
        <f>IF(F205=1,  IF(D205=Lookup!$G$9,2,1),  IF(G205&lt;F205-1,0,1)  )</f>
        <v>#N/A</v>
      </c>
      <c r="I205" t="e">
        <f>IF(D205&lt;&gt;Lookup!$G$7,0,IF(INDEX(cards[name],MATCH(E205,cards[object_id order],0))&lt;&gt;"",0,1))</f>
        <v>#N/A</v>
      </c>
      <c r="J205" t="e">
        <f>IF(D205&lt;&gt;Lookup!$G$7,0,IF(INDEX(cards[icon],MATCH(E205,cards[object_id order],0))&lt;&gt;"",0,1))</f>
        <v>#N/A</v>
      </c>
      <c r="K205" t="e">
        <f>IF(D205=Lookup!$G$6,INDEX(cards[object_id],MATCH('card-code'!E205,cards[object_id order],0)),"")</f>
        <v>#N/A</v>
      </c>
      <c r="L205" t="e">
        <f>IF(D205=Lookup!$G$7,INDEX(cards[name],MATCH('card-code'!E205,cards[object_id order],0)),"")</f>
        <v>#N/A</v>
      </c>
      <c r="M205" t="e">
        <f>IF($D205=Lookup!$L$9,INDEX(cards[icon],MATCH($E205,cards[object_id order],0)),"")</f>
        <v>#N/A</v>
      </c>
      <c r="N205" t="e">
        <f>IF(OR(D205=Lookup!$G$10,D205=Lookup!$G$11),INDEX(cards[[1]:[25]],MATCH($E205,cards[object_id order],0),'card-code'!G205),"")</f>
        <v>#N/A</v>
      </c>
      <c r="O205" t="str">
        <f t="shared" si="10"/>
        <v/>
      </c>
      <c r="P205" s="8" t="e">
        <f>INDEX(Lookup!$H$5:$H$11,MATCH(D205,Lookup!$G$5:$G$11,0))&amp;
K205&amp;L205&amp;M205&amp;N205&amp;
INDEX(Lookup!$I$5:$I$11,MATCH(D205,Lookup!$G$5:$G$11,0))</f>
        <v>#N/A</v>
      </c>
    </row>
    <row r="206" spans="2:16" x14ac:dyDescent="0.45">
      <c r="B206">
        <f t="shared" si="9"/>
        <v>204</v>
      </c>
      <c r="C206" t="e">
        <f t="shared" si="11"/>
        <v>#N/A</v>
      </c>
      <c r="D206" t="e">
        <f>VLOOKUP(C206,Lookup!$F$5:$G$11,2,FALSE)</f>
        <v>#N/A</v>
      </c>
      <c r="E206" t="e">
        <f>IF(D206=Lookup!$G$5,E205+1,E205)</f>
        <v>#N/A</v>
      </c>
      <c r="F206" s="3" t="e">
        <f>INDEX(cards[Entities count],MATCH('card-code'!E206,cards[object_id order],0))</f>
        <v>#N/A</v>
      </c>
      <c r="G206" t="e">
        <f>IF(D205=Lookup!$G$9,1,IF(D205=Lookup!$G$10,G205+1,""))</f>
        <v>#N/A</v>
      </c>
      <c r="H206" t="e">
        <f>IF(F206=1,  IF(D206=Lookup!$G$9,2,1),  IF(G206&lt;F206-1,0,1)  )</f>
        <v>#N/A</v>
      </c>
      <c r="I206" t="e">
        <f>IF(D206&lt;&gt;Lookup!$G$7,0,IF(INDEX(cards[name],MATCH(E206,cards[object_id order],0))&lt;&gt;"",0,1))</f>
        <v>#N/A</v>
      </c>
      <c r="J206" t="e">
        <f>IF(D206&lt;&gt;Lookup!$G$7,0,IF(INDEX(cards[icon],MATCH(E206,cards[object_id order],0))&lt;&gt;"",0,1))</f>
        <v>#N/A</v>
      </c>
      <c r="K206" t="e">
        <f>IF(D206=Lookup!$G$6,INDEX(cards[object_id],MATCH('card-code'!E206,cards[object_id order],0)),"")</f>
        <v>#N/A</v>
      </c>
      <c r="L206" t="e">
        <f>IF(D206=Lookup!$G$7,INDEX(cards[name],MATCH('card-code'!E206,cards[object_id order],0)),"")</f>
        <v>#N/A</v>
      </c>
      <c r="M206" t="e">
        <f>IF($D206=Lookup!$L$9,INDEX(cards[icon],MATCH($E206,cards[object_id order],0)),"")</f>
        <v>#N/A</v>
      </c>
      <c r="N206" t="e">
        <f>IF(OR(D206=Lookup!$G$10,D206=Lookup!$G$11),INDEX(cards[[1]:[25]],MATCH($E206,cards[object_id order],0),'card-code'!G206),"")</f>
        <v>#N/A</v>
      </c>
      <c r="O206" t="str">
        <f t="shared" si="10"/>
        <v/>
      </c>
      <c r="P206" s="8" t="e">
        <f>INDEX(Lookup!$H$5:$H$11,MATCH(D206,Lookup!$G$5:$G$11,0))&amp;
K206&amp;L206&amp;M206&amp;N206&amp;
INDEX(Lookup!$I$5:$I$11,MATCH(D206,Lookup!$G$5:$G$11,0))</f>
        <v>#N/A</v>
      </c>
    </row>
    <row r="207" spans="2:16" x14ac:dyDescent="0.45">
      <c r="B207">
        <f t="shared" si="9"/>
        <v>205</v>
      </c>
      <c r="C207" t="e">
        <f t="shared" si="11"/>
        <v>#N/A</v>
      </c>
      <c r="D207" t="e">
        <f>VLOOKUP(C207,Lookup!$F$5:$G$11,2,FALSE)</f>
        <v>#N/A</v>
      </c>
      <c r="E207" t="e">
        <f>IF(D207=Lookup!$G$5,E206+1,E206)</f>
        <v>#N/A</v>
      </c>
      <c r="F207" s="3" t="e">
        <f>INDEX(cards[Entities count],MATCH('card-code'!E207,cards[object_id order],0))</f>
        <v>#N/A</v>
      </c>
      <c r="G207" t="e">
        <f>IF(D206=Lookup!$G$9,1,IF(D206=Lookup!$G$10,G206+1,""))</f>
        <v>#N/A</v>
      </c>
      <c r="H207" t="e">
        <f>IF(F207=1,  IF(D207=Lookup!$G$9,2,1),  IF(G207&lt;F207-1,0,1)  )</f>
        <v>#N/A</v>
      </c>
      <c r="I207" t="e">
        <f>IF(D207&lt;&gt;Lookup!$G$7,0,IF(INDEX(cards[name],MATCH(E207,cards[object_id order],0))&lt;&gt;"",0,1))</f>
        <v>#N/A</v>
      </c>
      <c r="J207" t="e">
        <f>IF(D207&lt;&gt;Lookup!$G$7,0,IF(INDEX(cards[icon],MATCH(E207,cards[object_id order],0))&lt;&gt;"",0,1))</f>
        <v>#N/A</v>
      </c>
      <c r="K207" t="e">
        <f>IF(D207=Lookup!$G$6,INDEX(cards[object_id],MATCH('card-code'!E207,cards[object_id order],0)),"")</f>
        <v>#N/A</v>
      </c>
      <c r="L207" t="e">
        <f>IF(D207=Lookup!$G$7,INDEX(cards[name],MATCH('card-code'!E207,cards[object_id order],0)),"")</f>
        <v>#N/A</v>
      </c>
      <c r="M207" t="e">
        <f>IF($D207=Lookup!$L$9,INDEX(cards[icon],MATCH($E207,cards[object_id order],0)),"")</f>
        <v>#N/A</v>
      </c>
      <c r="N207" t="e">
        <f>IF(OR(D207=Lookup!$G$10,D207=Lookup!$G$11),INDEX(cards[[1]:[25]],MATCH($E207,cards[object_id order],0),'card-code'!G207),"")</f>
        <v>#N/A</v>
      </c>
      <c r="O207" t="str">
        <f t="shared" si="10"/>
        <v/>
      </c>
      <c r="P207" s="8" t="e">
        <f>INDEX(Lookup!$H$5:$H$11,MATCH(D207,Lookup!$G$5:$G$11,0))&amp;
K207&amp;L207&amp;M207&amp;N207&amp;
INDEX(Lookup!$I$5:$I$11,MATCH(D207,Lookup!$G$5:$G$11,0))</f>
        <v>#N/A</v>
      </c>
    </row>
    <row r="208" spans="2:16" x14ac:dyDescent="0.45">
      <c r="B208">
        <f t="shared" si="9"/>
        <v>206</v>
      </c>
      <c r="C208" t="e">
        <f t="shared" si="11"/>
        <v>#N/A</v>
      </c>
      <c r="D208" t="e">
        <f>VLOOKUP(C208,Lookup!$F$5:$G$11,2,FALSE)</f>
        <v>#N/A</v>
      </c>
      <c r="E208" t="e">
        <f>IF(D208=Lookup!$G$5,E207+1,E207)</f>
        <v>#N/A</v>
      </c>
      <c r="F208" s="3" t="e">
        <f>INDEX(cards[Entities count],MATCH('card-code'!E208,cards[object_id order],0))</f>
        <v>#N/A</v>
      </c>
      <c r="G208" t="e">
        <f>IF(D207=Lookup!$G$9,1,IF(D207=Lookup!$G$10,G207+1,""))</f>
        <v>#N/A</v>
      </c>
      <c r="H208" t="e">
        <f>IF(F208=1,  IF(D208=Lookup!$G$9,2,1),  IF(G208&lt;F208-1,0,1)  )</f>
        <v>#N/A</v>
      </c>
      <c r="I208" t="e">
        <f>IF(D208&lt;&gt;Lookup!$G$7,0,IF(INDEX(cards[name],MATCH(E208,cards[object_id order],0))&lt;&gt;"",0,1))</f>
        <v>#N/A</v>
      </c>
      <c r="J208" t="e">
        <f>IF(D208&lt;&gt;Lookup!$G$7,0,IF(INDEX(cards[icon],MATCH(E208,cards[object_id order],0))&lt;&gt;"",0,1))</f>
        <v>#N/A</v>
      </c>
      <c r="K208" t="e">
        <f>IF(D208=Lookup!$G$6,INDEX(cards[object_id],MATCH('card-code'!E208,cards[object_id order],0)),"")</f>
        <v>#N/A</v>
      </c>
      <c r="L208" t="e">
        <f>IF(D208=Lookup!$G$7,INDEX(cards[name],MATCH('card-code'!E208,cards[object_id order],0)),"")</f>
        <v>#N/A</v>
      </c>
      <c r="M208" t="e">
        <f>IF($D208=Lookup!$L$9,INDEX(cards[icon],MATCH($E208,cards[object_id order],0)),"")</f>
        <v>#N/A</v>
      </c>
      <c r="N208" t="e">
        <f>IF(OR(D208=Lookup!$G$10,D208=Lookup!$G$11),INDEX(cards[[1]:[25]],MATCH($E208,cards[object_id order],0),'card-code'!G208),"")</f>
        <v>#N/A</v>
      </c>
      <c r="O208" t="str">
        <f t="shared" si="10"/>
        <v/>
      </c>
      <c r="P208" s="8" t="e">
        <f>INDEX(Lookup!$H$5:$H$11,MATCH(D208,Lookup!$G$5:$G$11,0))&amp;
K208&amp;L208&amp;M208&amp;N208&amp;
INDEX(Lookup!$I$5:$I$11,MATCH(D208,Lookup!$G$5:$G$11,0))</f>
        <v>#N/A</v>
      </c>
    </row>
    <row r="209" spans="2:16" x14ac:dyDescent="0.45">
      <c r="B209">
        <f t="shared" si="9"/>
        <v>207</v>
      </c>
      <c r="C209" t="e">
        <f t="shared" si="11"/>
        <v>#N/A</v>
      </c>
      <c r="D209" t="e">
        <f>VLOOKUP(C209,Lookup!$F$5:$G$11,2,FALSE)</f>
        <v>#N/A</v>
      </c>
      <c r="E209" t="e">
        <f>IF(D209=Lookup!$G$5,E208+1,E208)</f>
        <v>#N/A</v>
      </c>
      <c r="F209" s="3" t="e">
        <f>INDEX(cards[Entities count],MATCH('card-code'!E209,cards[object_id order],0))</f>
        <v>#N/A</v>
      </c>
      <c r="G209" t="e">
        <f>IF(D208=Lookup!$G$9,1,IF(D208=Lookup!$G$10,G208+1,""))</f>
        <v>#N/A</v>
      </c>
      <c r="H209" t="e">
        <f>IF(F209=1,  IF(D209=Lookup!$G$9,2,1),  IF(G209&lt;F209-1,0,1)  )</f>
        <v>#N/A</v>
      </c>
      <c r="I209" t="e">
        <f>IF(D209&lt;&gt;Lookup!$G$7,0,IF(INDEX(cards[name],MATCH(E209,cards[object_id order],0))&lt;&gt;"",0,1))</f>
        <v>#N/A</v>
      </c>
      <c r="J209" t="e">
        <f>IF(D209&lt;&gt;Lookup!$G$7,0,IF(INDEX(cards[icon],MATCH(E209,cards[object_id order],0))&lt;&gt;"",0,1))</f>
        <v>#N/A</v>
      </c>
      <c r="K209" t="e">
        <f>IF(D209=Lookup!$G$6,INDEX(cards[object_id],MATCH('card-code'!E209,cards[object_id order],0)),"")</f>
        <v>#N/A</v>
      </c>
      <c r="L209" t="e">
        <f>IF(D209=Lookup!$G$7,INDEX(cards[name],MATCH('card-code'!E209,cards[object_id order],0)),"")</f>
        <v>#N/A</v>
      </c>
      <c r="M209" t="e">
        <f>IF($D209=Lookup!$L$9,INDEX(cards[icon],MATCH($E209,cards[object_id order],0)),"")</f>
        <v>#N/A</v>
      </c>
      <c r="N209" t="e">
        <f>IF(OR(D209=Lookup!$G$10,D209=Lookup!$G$11),INDEX(cards[[1]:[25]],MATCH($E209,cards[object_id order],0),'card-code'!G209),"")</f>
        <v>#N/A</v>
      </c>
      <c r="O209" t="str">
        <f t="shared" si="10"/>
        <v/>
      </c>
      <c r="P209" s="8" t="e">
        <f>INDEX(Lookup!$H$5:$H$11,MATCH(D209,Lookup!$G$5:$G$11,0))&amp;
K209&amp;L209&amp;M209&amp;N209&amp;
INDEX(Lookup!$I$5:$I$11,MATCH(D209,Lookup!$G$5:$G$11,0))</f>
        <v>#N/A</v>
      </c>
    </row>
    <row r="210" spans="2:16" x14ac:dyDescent="0.45">
      <c r="B210">
        <f t="shared" si="9"/>
        <v>208</v>
      </c>
      <c r="C210" t="e">
        <f t="shared" si="11"/>
        <v>#N/A</v>
      </c>
      <c r="D210" t="e">
        <f>VLOOKUP(C210,Lookup!$F$5:$G$11,2,FALSE)</f>
        <v>#N/A</v>
      </c>
      <c r="E210" t="e">
        <f>IF(D210=Lookup!$G$5,E209+1,E209)</f>
        <v>#N/A</v>
      </c>
      <c r="F210" s="3" t="e">
        <f>INDEX(cards[Entities count],MATCH('card-code'!E210,cards[object_id order],0))</f>
        <v>#N/A</v>
      </c>
      <c r="G210" t="e">
        <f>IF(D209=Lookup!$G$9,1,IF(D209=Lookup!$G$10,G209+1,""))</f>
        <v>#N/A</v>
      </c>
      <c r="H210" t="e">
        <f>IF(F210=1,  IF(D210=Lookup!$G$9,2,1),  IF(G210&lt;F210-1,0,1)  )</f>
        <v>#N/A</v>
      </c>
      <c r="I210" t="e">
        <f>IF(D210&lt;&gt;Lookup!$G$7,0,IF(INDEX(cards[name],MATCH(E210,cards[object_id order],0))&lt;&gt;"",0,1))</f>
        <v>#N/A</v>
      </c>
      <c r="J210" t="e">
        <f>IF(D210&lt;&gt;Lookup!$G$7,0,IF(INDEX(cards[icon],MATCH(E210,cards[object_id order],0))&lt;&gt;"",0,1))</f>
        <v>#N/A</v>
      </c>
      <c r="K210" t="e">
        <f>IF(D210=Lookup!$G$6,INDEX(cards[object_id],MATCH('card-code'!E210,cards[object_id order],0)),"")</f>
        <v>#N/A</v>
      </c>
      <c r="L210" t="e">
        <f>IF(D210=Lookup!$G$7,INDEX(cards[name],MATCH('card-code'!E210,cards[object_id order],0)),"")</f>
        <v>#N/A</v>
      </c>
      <c r="M210" t="e">
        <f>IF($D210=Lookup!$L$9,INDEX(cards[icon],MATCH($E210,cards[object_id order],0)),"")</f>
        <v>#N/A</v>
      </c>
      <c r="N210" t="e">
        <f>IF(OR(D210=Lookup!$G$10,D210=Lookup!$G$11),INDEX(cards[[1]:[25]],MATCH($E210,cards[object_id order],0),'card-code'!G210),"")</f>
        <v>#N/A</v>
      </c>
      <c r="O210" t="str">
        <f t="shared" si="10"/>
        <v/>
      </c>
      <c r="P210" s="8" t="e">
        <f>INDEX(Lookup!$H$5:$H$11,MATCH(D210,Lookup!$G$5:$G$11,0))&amp;
K210&amp;L210&amp;M210&amp;N210&amp;
INDEX(Lookup!$I$5:$I$11,MATCH(D210,Lookup!$G$5:$G$11,0))</f>
        <v>#N/A</v>
      </c>
    </row>
    <row r="211" spans="2:16" x14ac:dyDescent="0.45">
      <c r="B211">
        <f t="shared" si="9"/>
        <v>209</v>
      </c>
      <c r="C211" t="e">
        <f t="shared" si="11"/>
        <v>#N/A</v>
      </c>
      <c r="D211" t="e">
        <f>VLOOKUP(C211,Lookup!$F$5:$G$11,2,FALSE)</f>
        <v>#N/A</v>
      </c>
      <c r="E211" t="e">
        <f>IF(D211=Lookup!$G$5,E210+1,E210)</f>
        <v>#N/A</v>
      </c>
      <c r="F211" s="3" t="e">
        <f>INDEX(cards[Entities count],MATCH('card-code'!E211,cards[object_id order],0))</f>
        <v>#N/A</v>
      </c>
      <c r="G211" t="e">
        <f>IF(D210=Lookup!$G$9,1,IF(D210=Lookup!$G$10,G210+1,""))</f>
        <v>#N/A</v>
      </c>
      <c r="H211" t="e">
        <f>IF(F211=1,  IF(D211=Lookup!$G$9,2,1),  IF(G211&lt;F211-1,0,1)  )</f>
        <v>#N/A</v>
      </c>
      <c r="I211" t="e">
        <f>IF(D211&lt;&gt;Lookup!$G$7,0,IF(INDEX(cards[name],MATCH(E211,cards[object_id order],0))&lt;&gt;"",0,1))</f>
        <v>#N/A</v>
      </c>
      <c r="J211" t="e">
        <f>IF(D211&lt;&gt;Lookup!$G$7,0,IF(INDEX(cards[icon],MATCH(E211,cards[object_id order],0))&lt;&gt;"",0,1))</f>
        <v>#N/A</v>
      </c>
      <c r="K211" t="e">
        <f>IF(D211=Lookup!$G$6,INDEX(cards[object_id],MATCH('card-code'!E211,cards[object_id order],0)),"")</f>
        <v>#N/A</v>
      </c>
      <c r="L211" t="e">
        <f>IF(D211=Lookup!$G$7,INDEX(cards[name],MATCH('card-code'!E211,cards[object_id order],0)),"")</f>
        <v>#N/A</v>
      </c>
      <c r="M211" t="e">
        <f>IF($D211=Lookup!$L$9,INDEX(cards[icon],MATCH($E211,cards[object_id order],0)),"")</f>
        <v>#N/A</v>
      </c>
      <c r="N211" t="e">
        <f>IF(OR(D211=Lookup!$G$10,D211=Lookup!$G$11),INDEX(cards[[1]:[25]],MATCH($E211,cards[object_id order],0),'card-code'!G211),"")</f>
        <v>#N/A</v>
      </c>
      <c r="O211" t="str">
        <f t="shared" si="10"/>
        <v/>
      </c>
      <c r="P211" s="8" t="e">
        <f>INDEX(Lookup!$H$5:$H$11,MATCH(D211,Lookup!$G$5:$G$11,0))&amp;
K211&amp;L211&amp;M211&amp;N211&amp;
INDEX(Lookup!$I$5:$I$11,MATCH(D211,Lookup!$G$5:$G$11,0))</f>
        <v>#N/A</v>
      </c>
    </row>
    <row r="212" spans="2:16" x14ac:dyDescent="0.45">
      <c r="B212">
        <f t="shared" si="9"/>
        <v>210</v>
      </c>
      <c r="C212" t="e">
        <f t="shared" si="11"/>
        <v>#N/A</v>
      </c>
      <c r="D212" t="e">
        <f>VLOOKUP(C212,Lookup!$F$5:$G$11,2,FALSE)</f>
        <v>#N/A</v>
      </c>
      <c r="E212" t="e">
        <f>IF(D212=Lookup!$G$5,E211+1,E211)</f>
        <v>#N/A</v>
      </c>
      <c r="F212" s="3" t="e">
        <f>INDEX(cards[Entities count],MATCH('card-code'!E212,cards[object_id order],0))</f>
        <v>#N/A</v>
      </c>
      <c r="G212" t="e">
        <f>IF(D211=Lookup!$G$9,1,IF(D211=Lookup!$G$10,G211+1,""))</f>
        <v>#N/A</v>
      </c>
      <c r="H212" t="e">
        <f>IF(F212=1,  IF(D212=Lookup!$G$9,2,1),  IF(G212&lt;F212-1,0,1)  )</f>
        <v>#N/A</v>
      </c>
      <c r="I212" t="e">
        <f>IF(D212&lt;&gt;Lookup!$G$7,0,IF(INDEX(cards[name],MATCH(E212,cards[object_id order],0))&lt;&gt;"",0,1))</f>
        <v>#N/A</v>
      </c>
      <c r="J212" t="e">
        <f>IF(D212&lt;&gt;Lookup!$G$7,0,IF(INDEX(cards[icon],MATCH(E212,cards[object_id order],0))&lt;&gt;"",0,1))</f>
        <v>#N/A</v>
      </c>
      <c r="K212" t="e">
        <f>IF(D212=Lookup!$G$6,INDEX(cards[object_id],MATCH('card-code'!E212,cards[object_id order],0)),"")</f>
        <v>#N/A</v>
      </c>
      <c r="L212" t="e">
        <f>IF(D212=Lookup!$G$7,INDEX(cards[name],MATCH('card-code'!E212,cards[object_id order],0)),"")</f>
        <v>#N/A</v>
      </c>
      <c r="M212" t="e">
        <f>IF($D212=Lookup!$L$9,INDEX(cards[icon],MATCH($E212,cards[object_id order],0)),"")</f>
        <v>#N/A</v>
      </c>
      <c r="N212" t="e">
        <f>IF(OR(D212=Lookup!$G$10,D212=Lookup!$G$11),INDEX(cards[[1]:[25]],MATCH($E212,cards[object_id order],0),'card-code'!G212),"")</f>
        <v>#N/A</v>
      </c>
      <c r="O212" t="str">
        <f t="shared" si="10"/>
        <v/>
      </c>
      <c r="P212" s="8" t="e">
        <f>INDEX(Lookup!$H$5:$H$11,MATCH(D212,Lookup!$G$5:$G$11,0))&amp;
K212&amp;L212&amp;M212&amp;N212&amp;
INDEX(Lookup!$I$5:$I$11,MATCH(D212,Lookup!$G$5:$G$11,0))</f>
        <v>#N/A</v>
      </c>
    </row>
    <row r="213" spans="2:16" x14ac:dyDescent="0.45">
      <c r="B213">
        <f t="shared" si="9"/>
        <v>211</v>
      </c>
      <c r="C213" t="e">
        <f t="shared" si="11"/>
        <v>#N/A</v>
      </c>
      <c r="D213" t="e">
        <f>VLOOKUP(C213,Lookup!$F$5:$G$11,2,FALSE)</f>
        <v>#N/A</v>
      </c>
      <c r="E213" t="e">
        <f>IF(D213=Lookup!$G$5,E212+1,E212)</f>
        <v>#N/A</v>
      </c>
      <c r="F213" s="3" t="e">
        <f>INDEX(cards[Entities count],MATCH('card-code'!E213,cards[object_id order],0))</f>
        <v>#N/A</v>
      </c>
      <c r="G213" t="e">
        <f>IF(D212=Lookup!$G$9,1,IF(D212=Lookup!$G$10,G212+1,""))</f>
        <v>#N/A</v>
      </c>
      <c r="H213" t="e">
        <f>IF(F213=1,  IF(D213=Lookup!$G$9,2,1),  IF(G213&lt;F213-1,0,1)  )</f>
        <v>#N/A</v>
      </c>
      <c r="I213" t="e">
        <f>IF(D213&lt;&gt;Lookup!$G$7,0,IF(INDEX(cards[name],MATCH(E213,cards[object_id order],0))&lt;&gt;"",0,1))</f>
        <v>#N/A</v>
      </c>
      <c r="J213" t="e">
        <f>IF(D213&lt;&gt;Lookup!$G$7,0,IF(INDEX(cards[icon],MATCH(E213,cards[object_id order],0))&lt;&gt;"",0,1))</f>
        <v>#N/A</v>
      </c>
      <c r="K213" t="e">
        <f>IF(D213=Lookup!$G$6,INDEX(cards[object_id],MATCH('card-code'!E213,cards[object_id order],0)),"")</f>
        <v>#N/A</v>
      </c>
      <c r="L213" t="e">
        <f>IF(D213=Lookup!$G$7,INDEX(cards[name],MATCH('card-code'!E213,cards[object_id order],0)),"")</f>
        <v>#N/A</v>
      </c>
      <c r="M213" t="e">
        <f>IF($D213=Lookup!$L$9,INDEX(cards[icon],MATCH($E213,cards[object_id order],0)),"")</f>
        <v>#N/A</v>
      </c>
      <c r="N213" t="e">
        <f>IF(OR(D213=Lookup!$G$10,D213=Lookup!$G$11),INDEX(cards[[1]:[25]],MATCH($E213,cards[object_id order],0),'card-code'!G213),"")</f>
        <v>#N/A</v>
      </c>
      <c r="O213" t="str">
        <f t="shared" si="10"/>
        <v/>
      </c>
      <c r="P213" s="8" t="e">
        <f>INDEX(Lookup!$H$5:$H$11,MATCH(D213,Lookup!$G$5:$G$11,0))&amp;
K213&amp;L213&amp;M213&amp;N213&amp;
INDEX(Lookup!$I$5:$I$11,MATCH(D213,Lookup!$G$5:$G$11,0))</f>
        <v>#N/A</v>
      </c>
    </row>
    <row r="214" spans="2:16" x14ac:dyDescent="0.45">
      <c r="B214">
        <f t="shared" si="9"/>
        <v>212</v>
      </c>
      <c r="C214" t="e">
        <f t="shared" si="11"/>
        <v>#N/A</v>
      </c>
      <c r="D214" t="e">
        <f>VLOOKUP(C214,Lookup!$F$5:$G$11,2,FALSE)</f>
        <v>#N/A</v>
      </c>
      <c r="E214" t="e">
        <f>IF(D214=Lookup!$G$5,E213+1,E213)</f>
        <v>#N/A</v>
      </c>
      <c r="F214" s="3" t="e">
        <f>INDEX(cards[Entities count],MATCH('card-code'!E214,cards[object_id order],0))</f>
        <v>#N/A</v>
      </c>
      <c r="G214" t="e">
        <f>IF(D213=Lookup!$G$9,1,IF(D213=Lookup!$G$10,G213+1,""))</f>
        <v>#N/A</v>
      </c>
      <c r="H214" t="e">
        <f>IF(F214=1,  IF(D214=Lookup!$G$9,2,1),  IF(G214&lt;F214-1,0,1)  )</f>
        <v>#N/A</v>
      </c>
      <c r="I214" t="e">
        <f>IF(D214&lt;&gt;Lookup!$G$7,0,IF(INDEX(cards[name],MATCH(E214,cards[object_id order],0))&lt;&gt;"",0,1))</f>
        <v>#N/A</v>
      </c>
      <c r="J214" t="e">
        <f>IF(D214&lt;&gt;Lookup!$G$7,0,IF(INDEX(cards[icon],MATCH(E214,cards[object_id order],0))&lt;&gt;"",0,1))</f>
        <v>#N/A</v>
      </c>
      <c r="K214" t="e">
        <f>IF(D214=Lookup!$G$6,INDEX(cards[object_id],MATCH('card-code'!E214,cards[object_id order],0)),"")</f>
        <v>#N/A</v>
      </c>
      <c r="L214" t="e">
        <f>IF(D214=Lookup!$G$7,INDEX(cards[name],MATCH('card-code'!E214,cards[object_id order],0)),"")</f>
        <v>#N/A</v>
      </c>
      <c r="M214" t="e">
        <f>IF($D214=Lookup!$L$9,INDEX(cards[icon],MATCH($E214,cards[object_id order],0)),"")</f>
        <v>#N/A</v>
      </c>
      <c r="N214" t="e">
        <f>IF(OR(D214=Lookup!$G$10,D214=Lookup!$G$11),INDEX(cards[[1]:[25]],MATCH($E214,cards[object_id order],0),'card-code'!G214),"")</f>
        <v>#N/A</v>
      </c>
      <c r="O214" t="str">
        <f t="shared" si="10"/>
        <v/>
      </c>
      <c r="P214" s="8" t="e">
        <f>INDEX(Lookup!$H$5:$H$11,MATCH(D214,Lookup!$G$5:$G$11,0))&amp;
K214&amp;L214&amp;M214&amp;N214&amp;
INDEX(Lookup!$I$5:$I$11,MATCH(D214,Lookup!$G$5:$G$11,0))</f>
        <v>#N/A</v>
      </c>
    </row>
    <row r="215" spans="2:16" x14ac:dyDescent="0.45">
      <c r="B215">
        <f t="shared" si="9"/>
        <v>213</v>
      </c>
      <c r="C215" t="e">
        <f t="shared" si="11"/>
        <v>#N/A</v>
      </c>
      <c r="D215" t="e">
        <f>VLOOKUP(C215,Lookup!$F$5:$G$11,2,FALSE)</f>
        <v>#N/A</v>
      </c>
      <c r="E215" t="e">
        <f>IF(D215=Lookup!$G$5,E214+1,E214)</f>
        <v>#N/A</v>
      </c>
      <c r="F215" s="3" t="e">
        <f>INDEX(cards[Entities count],MATCH('card-code'!E215,cards[object_id order],0))</f>
        <v>#N/A</v>
      </c>
      <c r="G215" t="e">
        <f>IF(D214=Lookup!$G$9,1,IF(D214=Lookup!$G$10,G214+1,""))</f>
        <v>#N/A</v>
      </c>
      <c r="H215" t="e">
        <f>IF(F215=1,  IF(D215=Lookup!$G$9,2,1),  IF(G215&lt;F215-1,0,1)  )</f>
        <v>#N/A</v>
      </c>
      <c r="I215" t="e">
        <f>IF(D215&lt;&gt;Lookup!$G$7,0,IF(INDEX(cards[name],MATCH(E215,cards[object_id order],0))&lt;&gt;"",0,1))</f>
        <v>#N/A</v>
      </c>
      <c r="J215" t="e">
        <f>IF(D215&lt;&gt;Lookup!$G$7,0,IF(INDEX(cards[icon],MATCH(E215,cards[object_id order],0))&lt;&gt;"",0,1))</f>
        <v>#N/A</v>
      </c>
      <c r="K215" t="e">
        <f>IF(D215=Lookup!$G$6,INDEX(cards[object_id],MATCH('card-code'!E215,cards[object_id order],0)),"")</f>
        <v>#N/A</v>
      </c>
      <c r="L215" t="e">
        <f>IF(D215=Lookup!$G$7,INDEX(cards[name],MATCH('card-code'!E215,cards[object_id order],0)),"")</f>
        <v>#N/A</v>
      </c>
      <c r="M215" t="e">
        <f>IF($D215=Lookup!$L$9,INDEX(cards[icon],MATCH($E215,cards[object_id order],0)),"")</f>
        <v>#N/A</v>
      </c>
      <c r="N215" t="e">
        <f>IF(OR(D215=Lookup!$G$10,D215=Lookup!$G$11),INDEX(cards[[1]:[25]],MATCH($E215,cards[object_id order],0),'card-code'!G215),"")</f>
        <v>#N/A</v>
      </c>
      <c r="O215" t="str">
        <f t="shared" si="10"/>
        <v/>
      </c>
      <c r="P215" s="8" t="e">
        <f>INDEX(Lookup!$H$5:$H$11,MATCH(D215,Lookup!$G$5:$G$11,0))&amp;
K215&amp;L215&amp;M215&amp;N215&amp;
INDEX(Lookup!$I$5:$I$11,MATCH(D215,Lookup!$G$5:$G$11,0))</f>
        <v>#N/A</v>
      </c>
    </row>
    <row r="216" spans="2:16" x14ac:dyDescent="0.45">
      <c r="B216">
        <f t="shared" si="9"/>
        <v>214</v>
      </c>
      <c r="C216" t="e">
        <f t="shared" si="11"/>
        <v>#N/A</v>
      </c>
      <c r="D216" t="e">
        <f>VLOOKUP(C216,Lookup!$F$5:$G$11,2,FALSE)</f>
        <v>#N/A</v>
      </c>
      <c r="E216" t="e">
        <f>IF(D216=Lookup!$G$5,E215+1,E215)</f>
        <v>#N/A</v>
      </c>
      <c r="F216" s="3" t="e">
        <f>INDEX(cards[Entities count],MATCH('card-code'!E216,cards[object_id order],0))</f>
        <v>#N/A</v>
      </c>
      <c r="G216" t="e">
        <f>IF(D215=Lookup!$G$9,1,IF(D215=Lookup!$G$10,G215+1,""))</f>
        <v>#N/A</v>
      </c>
      <c r="H216" t="e">
        <f>IF(F216=1,  IF(D216=Lookup!$G$9,2,1),  IF(G216&lt;F216-1,0,1)  )</f>
        <v>#N/A</v>
      </c>
      <c r="I216" t="e">
        <f>IF(D216&lt;&gt;Lookup!$G$7,0,IF(INDEX(cards[name],MATCH(E216,cards[object_id order],0))&lt;&gt;"",0,1))</f>
        <v>#N/A</v>
      </c>
      <c r="J216" t="e">
        <f>IF(D216&lt;&gt;Lookup!$G$7,0,IF(INDEX(cards[icon],MATCH(E216,cards[object_id order],0))&lt;&gt;"",0,1))</f>
        <v>#N/A</v>
      </c>
      <c r="K216" t="e">
        <f>IF(D216=Lookup!$G$6,INDEX(cards[object_id],MATCH('card-code'!E216,cards[object_id order],0)),"")</f>
        <v>#N/A</v>
      </c>
      <c r="L216" t="e">
        <f>IF(D216=Lookup!$G$7,INDEX(cards[name],MATCH('card-code'!E216,cards[object_id order],0)),"")</f>
        <v>#N/A</v>
      </c>
      <c r="M216" t="e">
        <f>IF($D216=Lookup!$L$9,INDEX(cards[icon],MATCH($E216,cards[object_id order],0)),"")</f>
        <v>#N/A</v>
      </c>
      <c r="N216" t="e">
        <f>IF(OR(D216=Lookup!$G$10,D216=Lookup!$G$11),INDEX(cards[[1]:[25]],MATCH($E216,cards[object_id order],0),'card-code'!G216),"")</f>
        <v>#N/A</v>
      </c>
      <c r="O216" t="str">
        <f t="shared" si="10"/>
        <v/>
      </c>
      <c r="P216" s="8" t="e">
        <f>INDEX(Lookup!$H$5:$H$11,MATCH(D216,Lookup!$G$5:$G$11,0))&amp;
K216&amp;L216&amp;M216&amp;N216&amp;
INDEX(Lookup!$I$5:$I$11,MATCH(D216,Lookup!$G$5:$G$11,0))</f>
        <v>#N/A</v>
      </c>
    </row>
    <row r="217" spans="2:16" x14ac:dyDescent="0.45">
      <c r="B217">
        <f t="shared" si="9"/>
        <v>215</v>
      </c>
      <c r="C217" t="e">
        <f t="shared" si="11"/>
        <v>#N/A</v>
      </c>
      <c r="D217" t="e">
        <f>VLOOKUP(C217,Lookup!$F$5:$G$11,2,FALSE)</f>
        <v>#N/A</v>
      </c>
      <c r="E217" t="e">
        <f>IF(D217=Lookup!$G$5,E216+1,E216)</f>
        <v>#N/A</v>
      </c>
      <c r="F217" s="3" t="e">
        <f>INDEX(cards[Entities count],MATCH('card-code'!E217,cards[object_id order],0))</f>
        <v>#N/A</v>
      </c>
      <c r="G217" t="e">
        <f>IF(D216=Lookup!$G$9,1,IF(D216=Lookup!$G$10,G216+1,""))</f>
        <v>#N/A</v>
      </c>
      <c r="H217" t="e">
        <f>IF(F217=1,  IF(D217=Lookup!$G$9,2,1),  IF(G217&lt;F217-1,0,1)  )</f>
        <v>#N/A</v>
      </c>
      <c r="I217" t="e">
        <f>IF(D217&lt;&gt;Lookup!$G$7,0,IF(INDEX(cards[name],MATCH(E217,cards[object_id order],0))&lt;&gt;"",0,1))</f>
        <v>#N/A</v>
      </c>
      <c r="J217" t="e">
        <f>IF(D217&lt;&gt;Lookup!$G$7,0,IF(INDEX(cards[icon],MATCH(E217,cards[object_id order],0))&lt;&gt;"",0,1))</f>
        <v>#N/A</v>
      </c>
      <c r="K217" t="e">
        <f>IF(D217=Lookup!$G$6,INDEX(cards[object_id],MATCH('card-code'!E217,cards[object_id order],0)),"")</f>
        <v>#N/A</v>
      </c>
      <c r="L217" t="e">
        <f>IF(D217=Lookup!$G$7,INDEX(cards[name],MATCH('card-code'!E217,cards[object_id order],0)),"")</f>
        <v>#N/A</v>
      </c>
      <c r="M217" t="e">
        <f>IF($D217=Lookup!$L$9,INDEX(cards[icon],MATCH($E217,cards[object_id order],0)),"")</f>
        <v>#N/A</v>
      </c>
      <c r="N217" t="e">
        <f>IF(OR(D217=Lookup!$G$10,D217=Lookup!$G$11),INDEX(cards[[1]:[25]],MATCH($E217,cards[object_id order],0),'card-code'!G217),"")</f>
        <v>#N/A</v>
      </c>
      <c r="O217" t="str">
        <f t="shared" si="10"/>
        <v/>
      </c>
      <c r="P217" s="8" t="e">
        <f>INDEX(Lookup!$H$5:$H$11,MATCH(D217,Lookup!$G$5:$G$11,0))&amp;
K217&amp;L217&amp;M217&amp;N217&amp;
INDEX(Lookup!$I$5:$I$11,MATCH(D217,Lookup!$G$5:$G$11,0))</f>
        <v>#N/A</v>
      </c>
    </row>
    <row r="218" spans="2:16" x14ac:dyDescent="0.45">
      <c r="B218">
        <f t="shared" si="9"/>
        <v>216</v>
      </c>
      <c r="C218" t="e">
        <f t="shared" si="11"/>
        <v>#N/A</v>
      </c>
      <c r="D218" t="e">
        <f>VLOOKUP(C218,Lookup!$F$5:$G$11,2,FALSE)</f>
        <v>#N/A</v>
      </c>
      <c r="E218" t="e">
        <f>IF(D218=Lookup!$G$5,E217+1,E217)</f>
        <v>#N/A</v>
      </c>
      <c r="F218" s="3" t="e">
        <f>INDEX(cards[Entities count],MATCH('card-code'!E218,cards[object_id order],0))</f>
        <v>#N/A</v>
      </c>
      <c r="G218" t="e">
        <f>IF(D217=Lookup!$G$9,1,IF(D217=Lookup!$G$10,G217+1,""))</f>
        <v>#N/A</v>
      </c>
      <c r="H218" t="e">
        <f>IF(F218=1,  IF(D218=Lookup!$G$9,2,1),  IF(G218&lt;F218-1,0,1)  )</f>
        <v>#N/A</v>
      </c>
      <c r="I218" t="e">
        <f>IF(D218&lt;&gt;Lookup!$G$7,0,IF(INDEX(cards[name],MATCH(E218,cards[object_id order],0))&lt;&gt;"",0,1))</f>
        <v>#N/A</v>
      </c>
      <c r="J218" t="e">
        <f>IF(D218&lt;&gt;Lookup!$G$7,0,IF(INDEX(cards[icon],MATCH(E218,cards[object_id order],0))&lt;&gt;"",0,1))</f>
        <v>#N/A</v>
      </c>
      <c r="K218" t="e">
        <f>IF(D218=Lookup!$G$6,INDEX(cards[object_id],MATCH('card-code'!E218,cards[object_id order],0)),"")</f>
        <v>#N/A</v>
      </c>
      <c r="L218" t="e">
        <f>IF(D218=Lookup!$G$7,INDEX(cards[name],MATCH('card-code'!E218,cards[object_id order],0)),"")</f>
        <v>#N/A</v>
      </c>
      <c r="M218" t="e">
        <f>IF($D218=Lookup!$L$9,INDEX(cards[icon],MATCH($E218,cards[object_id order],0)),"")</f>
        <v>#N/A</v>
      </c>
      <c r="N218" t="e">
        <f>IF(OR(D218=Lookup!$G$10,D218=Lookup!$G$11),INDEX(cards[[1]:[25]],MATCH($E218,cards[object_id order],0),'card-code'!G218),"")</f>
        <v>#N/A</v>
      </c>
      <c r="O218" t="str">
        <f t="shared" si="10"/>
        <v/>
      </c>
      <c r="P218" s="8" t="e">
        <f>INDEX(Lookup!$H$5:$H$11,MATCH(D218,Lookup!$G$5:$G$11,0))&amp;
K218&amp;L218&amp;M218&amp;N218&amp;
INDEX(Lookup!$I$5:$I$11,MATCH(D218,Lookup!$G$5:$G$11,0))</f>
        <v>#N/A</v>
      </c>
    </row>
    <row r="219" spans="2:16" x14ac:dyDescent="0.45">
      <c r="B219">
        <f t="shared" si="9"/>
        <v>217</v>
      </c>
      <c r="C219" t="e">
        <f t="shared" si="11"/>
        <v>#N/A</v>
      </c>
      <c r="D219" t="e">
        <f>VLOOKUP(C219,Lookup!$F$5:$G$11,2,FALSE)</f>
        <v>#N/A</v>
      </c>
      <c r="E219" t="e">
        <f>IF(D219=Lookup!$G$5,E218+1,E218)</f>
        <v>#N/A</v>
      </c>
      <c r="F219" s="3" t="e">
        <f>INDEX(cards[Entities count],MATCH('card-code'!E219,cards[object_id order],0))</f>
        <v>#N/A</v>
      </c>
      <c r="G219" t="e">
        <f>IF(D218=Lookup!$G$9,1,IF(D218=Lookup!$G$10,G218+1,""))</f>
        <v>#N/A</v>
      </c>
      <c r="H219" t="e">
        <f>IF(F219=1,  IF(D219=Lookup!$G$9,2,1),  IF(G219&lt;F219-1,0,1)  )</f>
        <v>#N/A</v>
      </c>
      <c r="I219" t="e">
        <f>IF(D219&lt;&gt;Lookup!$G$7,0,IF(INDEX(cards[name],MATCH(E219,cards[object_id order],0))&lt;&gt;"",0,1))</f>
        <v>#N/A</v>
      </c>
      <c r="J219" t="e">
        <f>IF(D219&lt;&gt;Lookup!$G$7,0,IF(INDEX(cards[icon],MATCH(E219,cards[object_id order],0))&lt;&gt;"",0,1))</f>
        <v>#N/A</v>
      </c>
      <c r="K219" t="e">
        <f>IF(D219=Lookup!$G$6,INDEX(cards[object_id],MATCH('card-code'!E219,cards[object_id order],0)),"")</f>
        <v>#N/A</v>
      </c>
      <c r="L219" t="e">
        <f>IF(D219=Lookup!$G$7,INDEX(cards[name],MATCH('card-code'!E219,cards[object_id order],0)),"")</f>
        <v>#N/A</v>
      </c>
      <c r="M219" t="e">
        <f>IF($D219=Lookup!$L$9,INDEX(cards[icon],MATCH($E219,cards[object_id order],0)),"")</f>
        <v>#N/A</v>
      </c>
      <c r="N219" t="e">
        <f>IF(OR(D219=Lookup!$G$10,D219=Lookup!$G$11),INDEX(cards[[1]:[25]],MATCH($E219,cards[object_id order],0),'card-code'!G219),"")</f>
        <v>#N/A</v>
      </c>
      <c r="O219" t="str">
        <f t="shared" si="10"/>
        <v/>
      </c>
      <c r="P219" s="8" t="e">
        <f>INDEX(Lookup!$H$5:$H$11,MATCH(D219,Lookup!$G$5:$G$11,0))&amp;
K219&amp;L219&amp;M219&amp;N219&amp;
INDEX(Lookup!$I$5:$I$11,MATCH(D219,Lookup!$G$5:$G$11,0))</f>
        <v>#N/A</v>
      </c>
    </row>
    <row r="220" spans="2:16" x14ac:dyDescent="0.45">
      <c r="B220">
        <f t="shared" si="9"/>
        <v>218</v>
      </c>
      <c r="C220" t="e">
        <f t="shared" si="11"/>
        <v>#N/A</v>
      </c>
      <c r="D220" t="e">
        <f>VLOOKUP(C220,Lookup!$F$5:$G$11,2,FALSE)</f>
        <v>#N/A</v>
      </c>
      <c r="E220" t="e">
        <f>IF(D220=Lookup!$G$5,E219+1,E219)</f>
        <v>#N/A</v>
      </c>
      <c r="F220" s="3" t="e">
        <f>INDEX(cards[Entities count],MATCH('card-code'!E220,cards[object_id order],0))</f>
        <v>#N/A</v>
      </c>
      <c r="G220" t="e">
        <f>IF(D219=Lookup!$G$9,1,IF(D219=Lookup!$G$10,G219+1,""))</f>
        <v>#N/A</v>
      </c>
      <c r="H220" t="e">
        <f>IF(F220=1,  IF(D220=Lookup!$G$9,2,1),  IF(G220&lt;F220-1,0,1)  )</f>
        <v>#N/A</v>
      </c>
      <c r="I220" t="e">
        <f>IF(D220&lt;&gt;Lookup!$G$7,0,IF(INDEX(cards[name],MATCH(E220,cards[object_id order],0))&lt;&gt;"",0,1))</f>
        <v>#N/A</v>
      </c>
      <c r="J220" t="e">
        <f>IF(D220&lt;&gt;Lookup!$G$7,0,IF(INDEX(cards[icon],MATCH(E220,cards[object_id order],0))&lt;&gt;"",0,1))</f>
        <v>#N/A</v>
      </c>
      <c r="K220" t="e">
        <f>IF(D220=Lookup!$G$6,INDEX(cards[object_id],MATCH('card-code'!E220,cards[object_id order],0)),"")</f>
        <v>#N/A</v>
      </c>
      <c r="L220" t="e">
        <f>IF(D220=Lookup!$G$7,INDEX(cards[name],MATCH('card-code'!E220,cards[object_id order],0)),"")</f>
        <v>#N/A</v>
      </c>
      <c r="M220" t="e">
        <f>IF($D220=Lookup!$L$9,INDEX(cards[icon],MATCH($E220,cards[object_id order],0)),"")</f>
        <v>#N/A</v>
      </c>
      <c r="N220" t="e">
        <f>IF(OR(D220=Lookup!$G$10,D220=Lookup!$G$11),INDEX(cards[[1]:[25]],MATCH($E220,cards[object_id order],0),'card-code'!G220),"")</f>
        <v>#N/A</v>
      </c>
      <c r="O220" t="str">
        <f t="shared" si="10"/>
        <v/>
      </c>
      <c r="P220" s="8" t="e">
        <f>INDEX(Lookup!$H$5:$H$11,MATCH(D220,Lookup!$G$5:$G$11,0))&amp;
K220&amp;L220&amp;M220&amp;N220&amp;
INDEX(Lookup!$I$5:$I$11,MATCH(D220,Lookup!$G$5:$G$11,0))</f>
        <v>#N/A</v>
      </c>
    </row>
    <row r="221" spans="2:16" x14ac:dyDescent="0.45">
      <c r="B221">
        <f t="shared" si="9"/>
        <v>219</v>
      </c>
      <c r="C221" t="e">
        <f t="shared" si="11"/>
        <v>#N/A</v>
      </c>
      <c r="D221" t="e">
        <f>VLOOKUP(C221,Lookup!$F$5:$G$11,2,FALSE)</f>
        <v>#N/A</v>
      </c>
      <c r="E221" t="e">
        <f>IF(D221=Lookup!$G$5,E220+1,E220)</f>
        <v>#N/A</v>
      </c>
      <c r="F221" s="3" t="e">
        <f>INDEX(cards[Entities count],MATCH('card-code'!E221,cards[object_id order],0))</f>
        <v>#N/A</v>
      </c>
      <c r="G221" t="e">
        <f>IF(D220=Lookup!$G$9,1,IF(D220=Lookup!$G$10,G220+1,""))</f>
        <v>#N/A</v>
      </c>
      <c r="H221" t="e">
        <f>IF(F221=1,  IF(D221=Lookup!$G$9,2,1),  IF(G221&lt;F221-1,0,1)  )</f>
        <v>#N/A</v>
      </c>
      <c r="I221" t="e">
        <f>IF(D221&lt;&gt;Lookup!$G$7,0,IF(INDEX(cards[name],MATCH(E221,cards[object_id order],0))&lt;&gt;"",0,1))</f>
        <v>#N/A</v>
      </c>
      <c r="J221" t="e">
        <f>IF(D221&lt;&gt;Lookup!$G$7,0,IF(INDEX(cards[icon],MATCH(E221,cards[object_id order],0))&lt;&gt;"",0,1))</f>
        <v>#N/A</v>
      </c>
      <c r="K221" t="e">
        <f>IF(D221=Lookup!$G$6,INDEX(cards[object_id],MATCH('card-code'!E221,cards[object_id order],0)),"")</f>
        <v>#N/A</v>
      </c>
      <c r="L221" t="e">
        <f>IF(D221=Lookup!$G$7,INDEX(cards[name],MATCH('card-code'!E221,cards[object_id order],0)),"")</f>
        <v>#N/A</v>
      </c>
      <c r="M221" t="e">
        <f>IF($D221=Lookup!$L$9,INDEX(cards[icon],MATCH($E221,cards[object_id order],0)),"")</f>
        <v>#N/A</v>
      </c>
      <c r="N221" t="e">
        <f>IF(OR(D221=Lookup!$G$10,D221=Lookup!$G$11),INDEX(cards[[1]:[25]],MATCH($E221,cards[object_id order],0),'card-code'!G221),"")</f>
        <v>#N/A</v>
      </c>
      <c r="O221" t="str">
        <f t="shared" si="10"/>
        <v/>
      </c>
      <c r="P221" s="8" t="e">
        <f>INDEX(Lookup!$H$5:$H$11,MATCH(D221,Lookup!$G$5:$G$11,0))&amp;
K221&amp;L221&amp;M221&amp;N221&amp;
INDEX(Lookup!$I$5:$I$11,MATCH(D221,Lookup!$G$5:$G$11,0))</f>
        <v>#N/A</v>
      </c>
    </row>
    <row r="222" spans="2:16" x14ac:dyDescent="0.45">
      <c r="B222">
        <f t="shared" si="9"/>
        <v>220</v>
      </c>
      <c r="C222" t="e">
        <f t="shared" si="11"/>
        <v>#N/A</v>
      </c>
      <c r="D222" t="e">
        <f>VLOOKUP(C222,Lookup!$F$5:$G$11,2,FALSE)</f>
        <v>#N/A</v>
      </c>
      <c r="E222" t="e">
        <f>IF(D222=Lookup!$G$5,E221+1,E221)</f>
        <v>#N/A</v>
      </c>
      <c r="F222" s="3" t="e">
        <f>INDEX(cards[Entities count],MATCH('card-code'!E222,cards[object_id order],0))</f>
        <v>#N/A</v>
      </c>
      <c r="G222" t="e">
        <f>IF(D221=Lookup!$G$9,1,IF(D221=Lookup!$G$10,G221+1,""))</f>
        <v>#N/A</v>
      </c>
      <c r="H222" t="e">
        <f>IF(F222=1,  IF(D222=Lookup!$G$9,2,1),  IF(G222&lt;F222-1,0,1)  )</f>
        <v>#N/A</v>
      </c>
      <c r="I222" t="e">
        <f>IF(D222&lt;&gt;Lookup!$G$7,0,IF(INDEX(cards[name],MATCH(E222,cards[object_id order],0))&lt;&gt;"",0,1))</f>
        <v>#N/A</v>
      </c>
      <c r="J222" t="e">
        <f>IF(D222&lt;&gt;Lookup!$G$7,0,IF(INDEX(cards[icon],MATCH(E222,cards[object_id order],0))&lt;&gt;"",0,1))</f>
        <v>#N/A</v>
      </c>
      <c r="K222" t="e">
        <f>IF(D222=Lookup!$G$6,INDEX(cards[object_id],MATCH('card-code'!E222,cards[object_id order],0)),"")</f>
        <v>#N/A</v>
      </c>
      <c r="L222" t="e">
        <f>IF(D222=Lookup!$G$7,INDEX(cards[name],MATCH('card-code'!E222,cards[object_id order],0)),"")</f>
        <v>#N/A</v>
      </c>
      <c r="M222" t="e">
        <f>IF($D222=Lookup!$L$9,INDEX(cards[icon],MATCH($E222,cards[object_id order],0)),"")</f>
        <v>#N/A</v>
      </c>
      <c r="N222" t="e">
        <f>IF(OR(D222=Lookup!$G$10,D222=Lookup!$G$11),INDEX(cards[[1]:[25]],MATCH($E222,cards[object_id order],0),'card-code'!G222),"")</f>
        <v>#N/A</v>
      </c>
      <c r="O222" t="str">
        <f t="shared" si="10"/>
        <v/>
      </c>
      <c r="P222" s="8" t="e">
        <f>INDEX(Lookup!$H$5:$H$11,MATCH(D222,Lookup!$G$5:$G$11,0))&amp;
K222&amp;L222&amp;M222&amp;N222&amp;
INDEX(Lookup!$I$5:$I$11,MATCH(D222,Lookup!$G$5:$G$11,0))</f>
        <v>#N/A</v>
      </c>
    </row>
    <row r="223" spans="2:16" x14ac:dyDescent="0.45">
      <c r="B223">
        <f t="shared" si="9"/>
        <v>221</v>
      </c>
      <c r="C223" t="e">
        <f t="shared" si="11"/>
        <v>#N/A</v>
      </c>
      <c r="D223" t="e">
        <f>VLOOKUP(C223,Lookup!$F$5:$G$11,2,FALSE)</f>
        <v>#N/A</v>
      </c>
      <c r="E223" t="e">
        <f>IF(D223=Lookup!$G$5,E222+1,E222)</f>
        <v>#N/A</v>
      </c>
      <c r="F223" s="3" t="e">
        <f>INDEX(cards[Entities count],MATCH('card-code'!E223,cards[object_id order],0))</f>
        <v>#N/A</v>
      </c>
      <c r="G223" t="e">
        <f>IF(D222=Lookup!$G$9,1,IF(D222=Lookup!$G$10,G222+1,""))</f>
        <v>#N/A</v>
      </c>
      <c r="H223" t="e">
        <f>IF(F223=1,  IF(D223=Lookup!$G$9,2,1),  IF(G223&lt;F223-1,0,1)  )</f>
        <v>#N/A</v>
      </c>
      <c r="I223" t="e">
        <f>IF(D223&lt;&gt;Lookup!$G$7,0,IF(INDEX(cards[name],MATCH(E223,cards[object_id order],0))&lt;&gt;"",0,1))</f>
        <v>#N/A</v>
      </c>
      <c r="J223" t="e">
        <f>IF(D223&lt;&gt;Lookup!$G$7,0,IF(INDEX(cards[icon],MATCH(E223,cards[object_id order],0))&lt;&gt;"",0,1))</f>
        <v>#N/A</v>
      </c>
      <c r="K223" t="e">
        <f>IF(D223=Lookup!$G$6,INDEX(cards[object_id],MATCH('card-code'!E223,cards[object_id order],0)),"")</f>
        <v>#N/A</v>
      </c>
      <c r="L223" t="e">
        <f>IF(D223=Lookup!$G$7,INDEX(cards[name],MATCH('card-code'!E223,cards[object_id order],0)),"")</f>
        <v>#N/A</v>
      </c>
      <c r="M223" t="e">
        <f>IF($D223=Lookup!$L$9,INDEX(cards[icon],MATCH($E223,cards[object_id order],0)),"")</f>
        <v>#N/A</v>
      </c>
      <c r="N223" t="e">
        <f>IF(OR(D223=Lookup!$G$10,D223=Lookup!$G$11),INDEX(cards[[1]:[25]],MATCH($E223,cards[object_id order],0),'card-code'!G223),"")</f>
        <v>#N/A</v>
      </c>
      <c r="O223" t="str">
        <f t="shared" si="10"/>
        <v/>
      </c>
      <c r="P223" s="8" t="e">
        <f>INDEX(Lookup!$H$5:$H$11,MATCH(D223,Lookup!$G$5:$G$11,0))&amp;
K223&amp;L223&amp;M223&amp;N223&amp;
INDEX(Lookup!$I$5:$I$11,MATCH(D223,Lookup!$G$5:$G$11,0))</f>
        <v>#N/A</v>
      </c>
    </row>
    <row r="224" spans="2:16" x14ac:dyDescent="0.45">
      <c r="B224">
        <f t="shared" si="9"/>
        <v>222</v>
      </c>
      <c r="C224" t="e">
        <f t="shared" si="11"/>
        <v>#N/A</v>
      </c>
      <c r="D224" t="e">
        <f>VLOOKUP(C224,Lookup!$F$5:$G$11,2,FALSE)</f>
        <v>#N/A</v>
      </c>
      <c r="E224" t="e">
        <f>IF(D224=Lookup!$G$5,E223+1,E223)</f>
        <v>#N/A</v>
      </c>
      <c r="F224" s="3" t="e">
        <f>INDEX(cards[Entities count],MATCH('card-code'!E224,cards[object_id order],0))</f>
        <v>#N/A</v>
      </c>
      <c r="G224" t="e">
        <f>IF(D223=Lookup!$G$9,1,IF(D223=Lookup!$G$10,G223+1,""))</f>
        <v>#N/A</v>
      </c>
      <c r="H224" t="e">
        <f>IF(F224=1,  IF(D224=Lookup!$G$9,2,1),  IF(G224&lt;F224-1,0,1)  )</f>
        <v>#N/A</v>
      </c>
      <c r="I224" t="e">
        <f>IF(D224&lt;&gt;Lookup!$G$7,0,IF(INDEX(cards[name],MATCH(E224,cards[object_id order],0))&lt;&gt;"",0,1))</f>
        <v>#N/A</v>
      </c>
      <c r="J224" t="e">
        <f>IF(D224&lt;&gt;Lookup!$G$7,0,IF(INDEX(cards[icon],MATCH(E224,cards[object_id order],0))&lt;&gt;"",0,1))</f>
        <v>#N/A</v>
      </c>
      <c r="K224" t="e">
        <f>IF(D224=Lookup!$G$6,INDEX(cards[object_id],MATCH('card-code'!E224,cards[object_id order],0)),"")</f>
        <v>#N/A</v>
      </c>
      <c r="L224" t="e">
        <f>IF(D224=Lookup!$G$7,INDEX(cards[name],MATCH('card-code'!E224,cards[object_id order],0)),"")</f>
        <v>#N/A</v>
      </c>
      <c r="M224" t="e">
        <f>IF($D224=Lookup!$L$9,INDEX(cards[icon],MATCH($E224,cards[object_id order],0)),"")</f>
        <v>#N/A</v>
      </c>
      <c r="N224" t="e">
        <f>IF(OR(D224=Lookup!$G$10,D224=Lookup!$G$11),INDEX(cards[[1]:[25]],MATCH($E224,cards[object_id order],0),'card-code'!G224),"")</f>
        <v>#N/A</v>
      </c>
      <c r="O224" t="str">
        <f t="shared" si="10"/>
        <v/>
      </c>
      <c r="P224" s="8" t="e">
        <f>INDEX(Lookup!$H$5:$H$11,MATCH(D224,Lookup!$G$5:$G$11,0))&amp;
K224&amp;L224&amp;M224&amp;N224&amp;
INDEX(Lookup!$I$5:$I$11,MATCH(D224,Lookup!$G$5:$G$11,0))</f>
        <v>#N/A</v>
      </c>
    </row>
    <row r="225" spans="2:16" x14ac:dyDescent="0.45">
      <c r="B225">
        <f t="shared" si="9"/>
        <v>223</v>
      </c>
      <c r="C225" t="e">
        <f t="shared" si="11"/>
        <v>#N/A</v>
      </c>
      <c r="D225" t="e">
        <f>VLOOKUP(C225,Lookup!$F$5:$G$11,2,FALSE)</f>
        <v>#N/A</v>
      </c>
      <c r="E225" t="e">
        <f>IF(D225=Lookup!$G$5,E224+1,E224)</f>
        <v>#N/A</v>
      </c>
      <c r="F225" s="3" t="e">
        <f>INDEX(cards[Entities count],MATCH('card-code'!E225,cards[object_id order],0))</f>
        <v>#N/A</v>
      </c>
      <c r="G225" t="e">
        <f>IF(D224=Lookup!$G$9,1,IF(D224=Lookup!$G$10,G224+1,""))</f>
        <v>#N/A</v>
      </c>
      <c r="H225" t="e">
        <f>IF(F225=1,  IF(D225=Lookup!$G$9,2,1),  IF(G225&lt;F225-1,0,1)  )</f>
        <v>#N/A</v>
      </c>
      <c r="I225" t="e">
        <f>IF(D225&lt;&gt;Lookup!$G$7,0,IF(INDEX(cards[name],MATCH(E225,cards[object_id order],0))&lt;&gt;"",0,1))</f>
        <v>#N/A</v>
      </c>
      <c r="J225" t="e">
        <f>IF(D225&lt;&gt;Lookup!$G$7,0,IF(INDEX(cards[icon],MATCH(E225,cards[object_id order],0))&lt;&gt;"",0,1))</f>
        <v>#N/A</v>
      </c>
      <c r="K225" t="e">
        <f>IF(D225=Lookup!$G$6,INDEX(cards[object_id],MATCH('card-code'!E225,cards[object_id order],0)),"")</f>
        <v>#N/A</v>
      </c>
      <c r="L225" t="e">
        <f>IF(D225=Lookup!$G$7,INDEX(cards[name],MATCH('card-code'!E225,cards[object_id order],0)),"")</f>
        <v>#N/A</v>
      </c>
      <c r="M225" t="e">
        <f>IF($D225=Lookup!$L$9,INDEX(cards[icon],MATCH($E225,cards[object_id order],0)),"")</f>
        <v>#N/A</v>
      </c>
      <c r="N225" t="e">
        <f>IF(OR(D225=Lookup!$G$10,D225=Lookup!$G$11),INDEX(cards[[1]:[25]],MATCH($E225,cards[object_id order],0),'card-code'!G225),"")</f>
        <v>#N/A</v>
      </c>
      <c r="O225" t="str">
        <f t="shared" si="10"/>
        <v/>
      </c>
      <c r="P225" s="8" t="e">
        <f>INDEX(Lookup!$H$5:$H$11,MATCH(D225,Lookup!$G$5:$G$11,0))&amp;
K225&amp;L225&amp;M225&amp;N225&amp;
INDEX(Lookup!$I$5:$I$11,MATCH(D225,Lookup!$G$5:$G$11,0))</f>
        <v>#N/A</v>
      </c>
    </row>
    <row r="226" spans="2:16" x14ac:dyDescent="0.45">
      <c r="B226">
        <f t="shared" si="9"/>
        <v>224</v>
      </c>
      <c r="C226" t="e">
        <f t="shared" si="11"/>
        <v>#N/A</v>
      </c>
      <c r="D226" t="e">
        <f>VLOOKUP(C226,Lookup!$F$5:$G$11,2,FALSE)</f>
        <v>#N/A</v>
      </c>
      <c r="E226" t="e">
        <f>IF(D226=Lookup!$G$5,E225+1,E225)</f>
        <v>#N/A</v>
      </c>
      <c r="F226" s="3" t="e">
        <f>INDEX(cards[Entities count],MATCH('card-code'!E226,cards[object_id order],0))</f>
        <v>#N/A</v>
      </c>
      <c r="G226" t="e">
        <f>IF(D225=Lookup!$G$9,1,IF(D225=Lookup!$G$10,G225+1,""))</f>
        <v>#N/A</v>
      </c>
      <c r="H226" t="e">
        <f>IF(F226=1,  IF(D226=Lookup!$G$9,2,1),  IF(G226&lt;F226-1,0,1)  )</f>
        <v>#N/A</v>
      </c>
      <c r="I226" t="e">
        <f>IF(D226&lt;&gt;Lookup!$G$7,0,IF(INDEX(cards[name],MATCH(E226,cards[object_id order],0))&lt;&gt;"",0,1))</f>
        <v>#N/A</v>
      </c>
      <c r="J226" t="e">
        <f>IF(D226&lt;&gt;Lookup!$G$7,0,IF(INDEX(cards[icon],MATCH(E226,cards[object_id order],0))&lt;&gt;"",0,1))</f>
        <v>#N/A</v>
      </c>
      <c r="K226" t="e">
        <f>IF(D226=Lookup!$G$6,INDEX(cards[object_id],MATCH('card-code'!E226,cards[object_id order],0)),"")</f>
        <v>#N/A</v>
      </c>
      <c r="L226" t="e">
        <f>IF(D226=Lookup!$G$7,INDEX(cards[name],MATCH('card-code'!E226,cards[object_id order],0)),"")</f>
        <v>#N/A</v>
      </c>
      <c r="M226" t="e">
        <f>IF($D226=Lookup!$L$9,INDEX(cards[icon],MATCH($E226,cards[object_id order],0)),"")</f>
        <v>#N/A</v>
      </c>
      <c r="N226" t="e">
        <f>IF(OR(D226=Lookup!$G$10,D226=Lookup!$G$11),INDEX(cards[[1]:[25]],MATCH($E226,cards[object_id order],0),'card-code'!G226),"")</f>
        <v>#N/A</v>
      </c>
      <c r="O226" t="str">
        <f t="shared" si="10"/>
        <v/>
      </c>
      <c r="P226" s="8" t="e">
        <f>INDEX(Lookup!$H$5:$H$11,MATCH(D226,Lookup!$G$5:$G$11,0))&amp;
K226&amp;L226&amp;M226&amp;N226&amp;
INDEX(Lookup!$I$5:$I$11,MATCH(D226,Lookup!$G$5:$G$11,0))</f>
        <v>#N/A</v>
      </c>
    </row>
    <row r="227" spans="2:16" x14ac:dyDescent="0.45">
      <c r="B227">
        <f t="shared" si="9"/>
        <v>225</v>
      </c>
      <c r="C227" t="e">
        <f t="shared" si="11"/>
        <v>#N/A</v>
      </c>
      <c r="D227" t="e">
        <f>VLOOKUP(C227,Lookup!$F$5:$G$11,2,FALSE)</f>
        <v>#N/A</v>
      </c>
      <c r="E227" t="e">
        <f>IF(D227=Lookup!$G$5,E226+1,E226)</f>
        <v>#N/A</v>
      </c>
      <c r="F227" s="3" t="e">
        <f>INDEX(cards[Entities count],MATCH('card-code'!E227,cards[object_id order],0))</f>
        <v>#N/A</v>
      </c>
      <c r="G227" t="e">
        <f>IF(D226=Lookup!$G$9,1,IF(D226=Lookup!$G$10,G226+1,""))</f>
        <v>#N/A</v>
      </c>
      <c r="H227" t="e">
        <f>IF(F227=1,  IF(D227=Lookup!$G$9,2,1),  IF(G227&lt;F227-1,0,1)  )</f>
        <v>#N/A</v>
      </c>
      <c r="I227" t="e">
        <f>IF(D227&lt;&gt;Lookup!$G$7,0,IF(INDEX(cards[name],MATCH(E227,cards[object_id order],0))&lt;&gt;"",0,1))</f>
        <v>#N/A</v>
      </c>
      <c r="J227" t="e">
        <f>IF(D227&lt;&gt;Lookup!$G$7,0,IF(INDEX(cards[icon],MATCH(E227,cards[object_id order],0))&lt;&gt;"",0,1))</f>
        <v>#N/A</v>
      </c>
      <c r="K227" t="e">
        <f>IF(D227=Lookup!$G$6,INDEX(cards[object_id],MATCH('card-code'!E227,cards[object_id order],0)),"")</f>
        <v>#N/A</v>
      </c>
      <c r="L227" t="e">
        <f>IF(D227=Lookup!$G$7,INDEX(cards[name],MATCH('card-code'!E227,cards[object_id order],0)),"")</f>
        <v>#N/A</v>
      </c>
      <c r="M227" t="e">
        <f>IF($D227=Lookup!$L$9,INDEX(cards[icon],MATCH($E227,cards[object_id order],0)),"")</f>
        <v>#N/A</v>
      </c>
      <c r="N227" t="e">
        <f>IF(OR(D227=Lookup!$G$10,D227=Lookup!$G$11),INDEX(cards[[1]:[25]],MATCH($E227,cards[object_id order],0),'card-code'!G227),"")</f>
        <v>#N/A</v>
      </c>
      <c r="O227" t="str">
        <f t="shared" si="10"/>
        <v/>
      </c>
      <c r="P227" s="8" t="e">
        <f>INDEX(Lookup!$H$5:$H$11,MATCH(D227,Lookup!$G$5:$G$11,0))&amp;
K227&amp;L227&amp;M227&amp;N227&amp;
INDEX(Lookup!$I$5:$I$11,MATCH(D227,Lookup!$G$5:$G$11,0))</f>
        <v>#N/A</v>
      </c>
    </row>
    <row r="228" spans="2:16" x14ac:dyDescent="0.45">
      <c r="B228">
        <f t="shared" si="9"/>
        <v>226</v>
      </c>
      <c r="C228" t="e">
        <f t="shared" si="11"/>
        <v>#N/A</v>
      </c>
      <c r="D228" t="e">
        <f>VLOOKUP(C228,Lookup!$F$5:$G$11,2,FALSE)</f>
        <v>#N/A</v>
      </c>
      <c r="E228" t="e">
        <f>IF(D228=Lookup!$G$5,E227+1,E227)</f>
        <v>#N/A</v>
      </c>
      <c r="F228" s="3" t="e">
        <f>INDEX(cards[Entities count],MATCH('card-code'!E228,cards[object_id order],0))</f>
        <v>#N/A</v>
      </c>
      <c r="G228" t="e">
        <f>IF(D227=Lookup!$G$9,1,IF(D227=Lookup!$G$10,G227+1,""))</f>
        <v>#N/A</v>
      </c>
      <c r="H228" t="e">
        <f>IF(F228=1,  IF(D228=Lookup!$G$9,2,1),  IF(G228&lt;F228-1,0,1)  )</f>
        <v>#N/A</v>
      </c>
      <c r="I228" t="e">
        <f>IF(D228&lt;&gt;Lookup!$G$7,0,IF(INDEX(cards[name],MATCH(E228,cards[object_id order],0))&lt;&gt;"",0,1))</f>
        <v>#N/A</v>
      </c>
      <c r="J228" t="e">
        <f>IF(D228&lt;&gt;Lookup!$G$7,0,IF(INDEX(cards[icon],MATCH(E228,cards[object_id order],0))&lt;&gt;"",0,1))</f>
        <v>#N/A</v>
      </c>
      <c r="K228" t="e">
        <f>IF(D228=Lookup!$G$6,INDEX(cards[object_id],MATCH('card-code'!E228,cards[object_id order],0)),"")</f>
        <v>#N/A</v>
      </c>
      <c r="L228" t="e">
        <f>IF(D228=Lookup!$G$7,INDEX(cards[name],MATCH('card-code'!E228,cards[object_id order],0)),"")</f>
        <v>#N/A</v>
      </c>
      <c r="M228" t="e">
        <f>IF($D228=Lookup!$L$9,INDEX(cards[icon],MATCH($E228,cards[object_id order],0)),"")</f>
        <v>#N/A</v>
      </c>
      <c r="N228" t="e">
        <f>IF(OR(D228=Lookup!$G$10,D228=Lookup!$G$11),INDEX(cards[[1]:[25]],MATCH($E228,cards[object_id order],0),'card-code'!G228),"")</f>
        <v>#N/A</v>
      </c>
      <c r="O228" t="str">
        <f t="shared" si="10"/>
        <v/>
      </c>
      <c r="P228" s="8" t="e">
        <f>INDEX(Lookup!$H$5:$H$11,MATCH(D228,Lookup!$G$5:$G$11,0))&amp;
K228&amp;L228&amp;M228&amp;N228&amp;
INDEX(Lookup!$I$5:$I$11,MATCH(D228,Lookup!$G$5:$G$11,0))</f>
        <v>#N/A</v>
      </c>
    </row>
    <row r="229" spans="2:16" x14ac:dyDescent="0.45">
      <c r="B229">
        <f t="shared" si="9"/>
        <v>227</v>
      </c>
      <c r="C229" t="e">
        <f t="shared" si="11"/>
        <v>#N/A</v>
      </c>
      <c r="D229" t="e">
        <f>VLOOKUP(C229,Lookup!$F$5:$G$11,2,FALSE)</f>
        <v>#N/A</v>
      </c>
      <c r="E229" t="e">
        <f>IF(D229=Lookup!$G$5,E228+1,E228)</f>
        <v>#N/A</v>
      </c>
      <c r="F229" s="3" t="e">
        <f>INDEX(cards[Entities count],MATCH('card-code'!E229,cards[object_id order],0))</f>
        <v>#N/A</v>
      </c>
      <c r="G229" t="e">
        <f>IF(D228=Lookup!$G$9,1,IF(D228=Lookup!$G$10,G228+1,""))</f>
        <v>#N/A</v>
      </c>
      <c r="H229" t="e">
        <f>IF(F229=1,  IF(D229=Lookup!$G$9,2,1),  IF(G229&lt;F229-1,0,1)  )</f>
        <v>#N/A</v>
      </c>
      <c r="I229" t="e">
        <f>IF(D229&lt;&gt;Lookup!$G$7,0,IF(INDEX(cards[name],MATCH(E229,cards[object_id order],0))&lt;&gt;"",0,1))</f>
        <v>#N/A</v>
      </c>
      <c r="J229" t="e">
        <f>IF(D229&lt;&gt;Lookup!$G$7,0,IF(INDEX(cards[icon],MATCH(E229,cards[object_id order],0))&lt;&gt;"",0,1))</f>
        <v>#N/A</v>
      </c>
      <c r="K229" t="e">
        <f>IF(D229=Lookup!$G$6,INDEX(cards[object_id],MATCH('card-code'!E229,cards[object_id order],0)),"")</f>
        <v>#N/A</v>
      </c>
      <c r="L229" t="e">
        <f>IF(D229=Lookup!$G$7,INDEX(cards[name],MATCH('card-code'!E229,cards[object_id order],0)),"")</f>
        <v>#N/A</v>
      </c>
      <c r="M229" t="e">
        <f>IF($D229=Lookup!$L$9,INDEX(cards[icon],MATCH($E229,cards[object_id order],0)),"")</f>
        <v>#N/A</v>
      </c>
      <c r="N229" t="e">
        <f>IF(OR(D229=Lookup!$G$10,D229=Lookup!$G$11),INDEX(cards[[1]:[25]],MATCH($E229,cards[object_id order],0),'card-code'!G229),"")</f>
        <v>#N/A</v>
      </c>
      <c r="O229" t="str">
        <f t="shared" si="10"/>
        <v/>
      </c>
      <c r="P229" s="8" t="e">
        <f>INDEX(Lookup!$H$5:$H$11,MATCH(D229,Lookup!$G$5:$G$11,0))&amp;
K229&amp;L229&amp;M229&amp;N229&amp;
INDEX(Lookup!$I$5:$I$11,MATCH(D229,Lookup!$G$5:$G$11,0))</f>
        <v>#N/A</v>
      </c>
    </row>
    <row r="230" spans="2:16" x14ac:dyDescent="0.45">
      <c r="B230">
        <f t="shared" si="9"/>
        <v>228</v>
      </c>
      <c r="C230" t="e">
        <f t="shared" si="11"/>
        <v>#N/A</v>
      </c>
      <c r="D230" t="e">
        <f>VLOOKUP(C230,Lookup!$F$5:$G$11,2,FALSE)</f>
        <v>#N/A</v>
      </c>
      <c r="E230" t="e">
        <f>IF(D230=Lookup!$G$5,E229+1,E229)</f>
        <v>#N/A</v>
      </c>
      <c r="F230" s="3" t="e">
        <f>INDEX(cards[Entities count],MATCH('card-code'!E230,cards[object_id order],0))</f>
        <v>#N/A</v>
      </c>
      <c r="G230" t="e">
        <f>IF(D229=Lookup!$G$9,1,IF(D229=Lookup!$G$10,G229+1,""))</f>
        <v>#N/A</v>
      </c>
      <c r="H230" t="e">
        <f>IF(F230=1,  IF(D230=Lookup!$G$9,2,1),  IF(G230&lt;F230-1,0,1)  )</f>
        <v>#N/A</v>
      </c>
      <c r="I230" t="e">
        <f>IF(D230&lt;&gt;Lookup!$G$7,0,IF(INDEX(cards[name],MATCH(E230,cards[object_id order],0))&lt;&gt;"",0,1))</f>
        <v>#N/A</v>
      </c>
      <c r="J230" t="e">
        <f>IF(D230&lt;&gt;Lookup!$G$7,0,IF(INDEX(cards[icon],MATCH(E230,cards[object_id order],0))&lt;&gt;"",0,1))</f>
        <v>#N/A</v>
      </c>
      <c r="K230" t="e">
        <f>IF(D230=Lookup!$G$6,INDEX(cards[object_id],MATCH('card-code'!E230,cards[object_id order],0)),"")</f>
        <v>#N/A</v>
      </c>
      <c r="L230" t="e">
        <f>IF(D230=Lookup!$G$7,INDEX(cards[name],MATCH('card-code'!E230,cards[object_id order],0)),"")</f>
        <v>#N/A</v>
      </c>
      <c r="M230" t="e">
        <f>IF($D230=Lookup!$L$9,INDEX(cards[icon],MATCH($E230,cards[object_id order],0)),"")</f>
        <v>#N/A</v>
      </c>
      <c r="N230" t="e">
        <f>IF(OR(D230=Lookup!$G$10,D230=Lookup!$G$11),INDEX(cards[[1]:[25]],MATCH($E230,cards[object_id order],0),'card-code'!G230),"")</f>
        <v>#N/A</v>
      </c>
      <c r="O230" t="str">
        <f t="shared" si="10"/>
        <v/>
      </c>
      <c r="P230" s="8" t="e">
        <f>INDEX(Lookup!$H$5:$H$11,MATCH(D230,Lookup!$G$5:$G$11,0))&amp;
K230&amp;L230&amp;M230&amp;N230&amp;
INDEX(Lookup!$I$5:$I$11,MATCH(D230,Lookup!$G$5:$G$11,0))</f>
        <v>#N/A</v>
      </c>
    </row>
    <row r="231" spans="2:16" x14ac:dyDescent="0.45">
      <c r="B231">
        <f t="shared" si="9"/>
        <v>229</v>
      </c>
      <c r="C231" t="e">
        <f t="shared" si="11"/>
        <v>#N/A</v>
      </c>
      <c r="D231" t="e">
        <f>VLOOKUP(C231,Lookup!$F$5:$G$11,2,FALSE)</f>
        <v>#N/A</v>
      </c>
      <c r="E231" t="e">
        <f>IF(D231=Lookup!$G$5,E230+1,E230)</f>
        <v>#N/A</v>
      </c>
      <c r="F231" s="3" t="e">
        <f>INDEX(cards[Entities count],MATCH('card-code'!E231,cards[object_id order],0))</f>
        <v>#N/A</v>
      </c>
      <c r="G231" t="e">
        <f>IF(D230=Lookup!$G$9,1,IF(D230=Lookup!$G$10,G230+1,""))</f>
        <v>#N/A</v>
      </c>
      <c r="H231" t="e">
        <f>IF(F231=1,  IF(D231=Lookup!$G$9,2,1),  IF(G231&lt;F231-1,0,1)  )</f>
        <v>#N/A</v>
      </c>
      <c r="I231" t="e">
        <f>IF(D231&lt;&gt;Lookup!$G$7,0,IF(INDEX(cards[name],MATCH(E231,cards[object_id order],0))&lt;&gt;"",0,1))</f>
        <v>#N/A</v>
      </c>
      <c r="J231" t="e">
        <f>IF(D231&lt;&gt;Lookup!$G$7,0,IF(INDEX(cards[icon],MATCH(E231,cards[object_id order],0))&lt;&gt;"",0,1))</f>
        <v>#N/A</v>
      </c>
      <c r="K231" t="e">
        <f>IF(D231=Lookup!$G$6,INDEX(cards[object_id],MATCH('card-code'!E231,cards[object_id order],0)),"")</f>
        <v>#N/A</v>
      </c>
      <c r="L231" t="e">
        <f>IF(D231=Lookup!$G$7,INDEX(cards[name],MATCH('card-code'!E231,cards[object_id order],0)),"")</f>
        <v>#N/A</v>
      </c>
      <c r="M231" t="e">
        <f>IF($D231=Lookup!$L$9,INDEX(cards[icon],MATCH($E231,cards[object_id order],0)),"")</f>
        <v>#N/A</v>
      </c>
      <c r="N231" t="e">
        <f>IF(OR(D231=Lookup!$G$10,D231=Lookup!$G$11),INDEX(cards[[1]:[25]],MATCH($E231,cards[object_id order],0),'card-code'!G231),"")</f>
        <v>#N/A</v>
      </c>
      <c r="O231" t="str">
        <f t="shared" si="10"/>
        <v/>
      </c>
      <c r="P231" s="8" t="e">
        <f>INDEX(Lookup!$H$5:$H$11,MATCH(D231,Lookup!$G$5:$G$11,0))&amp;
K231&amp;L231&amp;M231&amp;N231&amp;
INDEX(Lookup!$I$5:$I$11,MATCH(D231,Lookup!$G$5:$G$11,0))</f>
        <v>#N/A</v>
      </c>
    </row>
    <row r="232" spans="2:16" x14ac:dyDescent="0.45">
      <c r="B232">
        <f t="shared" si="9"/>
        <v>230</v>
      </c>
      <c r="C232" t="e">
        <f t="shared" si="11"/>
        <v>#N/A</v>
      </c>
      <c r="D232" t="e">
        <f>VLOOKUP(C232,Lookup!$F$5:$G$11,2,FALSE)</f>
        <v>#N/A</v>
      </c>
      <c r="E232" t="e">
        <f>IF(D232=Lookup!$G$5,E231+1,E231)</f>
        <v>#N/A</v>
      </c>
      <c r="F232" s="3" t="e">
        <f>INDEX(cards[Entities count],MATCH('card-code'!E232,cards[object_id order],0))</f>
        <v>#N/A</v>
      </c>
      <c r="G232" t="e">
        <f>IF(D231=Lookup!$G$9,1,IF(D231=Lookup!$G$10,G231+1,""))</f>
        <v>#N/A</v>
      </c>
      <c r="H232" t="e">
        <f>IF(F232=1,  IF(D232=Lookup!$G$9,2,1),  IF(G232&lt;F232-1,0,1)  )</f>
        <v>#N/A</v>
      </c>
      <c r="I232" t="e">
        <f>IF(D232&lt;&gt;Lookup!$G$7,0,IF(INDEX(cards[name],MATCH(E232,cards[object_id order],0))&lt;&gt;"",0,1))</f>
        <v>#N/A</v>
      </c>
      <c r="J232" t="e">
        <f>IF(D232&lt;&gt;Lookup!$G$7,0,IF(INDEX(cards[icon],MATCH(E232,cards[object_id order],0))&lt;&gt;"",0,1))</f>
        <v>#N/A</v>
      </c>
      <c r="K232" t="e">
        <f>IF(D232=Lookup!$G$6,INDEX(cards[object_id],MATCH('card-code'!E232,cards[object_id order],0)),"")</f>
        <v>#N/A</v>
      </c>
      <c r="L232" t="e">
        <f>IF(D232=Lookup!$G$7,INDEX(cards[name],MATCH('card-code'!E232,cards[object_id order],0)),"")</f>
        <v>#N/A</v>
      </c>
      <c r="M232" t="e">
        <f>IF($D232=Lookup!$L$9,INDEX(cards[icon],MATCH($E232,cards[object_id order],0)),"")</f>
        <v>#N/A</v>
      </c>
      <c r="N232" t="e">
        <f>IF(OR(D232=Lookup!$G$10,D232=Lookup!$G$11),INDEX(cards[[1]:[25]],MATCH($E232,cards[object_id order],0),'card-code'!G232),"")</f>
        <v>#N/A</v>
      </c>
      <c r="O232" t="str">
        <f t="shared" si="10"/>
        <v/>
      </c>
      <c r="P232" s="8" t="e">
        <f>INDEX(Lookup!$H$5:$H$11,MATCH(D232,Lookup!$G$5:$G$11,0))&amp;
K232&amp;L232&amp;M232&amp;N232&amp;
INDEX(Lookup!$I$5:$I$11,MATCH(D232,Lookup!$G$5:$G$11,0))</f>
        <v>#N/A</v>
      </c>
    </row>
    <row r="233" spans="2:16" x14ac:dyDescent="0.45">
      <c r="B233">
        <f t="shared" si="9"/>
        <v>231</v>
      </c>
      <c r="C233" t="e">
        <f t="shared" si="11"/>
        <v>#N/A</v>
      </c>
      <c r="D233" t="e">
        <f>VLOOKUP(C233,Lookup!$F$5:$G$11,2,FALSE)</f>
        <v>#N/A</v>
      </c>
      <c r="E233" t="e">
        <f>IF(D233=Lookup!$G$5,E232+1,E232)</f>
        <v>#N/A</v>
      </c>
      <c r="F233" s="3" t="e">
        <f>INDEX(cards[Entities count],MATCH('card-code'!E233,cards[object_id order],0))</f>
        <v>#N/A</v>
      </c>
      <c r="G233" t="e">
        <f>IF(D232=Lookup!$G$9,1,IF(D232=Lookup!$G$10,G232+1,""))</f>
        <v>#N/A</v>
      </c>
      <c r="H233" t="e">
        <f>IF(F233=1,  IF(D233=Lookup!$G$9,2,1),  IF(G233&lt;F233-1,0,1)  )</f>
        <v>#N/A</v>
      </c>
      <c r="I233" t="e">
        <f>IF(D233&lt;&gt;Lookup!$G$7,0,IF(INDEX(cards[name],MATCH(E233,cards[object_id order],0))&lt;&gt;"",0,1))</f>
        <v>#N/A</v>
      </c>
      <c r="J233" t="e">
        <f>IF(D233&lt;&gt;Lookup!$G$7,0,IF(INDEX(cards[icon],MATCH(E233,cards[object_id order],0))&lt;&gt;"",0,1))</f>
        <v>#N/A</v>
      </c>
      <c r="K233" t="e">
        <f>IF(D233=Lookup!$G$6,INDEX(cards[object_id],MATCH('card-code'!E233,cards[object_id order],0)),"")</f>
        <v>#N/A</v>
      </c>
      <c r="L233" t="e">
        <f>IF(D233=Lookup!$G$7,INDEX(cards[name],MATCH('card-code'!E233,cards[object_id order],0)),"")</f>
        <v>#N/A</v>
      </c>
      <c r="M233" t="e">
        <f>IF($D233=Lookup!$L$9,INDEX(cards[icon],MATCH($E233,cards[object_id order],0)),"")</f>
        <v>#N/A</v>
      </c>
      <c r="N233" t="e">
        <f>IF(OR(D233=Lookup!$G$10,D233=Lookup!$G$11),INDEX(cards[[1]:[25]],MATCH($E233,cards[object_id order],0),'card-code'!G233),"")</f>
        <v>#N/A</v>
      </c>
      <c r="O233" t="str">
        <f t="shared" si="10"/>
        <v/>
      </c>
      <c r="P233" s="8" t="e">
        <f>INDEX(Lookup!$H$5:$H$11,MATCH(D233,Lookup!$G$5:$G$11,0))&amp;
K233&amp;L233&amp;M233&amp;N233&amp;
INDEX(Lookup!$I$5:$I$11,MATCH(D233,Lookup!$G$5:$G$11,0))</f>
        <v>#N/A</v>
      </c>
    </row>
    <row r="234" spans="2:16" x14ac:dyDescent="0.45">
      <c r="B234">
        <f t="shared" si="9"/>
        <v>232</v>
      </c>
      <c r="C234" t="e">
        <f t="shared" si="11"/>
        <v>#N/A</v>
      </c>
      <c r="D234" t="e">
        <f>VLOOKUP(C234,Lookup!$F$5:$G$11,2,FALSE)</f>
        <v>#N/A</v>
      </c>
      <c r="E234" t="e">
        <f>IF(D234=Lookup!$G$5,E233+1,E233)</f>
        <v>#N/A</v>
      </c>
      <c r="F234" s="3" t="e">
        <f>INDEX(cards[Entities count],MATCH('card-code'!E234,cards[object_id order],0))</f>
        <v>#N/A</v>
      </c>
      <c r="G234" t="e">
        <f>IF(D233=Lookup!$G$9,1,IF(D233=Lookup!$G$10,G233+1,""))</f>
        <v>#N/A</v>
      </c>
      <c r="H234" t="e">
        <f>IF(F234=1,  IF(D234=Lookup!$G$9,2,1),  IF(G234&lt;F234-1,0,1)  )</f>
        <v>#N/A</v>
      </c>
      <c r="I234" t="e">
        <f>IF(D234&lt;&gt;Lookup!$G$7,0,IF(INDEX(cards[name],MATCH(E234,cards[object_id order],0))&lt;&gt;"",0,1))</f>
        <v>#N/A</v>
      </c>
      <c r="J234" t="e">
        <f>IF(D234&lt;&gt;Lookup!$G$7,0,IF(INDEX(cards[icon],MATCH(E234,cards[object_id order],0))&lt;&gt;"",0,1))</f>
        <v>#N/A</v>
      </c>
      <c r="K234" t="e">
        <f>IF(D234=Lookup!$G$6,INDEX(cards[object_id],MATCH('card-code'!E234,cards[object_id order],0)),"")</f>
        <v>#N/A</v>
      </c>
      <c r="L234" t="e">
        <f>IF(D234=Lookup!$G$7,INDEX(cards[name],MATCH('card-code'!E234,cards[object_id order],0)),"")</f>
        <v>#N/A</v>
      </c>
      <c r="M234" t="e">
        <f>IF($D234=Lookup!$L$9,INDEX(cards[icon],MATCH($E234,cards[object_id order],0)),"")</f>
        <v>#N/A</v>
      </c>
      <c r="N234" t="e">
        <f>IF(OR(D234=Lookup!$G$10,D234=Lookup!$G$11),INDEX(cards[[1]:[25]],MATCH($E234,cards[object_id order],0),'card-code'!G234),"")</f>
        <v>#N/A</v>
      </c>
      <c r="O234" t="str">
        <f t="shared" si="10"/>
        <v/>
      </c>
      <c r="P234" s="8" t="e">
        <f>INDEX(Lookup!$H$5:$H$11,MATCH(D234,Lookup!$G$5:$G$11,0))&amp;
K234&amp;L234&amp;M234&amp;N234&amp;
INDEX(Lookup!$I$5:$I$11,MATCH(D234,Lookup!$G$5:$G$11,0))</f>
        <v>#N/A</v>
      </c>
    </row>
    <row r="235" spans="2:16" x14ac:dyDescent="0.45">
      <c r="B235">
        <f t="shared" si="9"/>
        <v>233</v>
      </c>
      <c r="C235" t="e">
        <f t="shared" si="11"/>
        <v>#N/A</v>
      </c>
      <c r="D235" t="e">
        <f>VLOOKUP(C235,Lookup!$F$5:$G$11,2,FALSE)</f>
        <v>#N/A</v>
      </c>
      <c r="E235" t="e">
        <f>IF(D235=Lookup!$G$5,E234+1,E234)</f>
        <v>#N/A</v>
      </c>
      <c r="F235" s="3" t="e">
        <f>INDEX(cards[Entities count],MATCH('card-code'!E235,cards[object_id order],0))</f>
        <v>#N/A</v>
      </c>
      <c r="G235" t="e">
        <f>IF(D234=Lookup!$G$9,1,IF(D234=Lookup!$G$10,G234+1,""))</f>
        <v>#N/A</v>
      </c>
      <c r="H235" t="e">
        <f>IF(F235=1,  IF(D235=Lookup!$G$9,2,1),  IF(G235&lt;F235-1,0,1)  )</f>
        <v>#N/A</v>
      </c>
      <c r="I235" t="e">
        <f>IF(D235&lt;&gt;Lookup!$G$7,0,IF(INDEX(cards[name],MATCH(E235,cards[object_id order],0))&lt;&gt;"",0,1))</f>
        <v>#N/A</v>
      </c>
      <c r="J235" t="e">
        <f>IF(D235&lt;&gt;Lookup!$G$7,0,IF(INDEX(cards[icon],MATCH(E235,cards[object_id order],0))&lt;&gt;"",0,1))</f>
        <v>#N/A</v>
      </c>
      <c r="K235" t="e">
        <f>IF(D235=Lookup!$G$6,INDEX(cards[object_id],MATCH('card-code'!E235,cards[object_id order],0)),"")</f>
        <v>#N/A</v>
      </c>
      <c r="L235" t="e">
        <f>IF(D235=Lookup!$G$7,INDEX(cards[name],MATCH('card-code'!E235,cards[object_id order],0)),"")</f>
        <v>#N/A</v>
      </c>
      <c r="M235" t="e">
        <f>IF($D235=Lookup!$L$9,INDEX(cards[icon],MATCH($E235,cards[object_id order],0)),"")</f>
        <v>#N/A</v>
      </c>
      <c r="N235" t="e">
        <f>IF(OR(D235=Lookup!$G$10,D235=Lookup!$G$11),INDEX(cards[[1]:[25]],MATCH($E235,cards[object_id order],0),'card-code'!G235),"")</f>
        <v>#N/A</v>
      </c>
      <c r="O235" t="str">
        <f t="shared" si="10"/>
        <v/>
      </c>
      <c r="P235" s="8" t="e">
        <f>INDEX(Lookup!$H$5:$H$11,MATCH(D235,Lookup!$G$5:$G$11,0))&amp;
K235&amp;L235&amp;M235&amp;N235&amp;
INDEX(Lookup!$I$5:$I$11,MATCH(D235,Lookup!$G$5:$G$11,0))</f>
        <v>#N/A</v>
      </c>
    </row>
    <row r="236" spans="2:16" x14ac:dyDescent="0.45">
      <c r="B236">
        <f t="shared" si="9"/>
        <v>234</v>
      </c>
      <c r="C236" t="e">
        <f t="shared" si="11"/>
        <v>#N/A</v>
      </c>
      <c r="D236" t="e">
        <f>VLOOKUP(C236,Lookup!$F$5:$G$11,2,FALSE)</f>
        <v>#N/A</v>
      </c>
      <c r="E236" t="e">
        <f>IF(D236=Lookup!$G$5,E235+1,E235)</f>
        <v>#N/A</v>
      </c>
      <c r="F236" s="3" t="e">
        <f>INDEX(cards[Entities count],MATCH('card-code'!E236,cards[object_id order],0))</f>
        <v>#N/A</v>
      </c>
      <c r="G236" t="e">
        <f>IF(D235=Lookup!$G$9,1,IF(D235=Lookup!$G$10,G235+1,""))</f>
        <v>#N/A</v>
      </c>
      <c r="H236" t="e">
        <f>IF(F236=1,  IF(D236=Lookup!$G$9,2,1),  IF(G236&lt;F236-1,0,1)  )</f>
        <v>#N/A</v>
      </c>
      <c r="I236" t="e">
        <f>IF(D236&lt;&gt;Lookup!$G$7,0,IF(INDEX(cards[name],MATCH(E236,cards[object_id order],0))&lt;&gt;"",0,1))</f>
        <v>#N/A</v>
      </c>
      <c r="J236" t="e">
        <f>IF(D236&lt;&gt;Lookup!$G$7,0,IF(INDEX(cards[icon],MATCH(E236,cards[object_id order],0))&lt;&gt;"",0,1))</f>
        <v>#N/A</v>
      </c>
      <c r="K236" t="e">
        <f>IF(D236=Lookup!$G$6,INDEX(cards[object_id],MATCH('card-code'!E236,cards[object_id order],0)),"")</f>
        <v>#N/A</v>
      </c>
      <c r="L236" t="e">
        <f>IF(D236=Lookup!$G$7,INDEX(cards[name],MATCH('card-code'!E236,cards[object_id order],0)),"")</f>
        <v>#N/A</v>
      </c>
      <c r="M236" t="e">
        <f>IF($D236=Lookup!$L$9,INDEX(cards[icon],MATCH($E236,cards[object_id order],0)),"")</f>
        <v>#N/A</v>
      </c>
      <c r="N236" t="e">
        <f>IF(OR(D236=Lookup!$G$10,D236=Lookup!$G$11),INDEX(cards[[1]:[25]],MATCH($E236,cards[object_id order],0),'card-code'!G236),"")</f>
        <v>#N/A</v>
      </c>
      <c r="O236" t="str">
        <f t="shared" si="10"/>
        <v/>
      </c>
      <c r="P236" s="8" t="e">
        <f>INDEX(Lookup!$H$5:$H$11,MATCH(D236,Lookup!$G$5:$G$11,0))&amp;
K236&amp;L236&amp;M236&amp;N236&amp;
INDEX(Lookup!$I$5:$I$11,MATCH(D236,Lookup!$G$5:$G$11,0))</f>
        <v>#N/A</v>
      </c>
    </row>
    <row r="237" spans="2:16" x14ac:dyDescent="0.45">
      <c r="B237">
        <f t="shared" si="9"/>
        <v>235</v>
      </c>
      <c r="C237" t="e">
        <f t="shared" si="11"/>
        <v>#N/A</v>
      </c>
      <c r="D237" t="e">
        <f>VLOOKUP(C237,Lookup!$F$5:$G$11,2,FALSE)</f>
        <v>#N/A</v>
      </c>
      <c r="E237" t="e">
        <f>IF(D237=Lookup!$G$5,E236+1,E236)</f>
        <v>#N/A</v>
      </c>
      <c r="F237" s="3" t="e">
        <f>INDEX(cards[Entities count],MATCH('card-code'!E237,cards[object_id order],0))</f>
        <v>#N/A</v>
      </c>
      <c r="G237" t="e">
        <f>IF(D236=Lookup!$G$9,1,IF(D236=Lookup!$G$10,G236+1,""))</f>
        <v>#N/A</v>
      </c>
      <c r="H237" t="e">
        <f>IF(F237=1,  IF(D237=Lookup!$G$9,2,1),  IF(G237&lt;F237-1,0,1)  )</f>
        <v>#N/A</v>
      </c>
      <c r="I237" t="e">
        <f>IF(D237&lt;&gt;Lookup!$G$7,0,IF(INDEX(cards[name],MATCH(E237,cards[object_id order],0))&lt;&gt;"",0,1))</f>
        <v>#N/A</v>
      </c>
      <c r="J237" t="e">
        <f>IF(D237&lt;&gt;Lookup!$G$7,0,IF(INDEX(cards[icon],MATCH(E237,cards[object_id order],0))&lt;&gt;"",0,1))</f>
        <v>#N/A</v>
      </c>
      <c r="K237" t="e">
        <f>IF(D237=Lookup!$G$6,INDEX(cards[object_id],MATCH('card-code'!E237,cards[object_id order],0)),"")</f>
        <v>#N/A</v>
      </c>
      <c r="L237" t="e">
        <f>IF(D237=Lookup!$G$7,INDEX(cards[name],MATCH('card-code'!E237,cards[object_id order],0)),"")</f>
        <v>#N/A</v>
      </c>
      <c r="M237" t="e">
        <f>IF($D237=Lookup!$L$9,INDEX(cards[icon],MATCH($E237,cards[object_id order],0)),"")</f>
        <v>#N/A</v>
      </c>
      <c r="N237" t="e">
        <f>IF(OR(D237=Lookup!$G$10,D237=Lookup!$G$11),INDEX(cards[[1]:[25]],MATCH($E237,cards[object_id order],0),'card-code'!G237),"")</f>
        <v>#N/A</v>
      </c>
      <c r="O237" t="str">
        <f t="shared" si="10"/>
        <v/>
      </c>
      <c r="P237" s="8" t="e">
        <f>INDEX(Lookup!$H$5:$H$11,MATCH(D237,Lookup!$G$5:$G$11,0))&amp;
K237&amp;L237&amp;M237&amp;N237&amp;
INDEX(Lookup!$I$5:$I$11,MATCH(D237,Lookup!$G$5:$G$11,0))</f>
        <v>#N/A</v>
      </c>
    </row>
    <row r="238" spans="2:16" x14ac:dyDescent="0.45">
      <c r="B238">
        <f t="shared" si="9"/>
        <v>236</v>
      </c>
      <c r="C238" t="e">
        <f t="shared" si="11"/>
        <v>#N/A</v>
      </c>
      <c r="D238" t="e">
        <f>VLOOKUP(C238,Lookup!$F$5:$G$11,2,FALSE)</f>
        <v>#N/A</v>
      </c>
      <c r="E238" t="e">
        <f>IF(D238=Lookup!$G$5,E237+1,E237)</f>
        <v>#N/A</v>
      </c>
      <c r="F238" s="3" t="e">
        <f>INDEX(cards[Entities count],MATCH('card-code'!E238,cards[object_id order],0))</f>
        <v>#N/A</v>
      </c>
      <c r="G238" t="e">
        <f>IF(D237=Lookup!$G$9,1,IF(D237=Lookup!$G$10,G237+1,""))</f>
        <v>#N/A</v>
      </c>
      <c r="H238" t="e">
        <f>IF(F238=1,  IF(D238=Lookup!$G$9,2,1),  IF(G238&lt;F238-1,0,1)  )</f>
        <v>#N/A</v>
      </c>
      <c r="I238" t="e">
        <f>IF(D238&lt;&gt;Lookup!$G$7,0,IF(INDEX(cards[name],MATCH(E238,cards[object_id order],0))&lt;&gt;"",0,1))</f>
        <v>#N/A</v>
      </c>
      <c r="J238" t="e">
        <f>IF(D238&lt;&gt;Lookup!$G$7,0,IF(INDEX(cards[icon],MATCH(E238,cards[object_id order],0))&lt;&gt;"",0,1))</f>
        <v>#N/A</v>
      </c>
      <c r="K238" t="e">
        <f>IF(D238=Lookup!$G$6,INDEX(cards[object_id],MATCH('card-code'!E238,cards[object_id order],0)),"")</f>
        <v>#N/A</v>
      </c>
      <c r="L238" t="e">
        <f>IF(D238=Lookup!$G$7,INDEX(cards[name],MATCH('card-code'!E238,cards[object_id order],0)),"")</f>
        <v>#N/A</v>
      </c>
      <c r="M238" t="e">
        <f>IF($D238=Lookup!$L$9,INDEX(cards[icon],MATCH($E238,cards[object_id order],0)),"")</f>
        <v>#N/A</v>
      </c>
      <c r="N238" t="e">
        <f>IF(OR(D238=Lookup!$G$10,D238=Lookup!$G$11),INDEX(cards[[1]:[25]],MATCH($E238,cards[object_id order],0),'card-code'!G238),"")</f>
        <v>#N/A</v>
      </c>
      <c r="O238" t="str">
        <f t="shared" si="10"/>
        <v/>
      </c>
      <c r="P238" s="8" t="e">
        <f>INDEX(Lookup!$H$5:$H$11,MATCH(D238,Lookup!$G$5:$G$11,0))&amp;
K238&amp;L238&amp;M238&amp;N238&amp;
INDEX(Lookup!$I$5:$I$11,MATCH(D238,Lookup!$G$5:$G$11,0))</f>
        <v>#N/A</v>
      </c>
    </row>
    <row r="239" spans="2:16" x14ac:dyDescent="0.45">
      <c r="B239">
        <f t="shared" si="9"/>
        <v>237</v>
      </c>
      <c r="C239" t="e">
        <f t="shared" si="11"/>
        <v>#N/A</v>
      </c>
      <c r="D239" t="e">
        <f>VLOOKUP(C239,Lookup!$F$5:$G$11,2,FALSE)</f>
        <v>#N/A</v>
      </c>
      <c r="E239" t="e">
        <f>IF(D239=Lookup!$G$5,E238+1,E238)</f>
        <v>#N/A</v>
      </c>
      <c r="F239" s="3" t="e">
        <f>INDEX(cards[Entities count],MATCH('card-code'!E239,cards[object_id order],0))</f>
        <v>#N/A</v>
      </c>
      <c r="G239" t="e">
        <f>IF(D238=Lookup!$G$9,1,IF(D238=Lookup!$G$10,G238+1,""))</f>
        <v>#N/A</v>
      </c>
      <c r="H239" t="e">
        <f>IF(F239=1,  IF(D239=Lookup!$G$9,2,1),  IF(G239&lt;F239-1,0,1)  )</f>
        <v>#N/A</v>
      </c>
      <c r="I239" t="e">
        <f>IF(D239&lt;&gt;Lookup!$G$7,0,IF(INDEX(cards[name],MATCH(E239,cards[object_id order],0))&lt;&gt;"",0,1))</f>
        <v>#N/A</v>
      </c>
      <c r="J239" t="e">
        <f>IF(D239&lt;&gt;Lookup!$G$7,0,IF(INDEX(cards[icon],MATCH(E239,cards[object_id order],0))&lt;&gt;"",0,1))</f>
        <v>#N/A</v>
      </c>
      <c r="K239" t="e">
        <f>IF(D239=Lookup!$G$6,INDEX(cards[object_id],MATCH('card-code'!E239,cards[object_id order],0)),"")</f>
        <v>#N/A</v>
      </c>
      <c r="L239" t="e">
        <f>IF(D239=Lookup!$G$7,INDEX(cards[name],MATCH('card-code'!E239,cards[object_id order],0)),"")</f>
        <v>#N/A</v>
      </c>
      <c r="M239" t="e">
        <f>IF($D239=Lookup!$L$9,INDEX(cards[icon],MATCH($E239,cards[object_id order],0)),"")</f>
        <v>#N/A</v>
      </c>
      <c r="N239" t="e">
        <f>IF(OR(D239=Lookup!$G$10,D239=Lookup!$G$11),INDEX(cards[[1]:[25]],MATCH($E239,cards[object_id order],0),'card-code'!G239),"")</f>
        <v>#N/A</v>
      </c>
      <c r="O239" t="str">
        <f t="shared" si="10"/>
        <v/>
      </c>
      <c r="P239" s="8" t="e">
        <f>INDEX(Lookup!$H$5:$H$11,MATCH(D239,Lookup!$G$5:$G$11,0))&amp;
K239&amp;L239&amp;M239&amp;N239&amp;
INDEX(Lookup!$I$5:$I$11,MATCH(D239,Lookup!$G$5:$G$11,0))</f>
        <v>#N/A</v>
      </c>
    </row>
    <row r="240" spans="2:16" x14ac:dyDescent="0.45">
      <c r="B240">
        <f t="shared" si="9"/>
        <v>238</v>
      </c>
      <c r="C240" t="e">
        <f t="shared" si="11"/>
        <v>#N/A</v>
      </c>
      <c r="D240" t="e">
        <f>VLOOKUP(C240,Lookup!$F$5:$G$11,2,FALSE)</f>
        <v>#N/A</v>
      </c>
      <c r="E240" t="e">
        <f>IF(D240=Lookup!$G$5,E239+1,E239)</f>
        <v>#N/A</v>
      </c>
      <c r="F240" s="3" t="e">
        <f>INDEX(cards[Entities count],MATCH('card-code'!E240,cards[object_id order],0))</f>
        <v>#N/A</v>
      </c>
      <c r="G240" t="e">
        <f>IF(D239=Lookup!$G$9,1,IF(D239=Lookup!$G$10,G239+1,""))</f>
        <v>#N/A</v>
      </c>
      <c r="H240" t="e">
        <f>IF(F240=1,  IF(D240=Lookup!$G$9,2,1),  IF(G240&lt;F240-1,0,1)  )</f>
        <v>#N/A</v>
      </c>
      <c r="I240" t="e">
        <f>IF(D240&lt;&gt;Lookup!$G$7,0,IF(INDEX(cards[name],MATCH(E240,cards[object_id order],0))&lt;&gt;"",0,1))</f>
        <v>#N/A</v>
      </c>
      <c r="J240" t="e">
        <f>IF(D240&lt;&gt;Lookup!$G$7,0,IF(INDEX(cards[icon],MATCH(E240,cards[object_id order],0))&lt;&gt;"",0,1))</f>
        <v>#N/A</v>
      </c>
      <c r="K240" t="e">
        <f>IF(D240=Lookup!$G$6,INDEX(cards[object_id],MATCH('card-code'!E240,cards[object_id order],0)),"")</f>
        <v>#N/A</v>
      </c>
      <c r="L240" t="e">
        <f>IF(D240=Lookup!$G$7,INDEX(cards[name],MATCH('card-code'!E240,cards[object_id order],0)),"")</f>
        <v>#N/A</v>
      </c>
      <c r="M240" t="e">
        <f>IF($D240=Lookup!$L$9,INDEX(cards[icon],MATCH($E240,cards[object_id order],0)),"")</f>
        <v>#N/A</v>
      </c>
      <c r="N240" t="e">
        <f>IF(OR(D240=Lookup!$G$10,D240=Lookup!$G$11),INDEX(cards[[1]:[25]],MATCH($E240,cards[object_id order],0),'card-code'!G240),"")</f>
        <v>#N/A</v>
      </c>
      <c r="O240" t="str">
        <f t="shared" si="10"/>
        <v/>
      </c>
      <c r="P240" s="8" t="e">
        <f>INDEX(Lookup!$H$5:$H$11,MATCH(D240,Lookup!$G$5:$G$11,0))&amp;
K240&amp;L240&amp;M240&amp;N240&amp;
INDEX(Lookup!$I$5:$I$11,MATCH(D240,Lookup!$G$5:$G$11,0))</f>
        <v>#N/A</v>
      </c>
    </row>
    <row r="241" spans="2:16" x14ac:dyDescent="0.45">
      <c r="B241">
        <f t="shared" si="9"/>
        <v>239</v>
      </c>
      <c r="C241" t="e">
        <f t="shared" si="11"/>
        <v>#N/A</v>
      </c>
      <c r="D241" t="e">
        <f>VLOOKUP(C241,Lookup!$F$5:$G$11,2,FALSE)</f>
        <v>#N/A</v>
      </c>
      <c r="E241" t="e">
        <f>IF(D241=Lookup!$G$5,E240+1,E240)</f>
        <v>#N/A</v>
      </c>
      <c r="F241" s="3" t="e">
        <f>INDEX(cards[Entities count],MATCH('card-code'!E241,cards[object_id order],0))</f>
        <v>#N/A</v>
      </c>
      <c r="G241" t="e">
        <f>IF(D240=Lookup!$G$9,1,IF(D240=Lookup!$G$10,G240+1,""))</f>
        <v>#N/A</v>
      </c>
      <c r="H241" t="e">
        <f>IF(F241=1,  IF(D241=Lookup!$G$9,2,1),  IF(G241&lt;F241-1,0,1)  )</f>
        <v>#N/A</v>
      </c>
      <c r="I241" t="e">
        <f>IF(D241&lt;&gt;Lookup!$G$7,0,IF(INDEX(cards[name],MATCH(E241,cards[object_id order],0))&lt;&gt;"",0,1))</f>
        <v>#N/A</v>
      </c>
      <c r="J241" t="e">
        <f>IF(D241&lt;&gt;Lookup!$G$7,0,IF(INDEX(cards[icon],MATCH(E241,cards[object_id order],0))&lt;&gt;"",0,1))</f>
        <v>#N/A</v>
      </c>
      <c r="K241" t="e">
        <f>IF(D241=Lookup!$G$6,INDEX(cards[object_id],MATCH('card-code'!E241,cards[object_id order],0)),"")</f>
        <v>#N/A</v>
      </c>
      <c r="L241" t="e">
        <f>IF(D241=Lookup!$G$7,INDEX(cards[name],MATCH('card-code'!E241,cards[object_id order],0)),"")</f>
        <v>#N/A</v>
      </c>
      <c r="M241" t="e">
        <f>IF($D241=Lookup!$L$9,INDEX(cards[icon],MATCH($E241,cards[object_id order],0)),"")</f>
        <v>#N/A</v>
      </c>
      <c r="N241" t="e">
        <f>IF(OR(D241=Lookup!$G$10,D241=Lookup!$G$11),INDEX(cards[[1]:[25]],MATCH($E241,cards[object_id order],0),'card-code'!G241),"")</f>
        <v>#N/A</v>
      </c>
      <c r="O241" t="str">
        <f t="shared" si="10"/>
        <v/>
      </c>
      <c r="P241" s="8" t="e">
        <f>INDEX(Lookup!$H$5:$H$11,MATCH(D241,Lookup!$G$5:$G$11,0))&amp;
K241&amp;L241&amp;M241&amp;N241&amp;
INDEX(Lookup!$I$5:$I$11,MATCH(D241,Lookup!$G$5:$G$11,0))</f>
        <v>#N/A</v>
      </c>
    </row>
    <row r="242" spans="2:16" x14ac:dyDescent="0.45">
      <c r="B242">
        <f t="shared" si="9"/>
        <v>240</v>
      </c>
      <c r="C242" t="e">
        <f t="shared" si="11"/>
        <v>#N/A</v>
      </c>
      <c r="D242" t="e">
        <f>VLOOKUP(C242,Lookup!$F$5:$G$11,2,FALSE)</f>
        <v>#N/A</v>
      </c>
      <c r="E242" t="e">
        <f>IF(D242=Lookup!$G$5,E241+1,E241)</f>
        <v>#N/A</v>
      </c>
      <c r="F242" s="3" t="e">
        <f>INDEX(cards[Entities count],MATCH('card-code'!E242,cards[object_id order],0))</f>
        <v>#N/A</v>
      </c>
      <c r="G242" t="e">
        <f>IF(D241=Lookup!$G$9,1,IF(D241=Lookup!$G$10,G241+1,""))</f>
        <v>#N/A</v>
      </c>
      <c r="H242" t="e">
        <f>IF(F242=1,  IF(D242=Lookup!$G$9,2,1),  IF(G242&lt;F242-1,0,1)  )</f>
        <v>#N/A</v>
      </c>
      <c r="I242" t="e">
        <f>IF(D242&lt;&gt;Lookup!$G$7,0,IF(INDEX(cards[name],MATCH(E242,cards[object_id order],0))&lt;&gt;"",0,1))</f>
        <v>#N/A</v>
      </c>
      <c r="J242" t="e">
        <f>IF(D242&lt;&gt;Lookup!$G$7,0,IF(INDEX(cards[icon],MATCH(E242,cards[object_id order],0))&lt;&gt;"",0,1))</f>
        <v>#N/A</v>
      </c>
      <c r="K242" t="e">
        <f>IF(D242=Lookup!$G$6,INDEX(cards[object_id],MATCH('card-code'!E242,cards[object_id order],0)),"")</f>
        <v>#N/A</v>
      </c>
      <c r="L242" t="e">
        <f>IF(D242=Lookup!$G$7,INDEX(cards[name],MATCH('card-code'!E242,cards[object_id order],0)),"")</f>
        <v>#N/A</v>
      </c>
      <c r="M242" t="e">
        <f>IF($D242=Lookup!$L$9,INDEX(cards[icon],MATCH($E242,cards[object_id order],0)),"")</f>
        <v>#N/A</v>
      </c>
      <c r="N242" t="e">
        <f>IF(OR(D242=Lookup!$G$10,D242=Lookup!$G$11),INDEX(cards[[1]:[25]],MATCH($E242,cards[object_id order],0),'card-code'!G242),"")</f>
        <v>#N/A</v>
      </c>
      <c r="O242" t="str">
        <f t="shared" si="10"/>
        <v/>
      </c>
      <c r="P242" s="8" t="e">
        <f>INDEX(Lookup!$H$5:$H$11,MATCH(D242,Lookup!$G$5:$G$11,0))&amp;
K242&amp;L242&amp;M242&amp;N242&amp;
INDEX(Lookup!$I$5:$I$11,MATCH(D242,Lookup!$G$5:$G$11,0))</f>
        <v>#N/A</v>
      </c>
    </row>
    <row r="243" spans="2:16" x14ac:dyDescent="0.45">
      <c r="B243">
        <f t="shared" si="9"/>
        <v>241</v>
      </c>
      <c r="C243" t="e">
        <f t="shared" si="11"/>
        <v>#N/A</v>
      </c>
      <c r="D243" t="e">
        <f>VLOOKUP(C243,Lookup!$F$5:$G$11,2,FALSE)</f>
        <v>#N/A</v>
      </c>
      <c r="E243" t="e">
        <f>IF(D243=Lookup!$G$5,E242+1,E242)</f>
        <v>#N/A</v>
      </c>
      <c r="F243" s="3" t="e">
        <f>INDEX(cards[Entities count],MATCH('card-code'!E243,cards[object_id order],0))</f>
        <v>#N/A</v>
      </c>
      <c r="G243" t="e">
        <f>IF(D242=Lookup!$G$9,1,IF(D242=Lookup!$G$10,G242+1,""))</f>
        <v>#N/A</v>
      </c>
      <c r="H243" t="e">
        <f>IF(F243=1,  IF(D243=Lookup!$G$9,2,1),  IF(G243&lt;F243-1,0,1)  )</f>
        <v>#N/A</v>
      </c>
      <c r="I243" t="e">
        <f>IF(D243&lt;&gt;Lookup!$G$7,0,IF(INDEX(cards[name],MATCH(E243,cards[object_id order],0))&lt;&gt;"",0,1))</f>
        <v>#N/A</v>
      </c>
      <c r="J243" t="e">
        <f>IF(D243&lt;&gt;Lookup!$G$7,0,IF(INDEX(cards[icon],MATCH(E243,cards[object_id order],0))&lt;&gt;"",0,1))</f>
        <v>#N/A</v>
      </c>
      <c r="K243" t="e">
        <f>IF(D243=Lookup!$G$6,INDEX(cards[object_id],MATCH('card-code'!E243,cards[object_id order],0)),"")</f>
        <v>#N/A</v>
      </c>
      <c r="L243" t="e">
        <f>IF(D243=Lookup!$G$7,INDEX(cards[name],MATCH('card-code'!E243,cards[object_id order],0)),"")</f>
        <v>#N/A</v>
      </c>
      <c r="M243" t="e">
        <f>IF($D243=Lookup!$L$9,INDEX(cards[icon],MATCH($E243,cards[object_id order],0)),"")</f>
        <v>#N/A</v>
      </c>
      <c r="N243" t="e">
        <f>IF(OR(D243=Lookup!$G$10,D243=Lookup!$G$11),INDEX(cards[[1]:[25]],MATCH($E243,cards[object_id order],0),'card-code'!G243),"")</f>
        <v>#N/A</v>
      </c>
      <c r="O243" t="str">
        <f t="shared" si="10"/>
        <v/>
      </c>
      <c r="P243" s="8" t="e">
        <f>INDEX(Lookup!$H$5:$H$11,MATCH(D243,Lookup!$G$5:$G$11,0))&amp;
K243&amp;L243&amp;M243&amp;N243&amp;
INDEX(Lookup!$I$5:$I$11,MATCH(D243,Lookup!$G$5:$G$11,0))</f>
        <v>#N/A</v>
      </c>
    </row>
    <row r="244" spans="2:16" x14ac:dyDescent="0.45">
      <c r="B244">
        <f t="shared" si="9"/>
        <v>242</v>
      </c>
      <c r="C244" t="e">
        <f t="shared" si="11"/>
        <v>#N/A</v>
      </c>
      <c r="D244" t="e">
        <f>VLOOKUP(C244,Lookup!$F$5:$G$11,2,FALSE)</f>
        <v>#N/A</v>
      </c>
      <c r="E244" t="e">
        <f>IF(D244=Lookup!$G$5,E243+1,E243)</f>
        <v>#N/A</v>
      </c>
      <c r="F244" s="3" t="e">
        <f>INDEX(cards[Entities count],MATCH('card-code'!E244,cards[object_id order],0))</f>
        <v>#N/A</v>
      </c>
      <c r="G244" t="e">
        <f>IF(D243=Lookup!$G$9,1,IF(D243=Lookup!$G$10,G243+1,""))</f>
        <v>#N/A</v>
      </c>
      <c r="H244" t="e">
        <f>IF(F244=1,  IF(D244=Lookup!$G$9,2,1),  IF(G244&lt;F244-1,0,1)  )</f>
        <v>#N/A</v>
      </c>
      <c r="I244" t="e">
        <f>IF(D244&lt;&gt;Lookup!$G$7,0,IF(INDEX(cards[name],MATCH(E244,cards[object_id order],0))&lt;&gt;"",0,1))</f>
        <v>#N/A</v>
      </c>
      <c r="J244" t="e">
        <f>IF(D244&lt;&gt;Lookup!$G$7,0,IF(INDEX(cards[icon],MATCH(E244,cards[object_id order],0))&lt;&gt;"",0,1))</f>
        <v>#N/A</v>
      </c>
      <c r="K244" t="e">
        <f>IF(D244=Lookup!$G$6,INDEX(cards[object_id],MATCH('card-code'!E244,cards[object_id order],0)),"")</f>
        <v>#N/A</v>
      </c>
      <c r="L244" t="e">
        <f>IF(D244=Lookup!$G$7,INDEX(cards[name],MATCH('card-code'!E244,cards[object_id order],0)),"")</f>
        <v>#N/A</v>
      </c>
      <c r="M244" t="e">
        <f>IF($D244=Lookup!$L$9,INDEX(cards[icon],MATCH($E244,cards[object_id order],0)),"")</f>
        <v>#N/A</v>
      </c>
      <c r="N244" t="e">
        <f>IF(OR(D244=Lookup!$G$10,D244=Lookup!$G$11),INDEX(cards[[1]:[25]],MATCH($E244,cards[object_id order],0),'card-code'!G244),"")</f>
        <v>#N/A</v>
      </c>
      <c r="O244" t="str">
        <f t="shared" si="10"/>
        <v/>
      </c>
      <c r="P244" s="8" t="e">
        <f>INDEX(Lookup!$H$5:$H$11,MATCH(D244,Lookup!$G$5:$G$11,0))&amp;
K244&amp;L244&amp;M244&amp;N244&amp;
INDEX(Lookup!$I$5:$I$11,MATCH(D244,Lookup!$G$5:$G$11,0))</f>
        <v>#N/A</v>
      </c>
    </row>
    <row r="245" spans="2:16" x14ac:dyDescent="0.45">
      <c r="B245">
        <f t="shared" si="9"/>
        <v>243</v>
      </c>
      <c r="C245" t="e">
        <f t="shared" si="11"/>
        <v>#N/A</v>
      </c>
      <c r="D245" t="e">
        <f>VLOOKUP(C245,Lookup!$F$5:$G$11,2,FALSE)</f>
        <v>#N/A</v>
      </c>
      <c r="E245" t="e">
        <f>IF(D245=Lookup!$G$5,E244+1,E244)</f>
        <v>#N/A</v>
      </c>
      <c r="F245" s="3" t="e">
        <f>INDEX(cards[Entities count],MATCH('card-code'!E245,cards[object_id order],0))</f>
        <v>#N/A</v>
      </c>
      <c r="G245" t="e">
        <f>IF(D244=Lookup!$G$9,1,IF(D244=Lookup!$G$10,G244+1,""))</f>
        <v>#N/A</v>
      </c>
      <c r="H245" t="e">
        <f>IF(F245=1,  IF(D245=Lookup!$G$9,2,1),  IF(G245&lt;F245-1,0,1)  )</f>
        <v>#N/A</v>
      </c>
      <c r="I245" t="e">
        <f>IF(D245&lt;&gt;Lookup!$G$7,0,IF(INDEX(cards[name],MATCH(E245,cards[object_id order],0))&lt;&gt;"",0,1))</f>
        <v>#N/A</v>
      </c>
      <c r="J245" t="e">
        <f>IF(D245&lt;&gt;Lookup!$G$7,0,IF(INDEX(cards[icon],MATCH(E245,cards[object_id order],0))&lt;&gt;"",0,1))</f>
        <v>#N/A</v>
      </c>
      <c r="K245" t="e">
        <f>IF(D245=Lookup!$G$6,INDEX(cards[object_id],MATCH('card-code'!E245,cards[object_id order],0)),"")</f>
        <v>#N/A</v>
      </c>
      <c r="L245" t="e">
        <f>IF(D245=Lookup!$G$7,INDEX(cards[name],MATCH('card-code'!E245,cards[object_id order],0)),"")</f>
        <v>#N/A</v>
      </c>
      <c r="M245" t="e">
        <f>IF($D245=Lookup!$L$9,INDEX(cards[icon],MATCH($E245,cards[object_id order],0)),"")</f>
        <v>#N/A</v>
      </c>
      <c r="N245" t="e">
        <f>IF(OR(D245=Lookup!$G$10,D245=Lookup!$G$11),INDEX(cards[[1]:[25]],MATCH($E245,cards[object_id order],0),'card-code'!G245),"")</f>
        <v>#N/A</v>
      </c>
      <c r="O245" t="str">
        <f t="shared" si="10"/>
        <v/>
      </c>
      <c r="P245" s="8" t="e">
        <f>INDEX(Lookup!$H$5:$H$11,MATCH(D245,Lookup!$G$5:$G$11,0))&amp;
K245&amp;L245&amp;M245&amp;N245&amp;
INDEX(Lookup!$I$5:$I$11,MATCH(D245,Lookup!$G$5:$G$11,0))</f>
        <v>#N/A</v>
      </c>
    </row>
    <row r="246" spans="2:16" x14ac:dyDescent="0.45">
      <c r="B246">
        <f t="shared" si="9"/>
        <v>244</v>
      </c>
      <c r="C246" t="e">
        <f t="shared" si="11"/>
        <v>#N/A</v>
      </c>
      <c r="D246" t="e">
        <f>VLOOKUP(C246,Lookup!$F$5:$G$11,2,FALSE)</f>
        <v>#N/A</v>
      </c>
      <c r="E246" t="e">
        <f>IF(D246=Lookup!$G$5,E245+1,E245)</f>
        <v>#N/A</v>
      </c>
      <c r="F246" s="3" t="e">
        <f>INDEX(cards[Entities count],MATCH('card-code'!E246,cards[object_id order],0))</f>
        <v>#N/A</v>
      </c>
      <c r="G246" t="e">
        <f>IF(D245=Lookup!$G$9,1,IF(D245=Lookup!$G$10,G245+1,""))</f>
        <v>#N/A</v>
      </c>
      <c r="H246" t="e">
        <f>IF(F246=1,  IF(D246=Lookup!$G$9,2,1),  IF(G246&lt;F246-1,0,1)  )</f>
        <v>#N/A</v>
      </c>
      <c r="I246" t="e">
        <f>IF(D246&lt;&gt;Lookup!$G$7,0,IF(INDEX(cards[name],MATCH(E246,cards[object_id order],0))&lt;&gt;"",0,1))</f>
        <v>#N/A</v>
      </c>
      <c r="J246" t="e">
        <f>IF(D246&lt;&gt;Lookup!$G$7,0,IF(INDEX(cards[icon],MATCH(E246,cards[object_id order],0))&lt;&gt;"",0,1))</f>
        <v>#N/A</v>
      </c>
      <c r="K246" t="e">
        <f>IF(D246=Lookup!$G$6,INDEX(cards[object_id],MATCH('card-code'!E246,cards[object_id order],0)),"")</f>
        <v>#N/A</v>
      </c>
      <c r="L246" t="e">
        <f>IF(D246=Lookup!$G$7,INDEX(cards[name],MATCH('card-code'!E246,cards[object_id order],0)),"")</f>
        <v>#N/A</v>
      </c>
      <c r="M246" t="e">
        <f>IF($D246=Lookup!$L$9,INDEX(cards[icon],MATCH($E246,cards[object_id order],0)),"")</f>
        <v>#N/A</v>
      </c>
      <c r="N246" t="e">
        <f>IF(OR(D246=Lookup!$G$10,D246=Lookup!$G$11),INDEX(cards[[1]:[25]],MATCH($E246,cards[object_id order],0),'card-code'!G246),"")</f>
        <v>#N/A</v>
      </c>
      <c r="O246" t="str">
        <f t="shared" si="10"/>
        <v/>
      </c>
      <c r="P246" s="8" t="e">
        <f>INDEX(Lookup!$H$5:$H$11,MATCH(D246,Lookup!$G$5:$G$11,0))&amp;
K246&amp;L246&amp;M246&amp;N246&amp;
INDEX(Lookup!$I$5:$I$11,MATCH(D246,Lookup!$G$5:$G$11,0))</f>
        <v>#N/A</v>
      </c>
    </row>
    <row r="247" spans="2:16" x14ac:dyDescent="0.45">
      <c r="B247">
        <f t="shared" si="9"/>
        <v>245</v>
      </c>
      <c r="C247" t="e">
        <f t="shared" si="11"/>
        <v>#N/A</v>
      </c>
      <c r="D247" t="e">
        <f>VLOOKUP(C247,Lookup!$F$5:$G$11,2,FALSE)</f>
        <v>#N/A</v>
      </c>
      <c r="E247" t="e">
        <f>IF(D247=Lookup!$G$5,E246+1,E246)</f>
        <v>#N/A</v>
      </c>
      <c r="F247" s="3" t="e">
        <f>INDEX(cards[Entities count],MATCH('card-code'!E247,cards[object_id order],0))</f>
        <v>#N/A</v>
      </c>
      <c r="G247" t="e">
        <f>IF(D246=Lookup!$G$9,1,IF(D246=Lookup!$G$10,G246+1,""))</f>
        <v>#N/A</v>
      </c>
      <c r="H247" t="e">
        <f>IF(F247=1,  IF(D247=Lookup!$G$9,2,1),  IF(G247&lt;F247-1,0,1)  )</f>
        <v>#N/A</v>
      </c>
      <c r="I247" t="e">
        <f>IF(D247&lt;&gt;Lookup!$G$7,0,IF(INDEX(cards[name],MATCH(E247,cards[object_id order],0))&lt;&gt;"",0,1))</f>
        <v>#N/A</v>
      </c>
      <c r="J247" t="e">
        <f>IF(D247&lt;&gt;Lookup!$G$7,0,IF(INDEX(cards[icon],MATCH(E247,cards[object_id order],0))&lt;&gt;"",0,1))</f>
        <v>#N/A</v>
      </c>
      <c r="K247" t="e">
        <f>IF(D247=Lookup!$G$6,INDEX(cards[object_id],MATCH('card-code'!E247,cards[object_id order],0)),"")</f>
        <v>#N/A</v>
      </c>
      <c r="L247" t="e">
        <f>IF(D247=Lookup!$G$7,INDEX(cards[name],MATCH('card-code'!E247,cards[object_id order],0)),"")</f>
        <v>#N/A</v>
      </c>
      <c r="M247" t="e">
        <f>IF($D247=Lookup!$L$9,INDEX(cards[icon],MATCH($E247,cards[object_id order],0)),"")</f>
        <v>#N/A</v>
      </c>
      <c r="N247" t="e">
        <f>IF(OR(D247=Lookup!$G$10,D247=Lookup!$G$11),INDEX(cards[[1]:[25]],MATCH($E247,cards[object_id order],0),'card-code'!G247),"")</f>
        <v>#N/A</v>
      </c>
      <c r="O247" t="str">
        <f t="shared" si="10"/>
        <v/>
      </c>
      <c r="P247" s="8" t="e">
        <f>INDEX(Lookup!$H$5:$H$11,MATCH(D247,Lookup!$G$5:$G$11,0))&amp;
K247&amp;L247&amp;M247&amp;N247&amp;
INDEX(Lookup!$I$5:$I$11,MATCH(D247,Lookup!$G$5:$G$11,0))</f>
        <v>#N/A</v>
      </c>
    </row>
    <row r="248" spans="2:16" x14ac:dyDescent="0.45">
      <c r="B248">
        <f t="shared" si="9"/>
        <v>246</v>
      </c>
      <c r="C248" t="e">
        <f t="shared" si="11"/>
        <v>#N/A</v>
      </c>
      <c r="D248" t="e">
        <f>VLOOKUP(C248,Lookup!$F$5:$G$11,2,FALSE)</f>
        <v>#N/A</v>
      </c>
      <c r="E248" t="e">
        <f>IF(D248=Lookup!$G$5,E247+1,E247)</f>
        <v>#N/A</v>
      </c>
      <c r="F248" s="3" t="e">
        <f>INDEX(cards[Entities count],MATCH('card-code'!E248,cards[object_id order],0))</f>
        <v>#N/A</v>
      </c>
      <c r="G248" t="e">
        <f>IF(D247=Lookup!$G$9,1,IF(D247=Lookup!$G$10,G247+1,""))</f>
        <v>#N/A</v>
      </c>
      <c r="H248" t="e">
        <f>IF(F248=1,  IF(D248=Lookup!$G$9,2,1),  IF(G248&lt;F248-1,0,1)  )</f>
        <v>#N/A</v>
      </c>
      <c r="I248" t="e">
        <f>IF(D248&lt;&gt;Lookup!$G$7,0,IF(INDEX(cards[name],MATCH(E248,cards[object_id order],0))&lt;&gt;"",0,1))</f>
        <v>#N/A</v>
      </c>
      <c r="J248" t="e">
        <f>IF(D248&lt;&gt;Lookup!$G$7,0,IF(INDEX(cards[icon],MATCH(E248,cards[object_id order],0))&lt;&gt;"",0,1))</f>
        <v>#N/A</v>
      </c>
      <c r="K248" t="e">
        <f>IF(D248=Lookup!$G$6,INDEX(cards[object_id],MATCH('card-code'!E248,cards[object_id order],0)),"")</f>
        <v>#N/A</v>
      </c>
      <c r="L248" t="e">
        <f>IF(D248=Lookup!$G$7,INDEX(cards[name],MATCH('card-code'!E248,cards[object_id order],0)),"")</f>
        <v>#N/A</v>
      </c>
      <c r="M248" t="e">
        <f>IF($D248=Lookup!$L$9,INDEX(cards[icon],MATCH($E248,cards[object_id order],0)),"")</f>
        <v>#N/A</v>
      </c>
      <c r="N248" t="e">
        <f>IF(OR(D248=Lookup!$G$10,D248=Lookup!$G$11),INDEX(cards[[1]:[25]],MATCH($E248,cards[object_id order],0),'card-code'!G248),"")</f>
        <v>#N/A</v>
      </c>
      <c r="O248" t="str">
        <f t="shared" si="10"/>
        <v/>
      </c>
      <c r="P248" s="8" t="e">
        <f>INDEX(Lookup!$H$5:$H$11,MATCH(D248,Lookup!$G$5:$G$11,0))&amp;
K248&amp;L248&amp;M248&amp;N248&amp;
INDEX(Lookup!$I$5:$I$11,MATCH(D248,Lookup!$G$5:$G$11,0))</f>
        <v>#N/A</v>
      </c>
    </row>
    <row r="249" spans="2:16" x14ac:dyDescent="0.45">
      <c r="B249">
        <f t="shared" si="9"/>
        <v>247</v>
      </c>
      <c r="C249" t="e">
        <f t="shared" si="11"/>
        <v>#N/A</v>
      </c>
      <c r="D249" t="e">
        <f>VLOOKUP(C249,Lookup!$F$5:$G$11,2,FALSE)</f>
        <v>#N/A</v>
      </c>
      <c r="E249" t="e">
        <f>IF(D249=Lookup!$G$5,E248+1,E248)</f>
        <v>#N/A</v>
      </c>
      <c r="F249" s="3" t="e">
        <f>INDEX(cards[Entities count],MATCH('card-code'!E249,cards[object_id order],0))</f>
        <v>#N/A</v>
      </c>
      <c r="G249" t="e">
        <f>IF(D248=Lookup!$G$9,1,IF(D248=Lookup!$G$10,G248+1,""))</f>
        <v>#N/A</v>
      </c>
      <c r="H249" t="e">
        <f>IF(F249=1,  IF(D249=Lookup!$G$9,2,1),  IF(G249&lt;F249-1,0,1)  )</f>
        <v>#N/A</v>
      </c>
      <c r="I249" t="e">
        <f>IF(D249&lt;&gt;Lookup!$G$7,0,IF(INDEX(cards[name],MATCH(E249,cards[object_id order],0))&lt;&gt;"",0,1))</f>
        <v>#N/A</v>
      </c>
      <c r="J249" t="e">
        <f>IF(D249&lt;&gt;Lookup!$G$7,0,IF(INDEX(cards[icon],MATCH(E249,cards[object_id order],0))&lt;&gt;"",0,1))</f>
        <v>#N/A</v>
      </c>
      <c r="K249" t="e">
        <f>IF(D249=Lookup!$G$6,INDEX(cards[object_id],MATCH('card-code'!E249,cards[object_id order],0)),"")</f>
        <v>#N/A</v>
      </c>
      <c r="L249" t="e">
        <f>IF(D249=Lookup!$G$7,INDEX(cards[name],MATCH('card-code'!E249,cards[object_id order],0)),"")</f>
        <v>#N/A</v>
      </c>
      <c r="M249" t="e">
        <f>IF($D249=Lookup!$L$9,INDEX(cards[icon],MATCH($E249,cards[object_id order],0)),"")</f>
        <v>#N/A</v>
      </c>
      <c r="N249" t="e">
        <f>IF(OR(D249=Lookup!$G$10,D249=Lookup!$G$11),INDEX(cards[[1]:[25]],MATCH($E249,cards[object_id order],0),'card-code'!G249),"")</f>
        <v>#N/A</v>
      </c>
      <c r="O249" t="str">
        <f t="shared" si="10"/>
        <v/>
      </c>
      <c r="P249" s="8" t="e">
        <f>INDEX(Lookup!$H$5:$H$11,MATCH(D249,Lookup!$G$5:$G$11,0))&amp;
K249&amp;L249&amp;M249&amp;N249&amp;
INDEX(Lookup!$I$5:$I$11,MATCH(D249,Lookup!$G$5:$G$11,0))</f>
        <v>#N/A</v>
      </c>
    </row>
    <row r="250" spans="2:16" x14ac:dyDescent="0.45">
      <c r="B250">
        <f t="shared" si="9"/>
        <v>248</v>
      </c>
      <c r="C250" t="e">
        <f t="shared" si="11"/>
        <v>#N/A</v>
      </c>
      <c r="D250" t="e">
        <f>VLOOKUP(C250,Lookup!$F$5:$G$11,2,FALSE)</f>
        <v>#N/A</v>
      </c>
      <c r="E250" t="e">
        <f>IF(D250=Lookup!$G$5,E249+1,E249)</f>
        <v>#N/A</v>
      </c>
      <c r="F250" s="3" t="e">
        <f>INDEX(cards[Entities count],MATCH('card-code'!E250,cards[object_id order],0))</f>
        <v>#N/A</v>
      </c>
      <c r="G250" t="e">
        <f>IF(D249=Lookup!$G$9,1,IF(D249=Lookup!$G$10,G249+1,""))</f>
        <v>#N/A</v>
      </c>
      <c r="H250" t="e">
        <f>IF(F250=1,  IF(D250=Lookup!$G$9,2,1),  IF(G250&lt;F250-1,0,1)  )</f>
        <v>#N/A</v>
      </c>
      <c r="I250" t="e">
        <f>IF(D250&lt;&gt;Lookup!$G$7,0,IF(INDEX(cards[name],MATCH(E250,cards[object_id order],0))&lt;&gt;"",0,1))</f>
        <v>#N/A</v>
      </c>
      <c r="J250" t="e">
        <f>IF(D250&lt;&gt;Lookup!$G$7,0,IF(INDEX(cards[icon],MATCH(E250,cards[object_id order],0))&lt;&gt;"",0,1))</f>
        <v>#N/A</v>
      </c>
      <c r="K250" t="e">
        <f>IF(D250=Lookup!$G$6,INDEX(cards[object_id],MATCH('card-code'!E250,cards[object_id order],0)),"")</f>
        <v>#N/A</v>
      </c>
      <c r="L250" t="e">
        <f>IF(D250=Lookup!$G$7,INDEX(cards[name],MATCH('card-code'!E250,cards[object_id order],0)),"")</f>
        <v>#N/A</v>
      </c>
      <c r="M250" t="e">
        <f>IF($D250=Lookup!$L$9,INDEX(cards[icon],MATCH($E250,cards[object_id order],0)),"")</f>
        <v>#N/A</v>
      </c>
      <c r="N250" t="e">
        <f>IF(OR(D250=Lookup!$G$10,D250=Lookup!$G$11),INDEX(cards[[1]:[25]],MATCH($E250,cards[object_id order],0),'card-code'!G250),"")</f>
        <v>#N/A</v>
      </c>
      <c r="O250" t="str">
        <f t="shared" si="10"/>
        <v/>
      </c>
      <c r="P250" s="8" t="e">
        <f>INDEX(Lookup!$H$5:$H$11,MATCH(D250,Lookup!$G$5:$G$11,0))&amp;
K250&amp;L250&amp;M250&amp;N250&amp;
INDEX(Lookup!$I$5:$I$11,MATCH(D250,Lookup!$G$5:$G$11,0))</f>
        <v>#N/A</v>
      </c>
    </row>
    <row r="251" spans="2:16" x14ac:dyDescent="0.45">
      <c r="B251">
        <f t="shared" si="9"/>
        <v>249</v>
      </c>
      <c r="C251" t="e">
        <f t="shared" si="11"/>
        <v>#N/A</v>
      </c>
      <c r="D251" t="e">
        <f>VLOOKUP(C251,Lookup!$F$5:$G$11,2,FALSE)</f>
        <v>#N/A</v>
      </c>
      <c r="E251" t="e">
        <f>IF(D251=Lookup!$G$5,E250+1,E250)</f>
        <v>#N/A</v>
      </c>
      <c r="F251" s="3" t="e">
        <f>INDEX(cards[Entities count],MATCH('card-code'!E251,cards[object_id order],0))</f>
        <v>#N/A</v>
      </c>
      <c r="G251" t="e">
        <f>IF(D250=Lookup!$G$9,1,IF(D250=Lookup!$G$10,G250+1,""))</f>
        <v>#N/A</v>
      </c>
      <c r="H251" t="e">
        <f>IF(F251=1,  IF(D251=Lookup!$G$9,2,1),  IF(G251&lt;F251-1,0,1)  )</f>
        <v>#N/A</v>
      </c>
      <c r="I251" t="e">
        <f>IF(D251&lt;&gt;Lookup!$G$7,0,IF(INDEX(cards[name],MATCH(E251,cards[object_id order],0))&lt;&gt;"",0,1))</f>
        <v>#N/A</v>
      </c>
      <c r="J251" t="e">
        <f>IF(D251&lt;&gt;Lookup!$G$7,0,IF(INDEX(cards[icon],MATCH(E251,cards[object_id order],0))&lt;&gt;"",0,1))</f>
        <v>#N/A</v>
      </c>
      <c r="K251" t="e">
        <f>IF(D251=Lookup!$G$6,INDEX(cards[object_id],MATCH('card-code'!E251,cards[object_id order],0)),"")</f>
        <v>#N/A</v>
      </c>
      <c r="L251" t="e">
        <f>IF(D251=Lookup!$G$7,INDEX(cards[name],MATCH('card-code'!E251,cards[object_id order],0)),"")</f>
        <v>#N/A</v>
      </c>
      <c r="M251" t="e">
        <f>IF($D251=Lookup!$L$9,INDEX(cards[icon],MATCH($E251,cards[object_id order],0)),"")</f>
        <v>#N/A</v>
      </c>
      <c r="N251" t="e">
        <f>IF(OR(D251=Lookup!$G$10,D251=Lookup!$G$11),INDEX(cards[[1]:[25]],MATCH($E251,cards[object_id order],0),'card-code'!G251),"")</f>
        <v>#N/A</v>
      </c>
      <c r="O251" t="str">
        <f t="shared" si="10"/>
        <v/>
      </c>
      <c r="P251" s="8" t="e">
        <f>INDEX(Lookup!$H$5:$H$11,MATCH(D251,Lookup!$G$5:$G$11,0))&amp;
K251&amp;L251&amp;M251&amp;N251&amp;
INDEX(Lookup!$I$5:$I$11,MATCH(D251,Lookup!$G$5:$G$11,0))</f>
        <v>#N/A</v>
      </c>
    </row>
    <row r="252" spans="2:16" x14ac:dyDescent="0.45">
      <c r="B252">
        <f t="shared" si="9"/>
        <v>250</v>
      </c>
      <c r="C252" t="e">
        <f t="shared" si="11"/>
        <v>#N/A</v>
      </c>
      <c r="D252" t="e">
        <f>VLOOKUP(C252,Lookup!$F$5:$G$11,2,FALSE)</f>
        <v>#N/A</v>
      </c>
      <c r="E252" t="e">
        <f>IF(D252=Lookup!$G$5,E251+1,E251)</f>
        <v>#N/A</v>
      </c>
      <c r="F252" s="3" t="e">
        <f>INDEX(cards[Entities count],MATCH('card-code'!E252,cards[object_id order],0))</f>
        <v>#N/A</v>
      </c>
      <c r="G252" t="e">
        <f>IF(D251=Lookup!$G$9,1,IF(D251=Lookup!$G$10,G251+1,""))</f>
        <v>#N/A</v>
      </c>
      <c r="H252" t="e">
        <f>IF(F252=1,  IF(D252=Lookup!$G$9,2,1),  IF(G252&lt;F252-1,0,1)  )</f>
        <v>#N/A</v>
      </c>
      <c r="I252" t="e">
        <f>IF(D252&lt;&gt;Lookup!$G$7,0,IF(INDEX(cards[name],MATCH(E252,cards[object_id order],0))&lt;&gt;"",0,1))</f>
        <v>#N/A</v>
      </c>
      <c r="J252" t="e">
        <f>IF(D252&lt;&gt;Lookup!$G$7,0,IF(INDEX(cards[icon],MATCH(E252,cards[object_id order],0))&lt;&gt;"",0,1))</f>
        <v>#N/A</v>
      </c>
      <c r="K252" t="e">
        <f>IF(D252=Lookup!$G$6,INDEX(cards[object_id],MATCH('card-code'!E252,cards[object_id order],0)),"")</f>
        <v>#N/A</v>
      </c>
      <c r="L252" t="e">
        <f>IF(D252=Lookup!$G$7,INDEX(cards[name],MATCH('card-code'!E252,cards[object_id order],0)),"")</f>
        <v>#N/A</v>
      </c>
      <c r="M252" t="e">
        <f>IF($D252=Lookup!$L$9,INDEX(cards[icon],MATCH($E252,cards[object_id order],0)),"")</f>
        <v>#N/A</v>
      </c>
      <c r="N252" t="e">
        <f>IF(OR(D252=Lookup!$G$10,D252=Lookup!$G$11),INDEX(cards[[1]:[25]],MATCH($E252,cards[object_id order],0),'card-code'!G252),"")</f>
        <v>#N/A</v>
      </c>
      <c r="O252" t="str">
        <f t="shared" si="10"/>
        <v/>
      </c>
      <c r="P252" s="8" t="e">
        <f>INDEX(Lookup!$H$5:$H$11,MATCH(D252,Lookup!$G$5:$G$11,0))&amp;
K252&amp;L252&amp;M252&amp;N252&amp;
INDEX(Lookup!$I$5:$I$11,MATCH(D252,Lookup!$G$5:$G$11,0))</f>
        <v>#N/A</v>
      </c>
    </row>
    <row r="253" spans="2:16" x14ac:dyDescent="0.45">
      <c r="B253">
        <f t="shared" si="9"/>
        <v>251</v>
      </c>
      <c r="C253" t="e">
        <f t="shared" si="11"/>
        <v>#N/A</v>
      </c>
      <c r="D253" t="e">
        <f>VLOOKUP(C253,Lookup!$F$5:$G$11,2,FALSE)</f>
        <v>#N/A</v>
      </c>
      <c r="E253" t="e">
        <f>IF(D253=Lookup!$G$5,E252+1,E252)</f>
        <v>#N/A</v>
      </c>
      <c r="F253" s="3" t="e">
        <f>INDEX(cards[Entities count],MATCH('card-code'!E253,cards[object_id order],0))</f>
        <v>#N/A</v>
      </c>
      <c r="G253" t="e">
        <f>IF(D252=Lookup!$G$9,1,IF(D252=Lookup!$G$10,G252+1,""))</f>
        <v>#N/A</v>
      </c>
      <c r="H253" t="e">
        <f>IF(F253=1,  IF(D253=Lookup!$G$9,2,1),  IF(G253&lt;F253-1,0,1)  )</f>
        <v>#N/A</v>
      </c>
      <c r="I253" t="e">
        <f>IF(D253&lt;&gt;Lookup!$G$7,0,IF(INDEX(cards[name],MATCH(E253,cards[object_id order],0))&lt;&gt;"",0,1))</f>
        <v>#N/A</v>
      </c>
      <c r="J253" t="e">
        <f>IF(D253&lt;&gt;Lookup!$G$7,0,IF(INDEX(cards[icon],MATCH(E253,cards[object_id order],0))&lt;&gt;"",0,1))</f>
        <v>#N/A</v>
      </c>
      <c r="K253" t="e">
        <f>IF(D253=Lookup!$G$6,INDEX(cards[object_id],MATCH('card-code'!E253,cards[object_id order],0)),"")</f>
        <v>#N/A</v>
      </c>
      <c r="L253" t="e">
        <f>IF(D253=Lookup!$G$7,INDEX(cards[name],MATCH('card-code'!E253,cards[object_id order],0)),"")</f>
        <v>#N/A</v>
      </c>
      <c r="M253" t="e">
        <f>IF($D253=Lookup!$L$9,INDEX(cards[icon],MATCH($E253,cards[object_id order],0)),"")</f>
        <v>#N/A</v>
      </c>
      <c r="N253" t="e">
        <f>IF(OR(D253=Lookup!$G$10,D253=Lookup!$G$11),INDEX(cards[[1]:[25]],MATCH($E253,cards[object_id order],0),'card-code'!G253),"")</f>
        <v>#N/A</v>
      </c>
      <c r="O253" t="str">
        <f t="shared" si="10"/>
        <v/>
      </c>
      <c r="P253" s="8" t="e">
        <f>INDEX(Lookup!$H$5:$H$11,MATCH(D253,Lookup!$G$5:$G$11,0))&amp;
K253&amp;L253&amp;M253&amp;N253&amp;
INDEX(Lookup!$I$5:$I$11,MATCH(D253,Lookup!$G$5:$G$11,0))</f>
        <v>#N/A</v>
      </c>
    </row>
    <row r="254" spans="2:16" x14ac:dyDescent="0.45">
      <c r="B254">
        <f t="shared" si="9"/>
        <v>252</v>
      </c>
      <c r="C254" t="e">
        <f t="shared" si="11"/>
        <v>#N/A</v>
      </c>
      <c r="D254" t="e">
        <f>VLOOKUP(C254,Lookup!$F$5:$G$11,2,FALSE)</f>
        <v>#N/A</v>
      </c>
      <c r="E254" t="e">
        <f>IF(D254=Lookup!$G$5,E253+1,E253)</f>
        <v>#N/A</v>
      </c>
      <c r="F254" s="3" t="e">
        <f>INDEX(cards[Entities count],MATCH('card-code'!E254,cards[object_id order],0))</f>
        <v>#N/A</v>
      </c>
      <c r="G254" t="e">
        <f>IF(D253=Lookup!$G$9,1,IF(D253=Lookup!$G$10,G253+1,""))</f>
        <v>#N/A</v>
      </c>
      <c r="H254" t="e">
        <f>IF(F254=1,  IF(D254=Lookup!$G$9,2,1),  IF(G254&lt;F254-1,0,1)  )</f>
        <v>#N/A</v>
      </c>
      <c r="I254" t="e">
        <f>IF(D254&lt;&gt;Lookup!$G$7,0,IF(INDEX(cards[name],MATCH(E254,cards[object_id order],0))&lt;&gt;"",0,1))</f>
        <v>#N/A</v>
      </c>
      <c r="J254" t="e">
        <f>IF(D254&lt;&gt;Lookup!$G$7,0,IF(INDEX(cards[icon],MATCH(E254,cards[object_id order],0))&lt;&gt;"",0,1))</f>
        <v>#N/A</v>
      </c>
      <c r="K254" t="e">
        <f>IF(D254=Lookup!$G$6,INDEX(cards[object_id],MATCH('card-code'!E254,cards[object_id order],0)),"")</f>
        <v>#N/A</v>
      </c>
      <c r="L254" t="e">
        <f>IF(D254=Lookup!$G$7,INDEX(cards[name],MATCH('card-code'!E254,cards[object_id order],0)),"")</f>
        <v>#N/A</v>
      </c>
      <c r="M254" t="e">
        <f>IF($D254=Lookup!$L$9,INDEX(cards[icon],MATCH($E254,cards[object_id order],0)),"")</f>
        <v>#N/A</v>
      </c>
      <c r="N254" t="e">
        <f>IF(OR(D254=Lookup!$G$10,D254=Lookup!$G$11),INDEX(cards[[1]:[25]],MATCH($E254,cards[object_id order],0),'card-code'!G254),"")</f>
        <v>#N/A</v>
      </c>
      <c r="O254" t="str">
        <f t="shared" si="10"/>
        <v/>
      </c>
      <c r="P254" s="8" t="e">
        <f>INDEX(Lookup!$H$5:$H$11,MATCH(D254,Lookup!$G$5:$G$11,0))&amp;
K254&amp;L254&amp;M254&amp;N254&amp;
INDEX(Lookup!$I$5:$I$11,MATCH(D254,Lookup!$G$5:$G$11,0))</f>
        <v>#N/A</v>
      </c>
    </row>
    <row r="255" spans="2:16" x14ac:dyDescent="0.45">
      <c r="B255">
        <f t="shared" si="9"/>
        <v>253</v>
      </c>
      <c r="C255" t="e">
        <f t="shared" si="11"/>
        <v>#N/A</v>
      </c>
      <c r="D255" t="e">
        <f>VLOOKUP(C255,Lookup!$F$5:$G$11,2,FALSE)</f>
        <v>#N/A</v>
      </c>
      <c r="E255" t="e">
        <f>IF(D255=Lookup!$G$5,E254+1,E254)</f>
        <v>#N/A</v>
      </c>
      <c r="F255" s="3" t="e">
        <f>INDEX(cards[Entities count],MATCH('card-code'!E255,cards[object_id order],0))</f>
        <v>#N/A</v>
      </c>
      <c r="G255" t="e">
        <f>IF(D254=Lookup!$G$9,1,IF(D254=Lookup!$G$10,G254+1,""))</f>
        <v>#N/A</v>
      </c>
      <c r="H255" t="e">
        <f>IF(F255=1,  IF(D255=Lookup!$G$9,2,1),  IF(G255&lt;F255-1,0,1)  )</f>
        <v>#N/A</v>
      </c>
      <c r="I255" t="e">
        <f>IF(D255&lt;&gt;Lookup!$G$7,0,IF(INDEX(cards[name],MATCH(E255,cards[object_id order],0))&lt;&gt;"",0,1))</f>
        <v>#N/A</v>
      </c>
      <c r="J255" t="e">
        <f>IF(D255&lt;&gt;Lookup!$G$7,0,IF(INDEX(cards[icon],MATCH(E255,cards[object_id order],0))&lt;&gt;"",0,1))</f>
        <v>#N/A</v>
      </c>
      <c r="K255" t="e">
        <f>IF(D255=Lookup!$G$6,INDEX(cards[object_id],MATCH('card-code'!E255,cards[object_id order],0)),"")</f>
        <v>#N/A</v>
      </c>
      <c r="L255" t="e">
        <f>IF(D255=Lookup!$G$7,INDEX(cards[name],MATCH('card-code'!E255,cards[object_id order],0)),"")</f>
        <v>#N/A</v>
      </c>
      <c r="M255" t="e">
        <f>IF($D255=Lookup!$L$9,INDEX(cards[icon],MATCH($E255,cards[object_id order],0)),"")</f>
        <v>#N/A</v>
      </c>
      <c r="N255" t="e">
        <f>IF(OR(D255=Lookup!$G$10,D255=Lookup!$G$11),INDEX(cards[[1]:[25]],MATCH($E255,cards[object_id order],0),'card-code'!G255),"")</f>
        <v>#N/A</v>
      </c>
      <c r="O255" t="str">
        <f t="shared" si="10"/>
        <v/>
      </c>
      <c r="P255" s="8" t="e">
        <f>INDEX(Lookup!$H$5:$H$11,MATCH(D255,Lookup!$G$5:$G$11,0))&amp;
K255&amp;L255&amp;M255&amp;N255&amp;
INDEX(Lookup!$I$5:$I$11,MATCH(D255,Lookup!$G$5:$G$11,0))</f>
        <v>#N/A</v>
      </c>
    </row>
    <row r="256" spans="2:16" x14ac:dyDescent="0.45">
      <c r="B256">
        <f t="shared" si="9"/>
        <v>254</v>
      </c>
      <c r="C256" t="e">
        <f t="shared" si="11"/>
        <v>#N/A</v>
      </c>
      <c r="D256" t="e">
        <f>VLOOKUP(C256,Lookup!$F$5:$G$11,2,FALSE)</f>
        <v>#N/A</v>
      </c>
      <c r="E256" t="e">
        <f>IF(D256=Lookup!$G$5,E255+1,E255)</f>
        <v>#N/A</v>
      </c>
      <c r="F256" s="3" t="e">
        <f>INDEX(cards[Entities count],MATCH('card-code'!E256,cards[object_id order],0))</f>
        <v>#N/A</v>
      </c>
      <c r="G256" t="e">
        <f>IF(D255=Lookup!$G$9,1,IF(D255=Lookup!$G$10,G255+1,""))</f>
        <v>#N/A</v>
      </c>
      <c r="H256" t="e">
        <f>IF(F256=1,  IF(D256=Lookup!$G$9,2,1),  IF(G256&lt;F256-1,0,1)  )</f>
        <v>#N/A</v>
      </c>
      <c r="I256" t="e">
        <f>IF(D256&lt;&gt;Lookup!$G$7,0,IF(INDEX(cards[name],MATCH(E256,cards[object_id order],0))&lt;&gt;"",0,1))</f>
        <v>#N/A</v>
      </c>
      <c r="J256" t="e">
        <f>IF(D256&lt;&gt;Lookup!$G$7,0,IF(INDEX(cards[icon],MATCH(E256,cards[object_id order],0))&lt;&gt;"",0,1))</f>
        <v>#N/A</v>
      </c>
      <c r="K256" t="e">
        <f>IF(D256=Lookup!$G$6,INDEX(cards[object_id],MATCH('card-code'!E256,cards[object_id order],0)),"")</f>
        <v>#N/A</v>
      </c>
      <c r="L256" t="e">
        <f>IF(D256=Lookup!$G$7,INDEX(cards[name],MATCH('card-code'!E256,cards[object_id order],0)),"")</f>
        <v>#N/A</v>
      </c>
      <c r="M256" t="e">
        <f>IF($D256=Lookup!$L$9,INDEX(cards[icon],MATCH($E256,cards[object_id order],0)),"")</f>
        <v>#N/A</v>
      </c>
      <c r="N256" t="e">
        <f>IF(OR(D256=Lookup!$G$10,D256=Lookup!$G$11),INDEX(cards[[1]:[25]],MATCH($E256,cards[object_id order],0),'card-code'!G256),"")</f>
        <v>#N/A</v>
      </c>
      <c r="O256" t="str">
        <f t="shared" si="10"/>
        <v/>
      </c>
      <c r="P256" s="8" t="e">
        <f>INDEX(Lookup!$H$5:$H$11,MATCH(D256,Lookup!$G$5:$G$11,0))&amp;
K256&amp;L256&amp;M256&amp;N256&amp;
INDEX(Lookup!$I$5:$I$11,MATCH(D256,Lookup!$G$5:$G$11,0))</f>
        <v>#N/A</v>
      </c>
    </row>
    <row r="257" spans="2:16" x14ac:dyDescent="0.45">
      <c r="B257">
        <f t="shared" si="9"/>
        <v>255</v>
      </c>
      <c r="C257" t="e">
        <f t="shared" si="11"/>
        <v>#N/A</v>
      </c>
      <c r="D257" t="e">
        <f>VLOOKUP(C257,Lookup!$F$5:$G$11,2,FALSE)</f>
        <v>#N/A</v>
      </c>
      <c r="E257" t="e">
        <f>IF(D257=Lookup!$G$5,E256+1,E256)</f>
        <v>#N/A</v>
      </c>
      <c r="F257" s="3" t="e">
        <f>INDEX(cards[Entities count],MATCH('card-code'!E257,cards[object_id order],0))</f>
        <v>#N/A</v>
      </c>
      <c r="G257" t="e">
        <f>IF(D256=Lookup!$G$9,1,IF(D256=Lookup!$G$10,G256+1,""))</f>
        <v>#N/A</v>
      </c>
      <c r="H257" t="e">
        <f>IF(F257=1,  IF(D257=Lookup!$G$9,2,1),  IF(G257&lt;F257-1,0,1)  )</f>
        <v>#N/A</v>
      </c>
      <c r="I257" t="e">
        <f>IF(D257&lt;&gt;Lookup!$G$7,0,IF(INDEX(cards[name],MATCH(E257,cards[object_id order],0))&lt;&gt;"",0,1))</f>
        <v>#N/A</v>
      </c>
      <c r="J257" t="e">
        <f>IF(D257&lt;&gt;Lookup!$G$7,0,IF(INDEX(cards[icon],MATCH(E257,cards[object_id order],0))&lt;&gt;"",0,1))</f>
        <v>#N/A</v>
      </c>
      <c r="K257" t="e">
        <f>IF(D257=Lookup!$G$6,INDEX(cards[object_id],MATCH('card-code'!E257,cards[object_id order],0)),"")</f>
        <v>#N/A</v>
      </c>
      <c r="L257" t="e">
        <f>IF(D257=Lookup!$G$7,INDEX(cards[name],MATCH('card-code'!E257,cards[object_id order],0)),"")</f>
        <v>#N/A</v>
      </c>
      <c r="M257" t="e">
        <f>IF($D257=Lookup!$L$9,INDEX(cards[icon],MATCH($E257,cards[object_id order],0)),"")</f>
        <v>#N/A</v>
      </c>
      <c r="N257" t="e">
        <f>IF(OR(D257=Lookup!$G$10,D257=Lookup!$G$11),INDEX(cards[[1]:[25]],MATCH($E257,cards[object_id order],0),'card-code'!G257),"")</f>
        <v>#N/A</v>
      </c>
      <c r="O257" t="str">
        <f t="shared" si="10"/>
        <v/>
      </c>
      <c r="P257" s="8" t="e">
        <f>INDEX(Lookup!$H$5:$H$11,MATCH(D257,Lookup!$G$5:$G$11,0))&amp;
K257&amp;L257&amp;M257&amp;N257&amp;
INDEX(Lookup!$I$5:$I$11,MATCH(D257,Lookup!$G$5:$G$11,0))</f>
        <v>#N/A</v>
      </c>
    </row>
    <row r="258" spans="2:16" x14ac:dyDescent="0.45">
      <c r="B258">
        <f t="shared" si="9"/>
        <v>256</v>
      </c>
      <c r="C258" t="e">
        <f t="shared" si="11"/>
        <v>#N/A</v>
      </c>
      <c r="D258" t="e">
        <f>VLOOKUP(C258,Lookup!$F$5:$G$11,2,FALSE)</f>
        <v>#N/A</v>
      </c>
      <c r="E258" t="e">
        <f>IF(D258=Lookup!$G$5,E257+1,E257)</f>
        <v>#N/A</v>
      </c>
      <c r="F258" s="3" t="e">
        <f>INDEX(cards[Entities count],MATCH('card-code'!E258,cards[object_id order],0))</f>
        <v>#N/A</v>
      </c>
      <c r="G258" t="e">
        <f>IF(D257=Lookup!$G$9,1,IF(D257=Lookup!$G$10,G257+1,""))</f>
        <v>#N/A</v>
      </c>
      <c r="H258" t="e">
        <f>IF(F258=1,  IF(D258=Lookup!$G$9,2,1),  IF(G258&lt;F258-1,0,1)  )</f>
        <v>#N/A</v>
      </c>
      <c r="I258" t="e">
        <f>IF(D258&lt;&gt;Lookup!$G$7,0,IF(INDEX(cards[name],MATCH(E258,cards[object_id order],0))&lt;&gt;"",0,1))</f>
        <v>#N/A</v>
      </c>
      <c r="J258" t="e">
        <f>IF(D258&lt;&gt;Lookup!$G$7,0,IF(INDEX(cards[icon],MATCH(E258,cards[object_id order],0))&lt;&gt;"",0,1))</f>
        <v>#N/A</v>
      </c>
      <c r="K258" t="e">
        <f>IF(D258=Lookup!$G$6,INDEX(cards[object_id],MATCH('card-code'!E258,cards[object_id order],0)),"")</f>
        <v>#N/A</v>
      </c>
      <c r="L258" t="e">
        <f>IF(D258=Lookup!$G$7,INDEX(cards[name],MATCH('card-code'!E258,cards[object_id order],0)),"")</f>
        <v>#N/A</v>
      </c>
      <c r="M258" t="e">
        <f>IF($D258=Lookup!$L$9,INDEX(cards[icon],MATCH($E258,cards[object_id order],0)),"")</f>
        <v>#N/A</v>
      </c>
      <c r="N258" t="e">
        <f>IF(OR(D258=Lookup!$G$10,D258=Lookup!$G$11),INDEX(cards[[1]:[25]],MATCH($E258,cards[object_id order],0),'card-code'!G258),"")</f>
        <v>#N/A</v>
      </c>
      <c r="O258" t="str">
        <f t="shared" si="10"/>
        <v/>
      </c>
      <c r="P258" s="8" t="e">
        <f>INDEX(Lookup!$H$5:$H$11,MATCH(D258,Lookup!$G$5:$G$11,0))&amp;
K258&amp;L258&amp;M258&amp;N258&amp;
INDEX(Lookup!$I$5:$I$11,MATCH(D258,Lookup!$G$5:$G$11,0))</f>
        <v>#N/A</v>
      </c>
    </row>
    <row r="259" spans="2:16" x14ac:dyDescent="0.45">
      <c r="B259">
        <f t="shared" si="9"/>
        <v>257</v>
      </c>
      <c r="C259" t="e">
        <f t="shared" si="11"/>
        <v>#N/A</v>
      </c>
      <c r="D259" t="e">
        <f>VLOOKUP(C259,Lookup!$F$5:$G$11,2,FALSE)</f>
        <v>#N/A</v>
      </c>
      <c r="E259" t="e">
        <f>IF(D259=Lookup!$G$5,E258+1,E258)</f>
        <v>#N/A</v>
      </c>
      <c r="F259" s="3" t="e">
        <f>INDEX(cards[Entities count],MATCH('card-code'!E259,cards[object_id order],0))</f>
        <v>#N/A</v>
      </c>
      <c r="G259" t="e">
        <f>IF(D258=Lookup!$G$9,1,IF(D258=Lookup!$G$10,G258+1,""))</f>
        <v>#N/A</v>
      </c>
      <c r="H259" t="e">
        <f>IF(F259=1,  IF(D259=Lookup!$G$9,2,1),  IF(G259&lt;F259-1,0,1)  )</f>
        <v>#N/A</v>
      </c>
      <c r="I259" t="e">
        <f>IF(D259&lt;&gt;Lookup!$G$7,0,IF(INDEX(cards[name],MATCH(E259,cards[object_id order],0))&lt;&gt;"",0,1))</f>
        <v>#N/A</v>
      </c>
      <c r="J259" t="e">
        <f>IF(D259&lt;&gt;Lookup!$G$7,0,IF(INDEX(cards[icon],MATCH(E259,cards[object_id order],0))&lt;&gt;"",0,1))</f>
        <v>#N/A</v>
      </c>
      <c r="K259" t="e">
        <f>IF(D259=Lookup!$G$6,INDEX(cards[object_id],MATCH('card-code'!E259,cards[object_id order],0)),"")</f>
        <v>#N/A</v>
      </c>
      <c r="L259" t="e">
        <f>IF(D259=Lookup!$G$7,INDEX(cards[name],MATCH('card-code'!E259,cards[object_id order],0)),"")</f>
        <v>#N/A</v>
      </c>
      <c r="M259" t="e">
        <f>IF($D259=Lookup!$L$9,INDEX(cards[icon],MATCH($E259,cards[object_id order],0)),"")</f>
        <v>#N/A</v>
      </c>
      <c r="N259" t="e">
        <f>IF(OR(D259=Lookup!$G$10,D259=Lookup!$G$11),INDEX(cards[[1]:[25]],MATCH($E259,cards[object_id order],0),'card-code'!G259),"")</f>
        <v>#N/A</v>
      </c>
      <c r="O259" t="str">
        <f t="shared" si="10"/>
        <v/>
      </c>
      <c r="P259" s="8" t="e">
        <f>INDEX(Lookup!$H$5:$H$11,MATCH(D259,Lookup!$G$5:$G$11,0))&amp;
K259&amp;L259&amp;M259&amp;N259&amp;
INDEX(Lookup!$I$5:$I$11,MATCH(D259,Lookup!$G$5:$G$11,0))</f>
        <v>#N/A</v>
      </c>
    </row>
    <row r="260" spans="2:16" x14ac:dyDescent="0.45">
      <c r="B260">
        <f t="shared" si="9"/>
        <v>258</v>
      </c>
      <c r="C260" t="e">
        <f t="shared" si="11"/>
        <v>#N/A</v>
      </c>
      <c r="D260" t="e">
        <f>VLOOKUP(C260,Lookup!$F$5:$G$11,2,FALSE)</f>
        <v>#N/A</v>
      </c>
      <c r="E260" t="e">
        <f>IF(D260=Lookup!$G$5,E259+1,E259)</f>
        <v>#N/A</v>
      </c>
      <c r="F260" s="3" t="e">
        <f>INDEX(cards[Entities count],MATCH('card-code'!E260,cards[object_id order],0))</f>
        <v>#N/A</v>
      </c>
      <c r="G260" t="e">
        <f>IF(D259=Lookup!$G$9,1,IF(D259=Lookup!$G$10,G259+1,""))</f>
        <v>#N/A</v>
      </c>
      <c r="H260" t="e">
        <f>IF(F260=1,  IF(D260=Lookup!$G$9,2,1),  IF(G260&lt;F260-1,0,1)  )</f>
        <v>#N/A</v>
      </c>
      <c r="I260" t="e">
        <f>IF(D260&lt;&gt;Lookup!$G$7,0,IF(INDEX(cards[name],MATCH(E260,cards[object_id order],0))&lt;&gt;"",0,1))</f>
        <v>#N/A</v>
      </c>
      <c r="J260" t="e">
        <f>IF(D260&lt;&gt;Lookup!$G$7,0,IF(INDEX(cards[icon],MATCH(E260,cards[object_id order],0))&lt;&gt;"",0,1))</f>
        <v>#N/A</v>
      </c>
      <c r="K260" t="e">
        <f>IF(D260=Lookup!$G$6,INDEX(cards[object_id],MATCH('card-code'!E260,cards[object_id order],0)),"")</f>
        <v>#N/A</v>
      </c>
      <c r="L260" t="e">
        <f>IF(D260=Lookup!$G$7,INDEX(cards[name],MATCH('card-code'!E260,cards[object_id order],0)),"")</f>
        <v>#N/A</v>
      </c>
      <c r="M260" t="e">
        <f>IF($D260=Lookup!$L$9,INDEX(cards[icon],MATCH($E260,cards[object_id order],0)),"")</f>
        <v>#N/A</v>
      </c>
      <c r="N260" t="e">
        <f>IF(OR(D260=Lookup!$G$10,D260=Lookup!$G$11),INDEX(cards[[1]:[25]],MATCH($E260,cards[object_id order],0),'card-code'!G260),"")</f>
        <v>#N/A</v>
      </c>
      <c r="O260" t="str">
        <f t="shared" si="10"/>
        <v/>
      </c>
      <c r="P260" s="8" t="e">
        <f>INDEX(Lookup!$H$5:$H$11,MATCH(D260,Lookup!$G$5:$G$11,0))&amp;
K260&amp;L260&amp;M260&amp;N260&amp;
INDEX(Lookup!$I$5:$I$11,MATCH(D260,Lookup!$G$5:$G$11,0))</f>
        <v>#N/A</v>
      </c>
    </row>
    <row r="261" spans="2:16" x14ac:dyDescent="0.45">
      <c r="B261">
        <f t="shared" ref="B261:B324" si="12">B260+1</f>
        <v>259</v>
      </c>
      <c r="C261" t="e">
        <f t="shared" si="11"/>
        <v>#N/A</v>
      </c>
      <c r="D261" t="e">
        <f>VLOOKUP(C261,Lookup!$F$5:$G$11,2,FALSE)</f>
        <v>#N/A</v>
      </c>
      <c r="E261" t="e">
        <f>IF(D261=Lookup!$G$5,E260+1,E260)</f>
        <v>#N/A</v>
      </c>
      <c r="F261" s="3" t="e">
        <f>INDEX(cards[Entities count],MATCH('card-code'!E261,cards[object_id order],0))</f>
        <v>#N/A</v>
      </c>
      <c r="G261" t="e">
        <f>IF(D260=Lookup!$G$9,1,IF(D260=Lookup!$G$10,G260+1,""))</f>
        <v>#N/A</v>
      </c>
      <c r="H261" t="e">
        <f>IF(F261=1,  IF(D261=Lookup!$G$9,2,1),  IF(G261&lt;F261-1,0,1)  )</f>
        <v>#N/A</v>
      </c>
      <c r="I261" t="e">
        <f>IF(D261&lt;&gt;Lookup!$G$7,0,IF(INDEX(cards[name],MATCH(E261,cards[object_id order],0))&lt;&gt;"",0,1))</f>
        <v>#N/A</v>
      </c>
      <c r="J261" t="e">
        <f>IF(D261&lt;&gt;Lookup!$G$7,0,IF(INDEX(cards[icon],MATCH(E261,cards[object_id order],0))&lt;&gt;"",0,1))</f>
        <v>#N/A</v>
      </c>
      <c r="K261" t="e">
        <f>IF(D261=Lookup!$G$6,INDEX(cards[object_id],MATCH('card-code'!E261,cards[object_id order],0)),"")</f>
        <v>#N/A</v>
      </c>
      <c r="L261" t="e">
        <f>IF(D261=Lookup!$G$7,INDEX(cards[name],MATCH('card-code'!E261,cards[object_id order],0)),"")</f>
        <v>#N/A</v>
      </c>
      <c r="M261" t="e">
        <f>IF($D261=Lookup!$L$9,INDEX(cards[icon],MATCH($E261,cards[object_id order],0)),"")</f>
        <v>#N/A</v>
      </c>
      <c r="N261" t="e">
        <f>IF(OR(D261=Lookup!$G$10,D261=Lookup!$G$11),INDEX(cards[[1]:[25]],MATCH($E261,cards[object_id order],0),'card-code'!G261),"")</f>
        <v>#N/A</v>
      </c>
      <c r="O261" t="str">
        <f t="shared" ref="O261:O324" si="13">IF(AND(NOT(ISNA(F260)),ISNA(F261)),"END","")</f>
        <v/>
      </c>
      <c r="P261" s="8" t="e">
        <f>INDEX(Lookup!$H$5:$H$11,MATCH(D261,Lookup!$G$5:$G$11,0))&amp;
K261&amp;L261&amp;M261&amp;N261&amp;
INDEX(Lookup!$I$5:$I$11,MATCH(D261,Lookup!$G$5:$G$11,0))</f>
        <v>#N/A</v>
      </c>
    </row>
    <row r="262" spans="2:16" x14ac:dyDescent="0.45">
      <c r="B262">
        <f t="shared" si="12"/>
        <v>260</v>
      </c>
      <c r="C262" t="e">
        <f t="shared" si="11"/>
        <v>#N/A</v>
      </c>
      <c r="D262" t="e">
        <f>VLOOKUP(C262,Lookup!$F$5:$G$11,2,FALSE)</f>
        <v>#N/A</v>
      </c>
      <c r="E262" t="e">
        <f>IF(D262=Lookup!$G$5,E261+1,E261)</f>
        <v>#N/A</v>
      </c>
      <c r="F262" s="3" t="e">
        <f>INDEX(cards[Entities count],MATCH('card-code'!E262,cards[object_id order],0))</f>
        <v>#N/A</v>
      </c>
      <c r="G262" t="e">
        <f>IF(D261=Lookup!$G$9,1,IF(D261=Lookup!$G$10,G261+1,""))</f>
        <v>#N/A</v>
      </c>
      <c r="H262" t="e">
        <f>IF(F262=1,  IF(D262=Lookup!$G$9,2,1),  IF(G262&lt;F262-1,0,1)  )</f>
        <v>#N/A</v>
      </c>
      <c r="I262" t="e">
        <f>IF(D262&lt;&gt;Lookup!$G$7,0,IF(INDEX(cards[name],MATCH(E262,cards[object_id order],0))&lt;&gt;"",0,1))</f>
        <v>#N/A</v>
      </c>
      <c r="J262" t="e">
        <f>IF(D262&lt;&gt;Lookup!$G$7,0,IF(INDEX(cards[icon],MATCH(E262,cards[object_id order],0))&lt;&gt;"",0,1))</f>
        <v>#N/A</v>
      </c>
      <c r="K262" t="e">
        <f>IF(D262=Lookup!$G$6,INDEX(cards[object_id],MATCH('card-code'!E262,cards[object_id order],0)),"")</f>
        <v>#N/A</v>
      </c>
      <c r="L262" t="e">
        <f>IF(D262=Lookup!$G$7,INDEX(cards[name],MATCH('card-code'!E262,cards[object_id order],0)),"")</f>
        <v>#N/A</v>
      </c>
      <c r="M262" t="e">
        <f>IF($D262=Lookup!$L$9,INDEX(cards[icon],MATCH($E262,cards[object_id order],0)),"")</f>
        <v>#N/A</v>
      </c>
      <c r="N262" t="e">
        <f>IF(OR(D262=Lookup!$G$10,D262=Lookup!$G$11),INDEX(cards[[1]:[25]],MATCH($E262,cards[object_id order],0),'card-code'!G262),"")</f>
        <v>#N/A</v>
      </c>
      <c r="O262" t="str">
        <f t="shared" si="13"/>
        <v/>
      </c>
      <c r="P262" s="8" t="e">
        <f>INDEX(Lookup!$H$5:$H$11,MATCH(D262,Lookup!$G$5:$G$11,0))&amp;
K262&amp;L262&amp;M262&amp;N262&amp;
INDEX(Lookup!$I$5:$I$11,MATCH(D262,Lookup!$G$5:$G$11,0))</f>
        <v>#N/A</v>
      </c>
    </row>
    <row r="263" spans="2:16" x14ac:dyDescent="0.45">
      <c r="B263">
        <f t="shared" si="12"/>
        <v>261</v>
      </c>
      <c r="C263" t="e">
        <f t="shared" ref="C263:C326" si="14">IF(C262=7,  1,  C262+SUM(H262:J262)  )</f>
        <v>#N/A</v>
      </c>
      <c r="D263" t="e">
        <f>VLOOKUP(C263,Lookup!$F$5:$G$11,2,FALSE)</f>
        <v>#N/A</v>
      </c>
      <c r="E263" t="e">
        <f>IF(D263=Lookup!$G$5,E262+1,E262)</f>
        <v>#N/A</v>
      </c>
      <c r="F263" s="3" t="e">
        <f>INDEX(cards[Entities count],MATCH('card-code'!E263,cards[object_id order],0))</f>
        <v>#N/A</v>
      </c>
      <c r="G263" t="e">
        <f>IF(D262=Lookup!$G$9,1,IF(D262=Lookup!$G$10,G262+1,""))</f>
        <v>#N/A</v>
      </c>
      <c r="H263" t="e">
        <f>IF(F263=1,  IF(D263=Lookup!$G$9,2,1),  IF(G263&lt;F263-1,0,1)  )</f>
        <v>#N/A</v>
      </c>
      <c r="I263" t="e">
        <f>IF(D263&lt;&gt;Lookup!$G$7,0,IF(INDEX(cards[name],MATCH(E263,cards[object_id order],0))&lt;&gt;"",0,1))</f>
        <v>#N/A</v>
      </c>
      <c r="J263" t="e">
        <f>IF(D263&lt;&gt;Lookup!$G$7,0,IF(INDEX(cards[icon],MATCH(E263,cards[object_id order],0))&lt;&gt;"",0,1))</f>
        <v>#N/A</v>
      </c>
      <c r="K263" t="e">
        <f>IF(D263=Lookup!$G$6,INDEX(cards[object_id],MATCH('card-code'!E263,cards[object_id order],0)),"")</f>
        <v>#N/A</v>
      </c>
      <c r="L263" t="e">
        <f>IF(D263=Lookup!$G$7,INDEX(cards[name],MATCH('card-code'!E263,cards[object_id order],0)),"")</f>
        <v>#N/A</v>
      </c>
      <c r="M263" t="e">
        <f>IF($D263=Lookup!$L$9,INDEX(cards[icon],MATCH($E263,cards[object_id order],0)),"")</f>
        <v>#N/A</v>
      </c>
      <c r="N263" t="e">
        <f>IF(OR(D263=Lookup!$G$10,D263=Lookup!$G$11),INDEX(cards[[1]:[25]],MATCH($E263,cards[object_id order],0),'card-code'!G263),"")</f>
        <v>#N/A</v>
      </c>
      <c r="O263" t="str">
        <f t="shared" si="13"/>
        <v/>
      </c>
      <c r="P263" s="8" t="e">
        <f>INDEX(Lookup!$H$5:$H$11,MATCH(D263,Lookup!$G$5:$G$11,0))&amp;
K263&amp;L263&amp;M263&amp;N263&amp;
INDEX(Lookup!$I$5:$I$11,MATCH(D263,Lookup!$G$5:$G$11,0))</f>
        <v>#N/A</v>
      </c>
    </row>
    <row r="264" spans="2:16" x14ac:dyDescent="0.45">
      <c r="B264">
        <f t="shared" si="12"/>
        <v>262</v>
      </c>
      <c r="C264" t="e">
        <f t="shared" si="14"/>
        <v>#N/A</v>
      </c>
      <c r="D264" t="e">
        <f>VLOOKUP(C264,Lookup!$F$5:$G$11,2,FALSE)</f>
        <v>#N/A</v>
      </c>
      <c r="E264" t="e">
        <f>IF(D264=Lookup!$G$5,E263+1,E263)</f>
        <v>#N/A</v>
      </c>
      <c r="F264" s="3" t="e">
        <f>INDEX(cards[Entities count],MATCH('card-code'!E264,cards[object_id order],0))</f>
        <v>#N/A</v>
      </c>
      <c r="G264" t="e">
        <f>IF(D263=Lookup!$G$9,1,IF(D263=Lookup!$G$10,G263+1,""))</f>
        <v>#N/A</v>
      </c>
      <c r="H264" t="e">
        <f>IF(F264=1,  IF(D264=Lookup!$G$9,2,1),  IF(G264&lt;F264-1,0,1)  )</f>
        <v>#N/A</v>
      </c>
      <c r="I264" t="e">
        <f>IF(D264&lt;&gt;Lookup!$G$7,0,IF(INDEX(cards[name],MATCH(E264,cards[object_id order],0))&lt;&gt;"",0,1))</f>
        <v>#N/A</v>
      </c>
      <c r="J264" t="e">
        <f>IF(D264&lt;&gt;Lookup!$G$7,0,IF(INDEX(cards[icon],MATCH(E264,cards[object_id order],0))&lt;&gt;"",0,1))</f>
        <v>#N/A</v>
      </c>
      <c r="K264" t="e">
        <f>IF(D264=Lookup!$G$6,INDEX(cards[object_id],MATCH('card-code'!E264,cards[object_id order],0)),"")</f>
        <v>#N/A</v>
      </c>
      <c r="L264" t="e">
        <f>IF(D264=Lookup!$G$7,INDEX(cards[name],MATCH('card-code'!E264,cards[object_id order],0)),"")</f>
        <v>#N/A</v>
      </c>
      <c r="M264" t="e">
        <f>IF($D264=Lookup!$L$9,INDEX(cards[icon],MATCH($E264,cards[object_id order],0)),"")</f>
        <v>#N/A</v>
      </c>
      <c r="N264" t="e">
        <f>IF(OR(D264=Lookup!$G$10,D264=Lookup!$G$11),INDEX(cards[[1]:[25]],MATCH($E264,cards[object_id order],0),'card-code'!G264),"")</f>
        <v>#N/A</v>
      </c>
      <c r="O264" t="str">
        <f t="shared" si="13"/>
        <v/>
      </c>
      <c r="P264" s="8" t="e">
        <f>INDEX(Lookup!$H$5:$H$11,MATCH(D264,Lookup!$G$5:$G$11,0))&amp;
K264&amp;L264&amp;M264&amp;N264&amp;
INDEX(Lookup!$I$5:$I$11,MATCH(D264,Lookup!$G$5:$G$11,0))</f>
        <v>#N/A</v>
      </c>
    </row>
    <row r="265" spans="2:16" x14ac:dyDescent="0.45">
      <c r="B265">
        <f t="shared" si="12"/>
        <v>263</v>
      </c>
      <c r="C265" t="e">
        <f t="shared" si="14"/>
        <v>#N/A</v>
      </c>
      <c r="D265" t="e">
        <f>VLOOKUP(C265,Lookup!$F$5:$G$11,2,FALSE)</f>
        <v>#N/A</v>
      </c>
      <c r="E265" t="e">
        <f>IF(D265=Lookup!$G$5,E264+1,E264)</f>
        <v>#N/A</v>
      </c>
      <c r="F265" s="3" t="e">
        <f>INDEX(cards[Entities count],MATCH('card-code'!E265,cards[object_id order],0))</f>
        <v>#N/A</v>
      </c>
      <c r="G265" t="e">
        <f>IF(D264=Lookup!$G$9,1,IF(D264=Lookup!$G$10,G264+1,""))</f>
        <v>#N/A</v>
      </c>
      <c r="H265" t="e">
        <f>IF(F265=1,  IF(D265=Lookup!$G$9,2,1),  IF(G265&lt;F265-1,0,1)  )</f>
        <v>#N/A</v>
      </c>
      <c r="I265" t="e">
        <f>IF(D265&lt;&gt;Lookup!$G$7,0,IF(INDEX(cards[name],MATCH(E265,cards[object_id order],0))&lt;&gt;"",0,1))</f>
        <v>#N/A</v>
      </c>
      <c r="J265" t="e">
        <f>IF(D265&lt;&gt;Lookup!$G$7,0,IF(INDEX(cards[icon],MATCH(E265,cards[object_id order],0))&lt;&gt;"",0,1))</f>
        <v>#N/A</v>
      </c>
      <c r="K265" t="e">
        <f>IF(D265=Lookup!$G$6,INDEX(cards[object_id],MATCH('card-code'!E265,cards[object_id order],0)),"")</f>
        <v>#N/A</v>
      </c>
      <c r="L265" t="e">
        <f>IF(D265=Lookup!$G$7,INDEX(cards[name],MATCH('card-code'!E265,cards[object_id order],0)),"")</f>
        <v>#N/A</v>
      </c>
      <c r="M265" t="e">
        <f>IF($D265=Lookup!$L$9,INDEX(cards[icon],MATCH($E265,cards[object_id order],0)),"")</f>
        <v>#N/A</v>
      </c>
      <c r="N265" t="e">
        <f>IF(OR(D265=Lookup!$G$10,D265=Lookup!$G$11),INDEX(cards[[1]:[25]],MATCH($E265,cards[object_id order],0),'card-code'!G265),"")</f>
        <v>#N/A</v>
      </c>
      <c r="O265" t="str">
        <f t="shared" si="13"/>
        <v/>
      </c>
      <c r="P265" s="8" t="e">
        <f>INDEX(Lookup!$H$5:$H$11,MATCH(D265,Lookup!$G$5:$G$11,0))&amp;
K265&amp;L265&amp;M265&amp;N265&amp;
INDEX(Lookup!$I$5:$I$11,MATCH(D265,Lookup!$G$5:$G$11,0))</f>
        <v>#N/A</v>
      </c>
    </row>
    <row r="266" spans="2:16" x14ac:dyDescent="0.45">
      <c r="B266">
        <f t="shared" si="12"/>
        <v>264</v>
      </c>
      <c r="C266" t="e">
        <f t="shared" si="14"/>
        <v>#N/A</v>
      </c>
      <c r="D266" t="e">
        <f>VLOOKUP(C266,Lookup!$F$5:$G$11,2,FALSE)</f>
        <v>#N/A</v>
      </c>
      <c r="E266" t="e">
        <f>IF(D266=Lookup!$G$5,E265+1,E265)</f>
        <v>#N/A</v>
      </c>
      <c r="F266" s="3" t="e">
        <f>INDEX(cards[Entities count],MATCH('card-code'!E266,cards[object_id order],0))</f>
        <v>#N/A</v>
      </c>
      <c r="G266" t="e">
        <f>IF(D265=Lookup!$G$9,1,IF(D265=Lookup!$G$10,G265+1,""))</f>
        <v>#N/A</v>
      </c>
      <c r="H266" t="e">
        <f>IF(F266=1,  IF(D266=Lookup!$G$9,2,1),  IF(G266&lt;F266-1,0,1)  )</f>
        <v>#N/A</v>
      </c>
      <c r="I266" t="e">
        <f>IF(D266&lt;&gt;Lookup!$G$7,0,IF(INDEX(cards[name],MATCH(E266,cards[object_id order],0))&lt;&gt;"",0,1))</f>
        <v>#N/A</v>
      </c>
      <c r="J266" t="e">
        <f>IF(D266&lt;&gt;Lookup!$G$7,0,IF(INDEX(cards[icon],MATCH(E266,cards[object_id order],0))&lt;&gt;"",0,1))</f>
        <v>#N/A</v>
      </c>
      <c r="K266" t="e">
        <f>IF(D266=Lookup!$G$6,INDEX(cards[object_id],MATCH('card-code'!E266,cards[object_id order],0)),"")</f>
        <v>#N/A</v>
      </c>
      <c r="L266" t="e">
        <f>IF(D266=Lookup!$G$7,INDEX(cards[name],MATCH('card-code'!E266,cards[object_id order],0)),"")</f>
        <v>#N/A</v>
      </c>
      <c r="M266" t="e">
        <f>IF($D266=Lookup!$L$9,INDEX(cards[icon],MATCH($E266,cards[object_id order],0)),"")</f>
        <v>#N/A</v>
      </c>
      <c r="N266" t="e">
        <f>IF(OR(D266=Lookup!$G$10,D266=Lookup!$G$11),INDEX(cards[[1]:[25]],MATCH($E266,cards[object_id order],0),'card-code'!G266),"")</f>
        <v>#N/A</v>
      </c>
      <c r="O266" t="str">
        <f t="shared" si="13"/>
        <v/>
      </c>
      <c r="P266" s="8" t="e">
        <f>INDEX(Lookup!$H$5:$H$11,MATCH(D266,Lookup!$G$5:$G$11,0))&amp;
K266&amp;L266&amp;M266&amp;N266&amp;
INDEX(Lookup!$I$5:$I$11,MATCH(D266,Lookup!$G$5:$G$11,0))</f>
        <v>#N/A</v>
      </c>
    </row>
    <row r="267" spans="2:16" x14ac:dyDescent="0.45">
      <c r="B267">
        <f t="shared" si="12"/>
        <v>265</v>
      </c>
      <c r="C267" t="e">
        <f t="shared" si="14"/>
        <v>#N/A</v>
      </c>
      <c r="D267" t="e">
        <f>VLOOKUP(C267,Lookup!$F$5:$G$11,2,FALSE)</f>
        <v>#N/A</v>
      </c>
      <c r="E267" t="e">
        <f>IF(D267=Lookup!$G$5,E266+1,E266)</f>
        <v>#N/A</v>
      </c>
      <c r="F267" s="3" t="e">
        <f>INDEX(cards[Entities count],MATCH('card-code'!E267,cards[object_id order],0))</f>
        <v>#N/A</v>
      </c>
      <c r="G267" t="e">
        <f>IF(D266=Lookup!$G$9,1,IF(D266=Lookup!$G$10,G266+1,""))</f>
        <v>#N/A</v>
      </c>
      <c r="H267" t="e">
        <f>IF(F267=1,  IF(D267=Lookup!$G$9,2,1),  IF(G267&lt;F267-1,0,1)  )</f>
        <v>#N/A</v>
      </c>
      <c r="I267" t="e">
        <f>IF(D267&lt;&gt;Lookup!$G$7,0,IF(INDEX(cards[name],MATCH(E267,cards[object_id order],0))&lt;&gt;"",0,1))</f>
        <v>#N/A</v>
      </c>
      <c r="J267" t="e">
        <f>IF(D267&lt;&gt;Lookup!$G$7,0,IF(INDEX(cards[icon],MATCH(E267,cards[object_id order],0))&lt;&gt;"",0,1))</f>
        <v>#N/A</v>
      </c>
      <c r="K267" t="e">
        <f>IF(D267=Lookup!$G$6,INDEX(cards[object_id],MATCH('card-code'!E267,cards[object_id order],0)),"")</f>
        <v>#N/A</v>
      </c>
      <c r="L267" t="e">
        <f>IF(D267=Lookup!$G$7,INDEX(cards[name],MATCH('card-code'!E267,cards[object_id order],0)),"")</f>
        <v>#N/A</v>
      </c>
      <c r="M267" t="e">
        <f>IF($D267=Lookup!$L$9,INDEX(cards[icon],MATCH($E267,cards[object_id order],0)),"")</f>
        <v>#N/A</v>
      </c>
      <c r="N267" t="e">
        <f>IF(OR(D267=Lookup!$G$10,D267=Lookup!$G$11),INDEX(cards[[1]:[25]],MATCH($E267,cards[object_id order],0),'card-code'!G267),"")</f>
        <v>#N/A</v>
      </c>
      <c r="O267" t="str">
        <f t="shared" si="13"/>
        <v/>
      </c>
      <c r="P267" s="8" t="e">
        <f>INDEX(Lookup!$H$5:$H$11,MATCH(D267,Lookup!$G$5:$G$11,0))&amp;
K267&amp;L267&amp;M267&amp;N267&amp;
INDEX(Lookup!$I$5:$I$11,MATCH(D267,Lookup!$G$5:$G$11,0))</f>
        <v>#N/A</v>
      </c>
    </row>
    <row r="268" spans="2:16" x14ac:dyDescent="0.45">
      <c r="B268">
        <f t="shared" si="12"/>
        <v>266</v>
      </c>
      <c r="C268" t="e">
        <f t="shared" si="14"/>
        <v>#N/A</v>
      </c>
      <c r="D268" t="e">
        <f>VLOOKUP(C268,Lookup!$F$5:$G$11,2,FALSE)</f>
        <v>#N/A</v>
      </c>
      <c r="E268" t="e">
        <f>IF(D268=Lookup!$G$5,E267+1,E267)</f>
        <v>#N/A</v>
      </c>
      <c r="F268" s="3" t="e">
        <f>INDEX(cards[Entities count],MATCH('card-code'!E268,cards[object_id order],0))</f>
        <v>#N/A</v>
      </c>
      <c r="G268" t="e">
        <f>IF(D267=Lookup!$G$9,1,IF(D267=Lookup!$G$10,G267+1,""))</f>
        <v>#N/A</v>
      </c>
      <c r="H268" t="e">
        <f>IF(F268=1,  IF(D268=Lookup!$G$9,2,1),  IF(G268&lt;F268-1,0,1)  )</f>
        <v>#N/A</v>
      </c>
      <c r="I268" t="e">
        <f>IF(D268&lt;&gt;Lookup!$G$7,0,IF(INDEX(cards[name],MATCH(E268,cards[object_id order],0))&lt;&gt;"",0,1))</f>
        <v>#N/A</v>
      </c>
      <c r="J268" t="e">
        <f>IF(D268&lt;&gt;Lookup!$G$7,0,IF(INDEX(cards[icon],MATCH(E268,cards[object_id order],0))&lt;&gt;"",0,1))</f>
        <v>#N/A</v>
      </c>
      <c r="K268" t="e">
        <f>IF(D268=Lookup!$G$6,INDEX(cards[object_id],MATCH('card-code'!E268,cards[object_id order],0)),"")</f>
        <v>#N/A</v>
      </c>
      <c r="L268" t="e">
        <f>IF(D268=Lookup!$G$7,INDEX(cards[name],MATCH('card-code'!E268,cards[object_id order],0)),"")</f>
        <v>#N/A</v>
      </c>
      <c r="M268" t="e">
        <f>IF($D268=Lookup!$L$9,INDEX(cards[icon],MATCH($E268,cards[object_id order],0)),"")</f>
        <v>#N/A</v>
      </c>
      <c r="N268" t="e">
        <f>IF(OR(D268=Lookup!$G$10,D268=Lookup!$G$11),INDEX(cards[[1]:[25]],MATCH($E268,cards[object_id order],0),'card-code'!G268),"")</f>
        <v>#N/A</v>
      </c>
      <c r="O268" t="str">
        <f t="shared" si="13"/>
        <v/>
      </c>
      <c r="P268" s="8" t="e">
        <f>INDEX(Lookup!$H$5:$H$11,MATCH(D268,Lookup!$G$5:$G$11,0))&amp;
K268&amp;L268&amp;M268&amp;N268&amp;
INDEX(Lookup!$I$5:$I$11,MATCH(D268,Lookup!$G$5:$G$11,0))</f>
        <v>#N/A</v>
      </c>
    </row>
    <row r="269" spans="2:16" x14ac:dyDescent="0.45">
      <c r="B269">
        <f t="shared" si="12"/>
        <v>267</v>
      </c>
      <c r="C269" t="e">
        <f t="shared" si="14"/>
        <v>#N/A</v>
      </c>
      <c r="D269" t="e">
        <f>VLOOKUP(C269,Lookup!$F$5:$G$11,2,FALSE)</f>
        <v>#N/A</v>
      </c>
      <c r="E269" t="e">
        <f>IF(D269=Lookup!$G$5,E268+1,E268)</f>
        <v>#N/A</v>
      </c>
      <c r="F269" s="3" t="e">
        <f>INDEX(cards[Entities count],MATCH('card-code'!E269,cards[object_id order],0))</f>
        <v>#N/A</v>
      </c>
      <c r="G269" t="e">
        <f>IF(D268=Lookup!$G$9,1,IF(D268=Lookup!$G$10,G268+1,""))</f>
        <v>#N/A</v>
      </c>
      <c r="H269" t="e">
        <f>IF(F269=1,  IF(D269=Lookup!$G$9,2,1),  IF(G269&lt;F269-1,0,1)  )</f>
        <v>#N/A</v>
      </c>
      <c r="I269" t="e">
        <f>IF(D269&lt;&gt;Lookup!$G$7,0,IF(INDEX(cards[name],MATCH(E269,cards[object_id order],0))&lt;&gt;"",0,1))</f>
        <v>#N/A</v>
      </c>
      <c r="J269" t="e">
        <f>IF(D269&lt;&gt;Lookup!$G$7,0,IF(INDEX(cards[icon],MATCH(E269,cards[object_id order],0))&lt;&gt;"",0,1))</f>
        <v>#N/A</v>
      </c>
      <c r="K269" t="e">
        <f>IF(D269=Lookup!$G$6,INDEX(cards[object_id],MATCH('card-code'!E269,cards[object_id order],0)),"")</f>
        <v>#N/A</v>
      </c>
      <c r="L269" t="e">
        <f>IF(D269=Lookup!$G$7,INDEX(cards[name],MATCH('card-code'!E269,cards[object_id order],0)),"")</f>
        <v>#N/A</v>
      </c>
      <c r="M269" t="e">
        <f>IF($D269=Lookup!$L$9,INDEX(cards[icon],MATCH($E269,cards[object_id order],0)),"")</f>
        <v>#N/A</v>
      </c>
      <c r="N269" t="e">
        <f>IF(OR(D269=Lookup!$G$10,D269=Lookup!$G$11),INDEX(cards[[1]:[25]],MATCH($E269,cards[object_id order],0),'card-code'!G269),"")</f>
        <v>#N/A</v>
      </c>
      <c r="O269" t="str">
        <f t="shared" si="13"/>
        <v/>
      </c>
      <c r="P269" s="8" t="e">
        <f>INDEX(Lookup!$H$5:$H$11,MATCH(D269,Lookup!$G$5:$G$11,0))&amp;
K269&amp;L269&amp;M269&amp;N269&amp;
INDEX(Lookup!$I$5:$I$11,MATCH(D269,Lookup!$G$5:$G$11,0))</f>
        <v>#N/A</v>
      </c>
    </row>
    <row r="270" spans="2:16" x14ac:dyDescent="0.45">
      <c r="B270">
        <f t="shared" si="12"/>
        <v>268</v>
      </c>
      <c r="C270" t="e">
        <f t="shared" si="14"/>
        <v>#N/A</v>
      </c>
      <c r="D270" t="e">
        <f>VLOOKUP(C270,Lookup!$F$5:$G$11,2,FALSE)</f>
        <v>#N/A</v>
      </c>
      <c r="E270" t="e">
        <f>IF(D270=Lookup!$G$5,E269+1,E269)</f>
        <v>#N/A</v>
      </c>
      <c r="F270" s="3" t="e">
        <f>INDEX(cards[Entities count],MATCH('card-code'!E270,cards[object_id order],0))</f>
        <v>#N/A</v>
      </c>
      <c r="G270" t="e">
        <f>IF(D269=Lookup!$G$9,1,IF(D269=Lookup!$G$10,G269+1,""))</f>
        <v>#N/A</v>
      </c>
      <c r="H270" t="e">
        <f>IF(F270=1,  IF(D270=Lookup!$G$9,2,1),  IF(G270&lt;F270-1,0,1)  )</f>
        <v>#N/A</v>
      </c>
      <c r="I270" t="e">
        <f>IF(D270&lt;&gt;Lookup!$G$7,0,IF(INDEX(cards[name],MATCH(E270,cards[object_id order],0))&lt;&gt;"",0,1))</f>
        <v>#N/A</v>
      </c>
      <c r="J270" t="e">
        <f>IF(D270&lt;&gt;Lookup!$G$7,0,IF(INDEX(cards[icon],MATCH(E270,cards[object_id order],0))&lt;&gt;"",0,1))</f>
        <v>#N/A</v>
      </c>
      <c r="K270" t="e">
        <f>IF(D270=Lookup!$G$6,INDEX(cards[object_id],MATCH('card-code'!E270,cards[object_id order],0)),"")</f>
        <v>#N/A</v>
      </c>
      <c r="L270" t="e">
        <f>IF(D270=Lookup!$G$7,INDEX(cards[name],MATCH('card-code'!E270,cards[object_id order],0)),"")</f>
        <v>#N/A</v>
      </c>
      <c r="M270" t="e">
        <f>IF($D270=Lookup!$L$9,INDEX(cards[icon],MATCH($E270,cards[object_id order],0)),"")</f>
        <v>#N/A</v>
      </c>
      <c r="N270" t="e">
        <f>IF(OR(D270=Lookup!$G$10,D270=Lookup!$G$11),INDEX(cards[[1]:[25]],MATCH($E270,cards[object_id order],0),'card-code'!G270),"")</f>
        <v>#N/A</v>
      </c>
      <c r="O270" t="str">
        <f t="shared" si="13"/>
        <v/>
      </c>
      <c r="P270" s="8" t="e">
        <f>INDEX(Lookup!$H$5:$H$11,MATCH(D270,Lookup!$G$5:$G$11,0))&amp;
K270&amp;L270&amp;M270&amp;N270&amp;
INDEX(Lookup!$I$5:$I$11,MATCH(D270,Lookup!$G$5:$G$11,0))</f>
        <v>#N/A</v>
      </c>
    </row>
    <row r="271" spans="2:16" x14ac:dyDescent="0.45">
      <c r="B271">
        <f t="shared" si="12"/>
        <v>269</v>
      </c>
      <c r="C271" t="e">
        <f t="shared" si="14"/>
        <v>#N/A</v>
      </c>
      <c r="D271" t="e">
        <f>VLOOKUP(C271,Lookup!$F$5:$G$11,2,FALSE)</f>
        <v>#N/A</v>
      </c>
      <c r="E271" t="e">
        <f>IF(D271=Lookup!$G$5,E270+1,E270)</f>
        <v>#N/A</v>
      </c>
      <c r="F271" s="3" t="e">
        <f>INDEX(cards[Entities count],MATCH('card-code'!E271,cards[object_id order],0))</f>
        <v>#N/A</v>
      </c>
      <c r="G271" t="e">
        <f>IF(D270=Lookup!$G$9,1,IF(D270=Lookup!$G$10,G270+1,""))</f>
        <v>#N/A</v>
      </c>
      <c r="H271" t="e">
        <f>IF(F271=1,  IF(D271=Lookup!$G$9,2,1),  IF(G271&lt;F271-1,0,1)  )</f>
        <v>#N/A</v>
      </c>
      <c r="I271" t="e">
        <f>IF(D271&lt;&gt;Lookup!$G$7,0,IF(INDEX(cards[name],MATCH(E271,cards[object_id order],0))&lt;&gt;"",0,1))</f>
        <v>#N/A</v>
      </c>
      <c r="J271" t="e">
        <f>IF(D271&lt;&gt;Lookup!$G$7,0,IF(INDEX(cards[icon],MATCH(E271,cards[object_id order],0))&lt;&gt;"",0,1))</f>
        <v>#N/A</v>
      </c>
      <c r="K271" t="e">
        <f>IF(D271=Lookup!$G$6,INDEX(cards[object_id],MATCH('card-code'!E271,cards[object_id order],0)),"")</f>
        <v>#N/A</v>
      </c>
      <c r="L271" t="e">
        <f>IF(D271=Lookup!$G$7,INDEX(cards[name],MATCH('card-code'!E271,cards[object_id order],0)),"")</f>
        <v>#N/A</v>
      </c>
      <c r="M271" t="e">
        <f>IF($D271=Lookup!$L$9,INDEX(cards[icon],MATCH($E271,cards[object_id order],0)),"")</f>
        <v>#N/A</v>
      </c>
      <c r="N271" t="e">
        <f>IF(OR(D271=Lookup!$G$10,D271=Lookup!$G$11),INDEX(cards[[1]:[25]],MATCH($E271,cards[object_id order],0),'card-code'!G271),"")</f>
        <v>#N/A</v>
      </c>
      <c r="O271" t="str">
        <f t="shared" si="13"/>
        <v/>
      </c>
      <c r="P271" s="8" t="e">
        <f>INDEX(Lookup!$H$5:$H$11,MATCH(D271,Lookup!$G$5:$G$11,0))&amp;
K271&amp;L271&amp;M271&amp;N271&amp;
INDEX(Lookup!$I$5:$I$11,MATCH(D271,Lookup!$G$5:$G$11,0))</f>
        <v>#N/A</v>
      </c>
    </row>
    <row r="272" spans="2:16" x14ac:dyDescent="0.45">
      <c r="B272">
        <f t="shared" si="12"/>
        <v>270</v>
      </c>
      <c r="C272" t="e">
        <f t="shared" si="14"/>
        <v>#N/A</v>
      </c>
      <c r="D272" t="e">
        <f>VLOOKUP(C272,Lookup!$F$5:$G$11,2,FALSE)</f>
        <v>#N/A</v>
      </c>
      <c r="E272" t="e">
        <f>IF(D272=Lookup!$G$5,E271+1,E271)</f>
        <v>#N/A</v>
      </c>
      <c r="F272" s="3" t="e">
        <f>INDEX(cards[Entities count],MATCH('card-code'!E272,cards[object_id order],0))</f>
        <v>#N/A</v>
      </c>
      <c r="G272" t="e">
        <f>IF(D271=Lookup!$G$9,1,IF(D271=Lookup!$G$10,G271+1,""))</f>
        <v>#N/A</v>
      </c>
      <c r="H272" t="e">
        <f>IF(F272=1,  IF(D272=Lookup!$G$9,2,1),  IF(G272&lt;F272-1,0,1)  )</f>
        <v>#N/A</v>
      </c>
      <c r="I272" t="e">
        <f>IF(D272&lt;&gt;Lookup!$G$7,0,IF(INDEX(cards[name],MATCH(E272,cards[object_id order],0))&lt;&gt;"",0,1))</f>
        <v>#N/A</v>
      </c>
      <c r="J272" t="e">
        <f>IF(D272&lt;&gt;Lookup!$G$7,0,IF(INDEX(cards[icon],MATCH(E272,cards[object_id order],0))&lt;&gt;"",0,1))</f>
        <v>#N/A</v>
      </c>
      <c r="K272" t="e">
        <f>IF(D272=Lookup!$G$6,INDEX(cards[object_id],MATCH('card-code'!E272,cards[object_id order],0)),"")</f>
        <v>#N/A</v>
      </c>
      <c r="L272" t="e">
        <f>IF(D272=Lookup!$G$7,INDEX(cards[name],MATCH('card-code'!E272,cards[object_id order],0)),"")</f>
        <v>#N/A</v>
      </c>
      <c r="M272" t="e">
        <f>IF($D272=Lookup!$L$9,INDEX(cards[icon],MATCH($E272,cards[object_id order],0)),"")</f>
        <v>#N/A</v>
      </c>
      <c r="N272" t="e">
        <f>IF(OR(D272=Lookup!$G$10,D272=Lookup!$G$11),INDEX(cards[[1]:[25]],MATCH($E272,cards[object_id order],0),'card-code'!G272),"")</f>
        <v>#N/A</v>
      </c>
      <c r="O272" t="str">
        <f t="shared" si="13"/>
        <v/>
      </c>
      <c r="P272" s="8" t="e">
        <f>INDEX(Lookup!$H$5:$H$11,MATCH(D272,Lookup!$G$5:$G$11,0))&amp;
K272&amp;L272&amp;M272&amp;N272&amp;
INDEX(Lookup!$I$5:$I$11,MATCH(D272,Lookup!$G$5:$G$11,0))</f>
        <v>#N/A</v>
      </c>
    </row>
    <row r="273" spans="2:16" x14ac:dyDescent="0.45">
      <c r="B273">
        <f t="shared" si="12"/>
        <v>271</v>
      </c>
      <c r="C273" t="e">
        <f t="shared" si="14"/>
        <v>#N/A</v>
      </c>
      <c r="D273" t="e">
        <f>VLOOKUP(C273,Lookup!$F$5:$G$11,2,FALSE)</f>
        <v>#N/A</v>
      </c>
      <c r="E273" t="e">
        <f>IF(D273=Lookup!$G$5,E272+1,E272)</f>
        <v>#N/A</v>
      </c>
      <c r="F273" s="3" t="e">
        <f>INDEX(cards[Entities count],MATCH('card-code'!E273,cards[object_id order],0))</f>
        <v>#N/A</v>
      </c>
      <c r="G273" t="e">
        <f>IF(D272=Lookup!$G$9,1,IF(D272=Lookup!$G$10,G272+1,""))</f>
        <v>#N/A</v>
      </c>
      <c r="H273" t="e">
        <f>IF(F273=1,  IF(D273=Lookup!$G$9,2,1),  IF(G273&lt;F273-1,0,1)  )</f>
        <v>#N/A</v>
      </c>
      <c r="I273" t="e">
        <f>IF(D273&lt;&gt;Lookup!$G$7,0,IF(INDEX(cards[name],MATCH(E273,cards[object_id order],0))&lt;&gt;"",0,1))</f>
        <v>#N/A</v>
      </c>
      <c r="J273" t="e">
        <f>IF(D273&lt;&gt;Lookup!$G$7,0,IF(INDEX(cards[icon],MATCH(E273,cards[object_id order],0))&lt;&gt;"",0,1))</f>
        <v>#N/A</v>
      </c>
      <c r="K273" t="e">
        <f>IF(D273=Lookup!$G$6,INDEX(cards[object_id],MATCH('card-code'!E273,cards[object_id order],0)),"")</f>
        <v>#N/A</v>
      </c>
      <c r="L273" t="e">
        <f>IF(D273=Lookup!$G$7,INDEX(cards[name],MATCH('card-code'!E273,cards[object_id order],0)),"")</f>
        <v>#N/A</v>
      </c>
      <c r="M273" t="e">
        <f>IF($D273=Lookup!$L$9,INDEX(cards[icon],MATCH($E273,cards[object_id order],0)),"")</f>
        <v>#N/A</v>
      </c>
      <c r="N273" t="e">
        <f>IF(OR(D273=Lookup!$G$10,D273=Lookup!$G$11),INDEX(cards[[1]:[25]],MATCH($E273,cards[object_id order],0),'card-code'!G273),"")</f>
        <v>#N/A</v>
      </c>
      <c r="O273" t="str">
        <f t="shared" si="13"/>
        <v/>
      </c>
      <c r="P273" s="8" t="e">
        <f>INDEX(Lookup!$H$5:$H$11,MATCH(D273,Lookup!$G$5:$G$11,0))&amp;
K273&amp;L273&amp;M273&amp;N273&amp;
INDEX(Lookup!$I$5:$I$11,MATCH(D273,Lookup!$G$5:$G$11,0))</f>
        <v>#N/A</v>
      </c>
    </row>
    <row r="274" spans="2:16" x14ac:dyDescent="0.45">
      <c r="B274">
        <f t="shared" si="12"/>
        <v>272</v>
      </c>
      <c r="C274" t="e">
        <f t="shared" si="14"/>
        <v>#N/A</v>
      </c>
      <c r="D274" t="e">
        <f>VLOOKUP(C274,Lookup!$F$5:$G$11,2,FALSE)</f>
        <v>#N/A</v>
      </c>
      <c r="E274" t="e">
        <f>IF(D274=Lookup!$G$5,E273+1,E273)</f>
        <v>#N/A</v>
      </c>
      <c r="F274" s="3" t="e">
        <f>INDEX(cards[Entities count],MATCH('card-code'!E274,cards[object_id order],0))</f>
        <v>#N/A</v>
      </c>
      <c r="G274" t="e">
        <f>IF(D273=Lookup!$G$9,1,IF(D273=Lookup!$G$10,G273+1,""))</f>
        <v>#N/A</v>
      </c>
      <c r="H274" t="e">
        <f>IF(F274=1,  IF(D274=Lookup!$G$9,2,1),  IF(G274&lt;F274-1,0,1)  )</f>
        <v>#N/A</v>
      </c>
      <c r="I274" t="e">
        <f>IF(D274&lt;&gt;Lookup!$G$7,0,IF(INDEX(cards[name],MATCH(E274,cards[object_id order],0))&lt;&gt;"",0,1))</f>
        <v>#N/A</v>
      </c>
      <c r="J274" t="e">
        <f>IF(D274&lt;&gt;Lookup!$G$7,0,IF(INDEX(cards[icon],MATCH(E274,cards[object_id order],0))&lt;&gt;"",0,1))</f>
        <v>#N/A</v>
      </c>
      <c r="K274" t="e">
        <f>IF(D274=Lookup!$G$6,INDEX(cards[object_id],MATCH('card-code'!E274,cards[object_id order],0)),"")</f>
        <v>#N/A</v>
      </c>
      <c r="L274" t="e">
        <f>IF(D274=Lookup!$G$7,INDEX(cards[name],MATCH('card-code'!E274,cards[object_id order],0)),"")</f>
        <v>#N/A</v>
      </c>
      <c r="M274" t="e">
        <f>IF($D274=Lookup!$L$9,INDEX(cards[icon],MATCH($E274,cards[object_id order],0)),"")</f>
        <v>#N/A</v>
      </c>
      <c r="N274" t="e">
        <f>IF(OR(D274=Lookup!$G$10,D274=Lookup!$G$11),INDEX(cards[[1]:[25]],MATCH($E274,cards[object_id order],0),'card-code'!G274),"")</f>
        <v>#N/A</v>
      </c>
      <c r="O274" t="str">
        <f t="shared" si="13"/>
        <v/>
      </c>
      <c r="P274" s="8" t="e">
        <f>INDEX(Lookup!$H$5:$H$11,MATCH(D274,Lookup!$G$5:$G$11,0))&amp;
K274&amp;L274&amp;M274&amp;N274&amp;
INDEX(Lookup!$I$5:$I$11,MATCH(D274,Lookup!$G$5:$G$11,0))</f>
        <v>#N/A</v>
      </c>
    </row>
    <row r="275" spans="2:16" x14ac:dyDescent="0.45">
      <c r="B275">
        <f t="shared" si="12"/>
        <v>273</v>
      </c>
      <c r="C275" t="e">
        <f t="shared" si="14"/>
        <v>#N/A</v>
      </c>
      <c r="D275" t="e">
        <f>VLOOKUP(C275,Lookup!$F$5:$G$11,2,FALSE)</f>
        <v>#N/A</v>
      </c>
      <c r="E275" t="e">
        <f>IF(D275=Lookup!$G$5,E274+1,E274)</f>
        <v>#N/A</v>
      </c>
      <c r="F275" s="3" t="e">
        <f>INDEX(cards[Entities count],MATCH('card-code'!E275,cards[object_id order],0))</f>
        <v>#N/A</v>
      </c>
      <c r="G275" t="e">
        <f>IF(D274=Lookup!$G$9,1,IF(D274=Lookup!$G$10,G274+1,""))</f>
        <v>#N/A</v>
      </c>
      <c r="H275" t="e">
        <f>IF(F275=1,  IF(D275=Lookup!$G$9,2,1),  IF(G275&lt;F275-1,0,1)  )</f>
        <v>#N/A</v>
      </c>
      <c r="I275" t="e">
        <f>IF(D275&lt;&gt;Lookup!$G$7,0,IF(INDEX(cards[name],MATCH(E275,cards[object_id order],0))&lt;&gt;"",0,1))</f>
        <v>#N/A</v>
      </c>
      <c r="J275" t="e">
        <f>IF(D275&lt;&gt;Lookup!$G$7,0,IF(INDEX(cards[icon],MATCH(E275,cards[object_id order],0))&lt;&gt;"",0,1))</f>
        <v>#N/A</v>
      </c>
      <c r="K275" t="e">
        <f>IF(D275=Lookup!$G$6,INDEX(cards[object_id],MATCH('card-code'!E275,cards[object_id order],0)),"")</f>
        <v>#N/A</v>
      </c>
      <c r="L275" t="e">
        <f>IF(D275=Lookup!$G$7,INDEX(cards[name],MATCH('card-code'!E275,cards[object_id order],0)),"")</f>
        <v>#N/A</v>
      </c>
      <c r="M275" t="e">
        <f>IF($D275=Lookup!$L$9,INDEX(cards[icon],MATCH($E275,cards[object_id order],0)),"")</f>
        <v>#N/A</v>
      </c>
      <c r="N275" t="e">
        <f>IF(OR(D275=Lookup!$G$10,D275=Lookup!$G$11),INDEX(cards[[1]:[25]],MATCH($E275,cards[object_id order],0),'card-code'!G275),"")</f>
        <v>#N/A</v>
      </c>
      <c r="O275" t="str">
        <f t="shared" si="13"/>
        <v/>
      </c>
      <c r="P275" s="8" t="e">
        <f>INDEX(Lookup!$H$5:$H$11,MATCH(D275,Lookup!$G$5:$G$11,0))&amp;
K275&amp;L275&amp;M275&amp;N275&amp;
INDEX(Lookup!$I$5:$I$11,MATCH(D275,Lookup!$G$5:$G$11,0))</f>
        <v>#N/A</v>
      </c>
    </row>
    <row r="276" spans="2:16" x14ac:dyDescent="0.45">
      <c r="B276">
        <f t="shared" si="12"/>
        <v>274</v>
      </c>
      <c r="C276" t="e">
        <f t="shared" si="14"/>
        <v>#N/A</v>
      </c>
      <c r="D276" t="e">
        <f>VLOOKUP(C276,Lookup!$F$5:$G$11,2,FALSE)</f>
        <v>#N/A</v>
      </c>
      <c r="E276" t="e">
        <f>IF(D276=Lookup!$G$5,E275+1,E275)</f>
        <v>#N/A</v>
      </c>
      <c r="F276" s="3" t="e">
        <f>INDEX(cards[Entities count],MATCH('card-code'!E276,cards[object_id order],0))</f>
        <v>#N/A</v>
      </c>
      <c r="G276" t="e">
        <f>IF(D275=Lookup!$G$9,1,IF(D275=Lookup!$G$10,G275+1,""))</f>
        <v>#N/A</v>
      </c>
      <c r="H276" t="e">
        <f>IF(F276=1,  IF(D276=Lookup!$G$9,2,1),  IF(G276&lt;F276-1,0,1)  )</f>
        <v>#N/A</v>
      </c>
      <c r="I276" t="e">
        <f>IF(D276&lt;&gt;Lookup!$G$7,0,IF(INDEX(cards[name],MATCH(E276,cards[object_id order],0))&lt;&gt;"",0,1))</f>
        <v>#N/A</v>
      </c>
      <c r="J276" t="e">
        <f>IF(D276&lt;&gt;Lookup!$G$7,0,IF(INDEX(cards[icon],MATCH(E276,cards[object_id order],0))&lt;&gt;"",0,1))</f>
        <v>#N/A</v>
      </c>
      <c r="K276" t="e">
        <f>IF(D276=Lookup!$G$6,INDEX(cards[object_id],MATCH('card-code'!E276,cards[object_id order],0)),"")</f>
        <v>#N/A</v>
      </c>
      <c r="L276" t="e">
        <f>IF(D276=Lookup!$G$7,INDEX(cards[name],MATCH('card-code'!E276,cards[object_id order],0)),"")</f>
        <v>#N/A</v>
      </c>
      <c r="M276" t="e">
        <f>IF($D276=Lookup!$L$9,INDEX(cards[icon],MATCH($E276,cards[object_id order],0)),"")</f>
        <v>#N/A</v>
      </c>
      <c r="N276" t="e">
        <f>IF(OR(D276=Lookup!$G$10,D276=Lookup!$G$11),INDEX(cards[[1]:[25]],MATCH($E276,cards[object_id order],0),'card-code'!G276),"")</f>
        <v>#N/A</v>
      </c>
      <c r="O276" t="str">
        <f t="shared" si="13"/>
        <v/>
      </c>
      <c r="P276" s="8" t="e">
        <f>INDEX(Lookup!$H$5:$H$11,MATCH(D276,Lookup!$G$5:$G$11,0))&amp;
K276&amp;L276&amp;M276&amp;N276&amp;
INDEX(Lookup!$I$5:$I$11,MATCH(D276,Lookup!$G$5:$G$11,0))</f>
        <v>#N/A</v>
      </c>
    </row>
    <row r="277" spans="2:16" x14ac:dyDescent="0.45">
      <c r="B277">
        <f t="shared" si="12"/>
        <v>275</v>
      </c>
      <c r="C277" t="e">
        <f t="shared" si="14"/>
        <v>#N/A</v>
      </c>
      <c r="D277" t="e">
        <f>VLOOKUP(C277,Lookup!$F$5:$G$11,2,FALSE)</f>
        <v>#N/A</v>
      </c>
      <c r="E277" t="e">
        <f>IF(D277=Lookup!$G$5,E276+1,E276)</f>
        <v>#N/A</v>
      </c>
      <c r="F277" s="3" t="e">
        <f>INDEX(cards[Entities count],MATCH('card-code'!E277,cards[object_id order],0))</f>
        <v>#N/A</v>
      </c>
      <c r="G277" t="e">
        <f>IF(D276=Lookup!$G$9,1,IF(D276=Lookup!$G$10,G276+1,""))</f>
        <v>#N/A</v>
      </c>
      <c r="H277" t="e">
        <f>IF(F277=1,  IF(D277=Lookup!$G$9,2,1),  IF(G277&lt;F277-1,0,1)  )</f>
        <v>#N/A</v>
      </c>
      <c r="I277" t="e">
        <f>IF(D277&lt;&gt;Lookup!$G$7,0,IF(INDEX(cards[name],MATCH(E277,cards[object_id order],0))&lt;&gt;"",0,1))</f>
        <v>#N/A</v>
      </c>
      <c r="J277" t="e">
        <f>IF(D277&lt;&gt;Lookup!$G$7,0,IF(INDEX(cards[icon],MATCH(E277,cards[object_id order],0))&lt;&gt;"",0,1))</f>
        <v>#N/A</v>
      </c>
      <c r="K277" t="e">
        <f>IF(D277=Lookup!$G$6,INDEX(cards[object_id],MATCH('card-code'!E277,cards[object_id order],0)),"")</f>
        <v>#N/A</v>
      </c>
      <c r="L277" t="e">
        <f>IF(D277=Lookup!$G$7,INDEX(cards[name],MATCH('card-code'!E277,cards[object_id order],0)),"")</f>
        <v>#N/A</v>
      </c>
      <c r="M277" t="e">
        <f>IF($D277=Lookup!$L$9,INDEX(cards[icon],MATCH($E277,cards[object_id order],0)),"")</f>
        <v>#N/A</v>
      </c>
      <c r="N277" t="e">
        <f>IF(OR(D277=Lookup!$G$10,D277=Lookup!$G$11),INDEX(cards[[1]:[25]],MATCH($E277,cards[object_id order],0),'card-code'!G277),"")</f>
        <v>#N/A</v>
      </c>
      <c r="O277" t="str">
        <f t="shared" si="13"/>
        <v/>
      </c>
      <c r="P277" s="8" t="e">
        <f>INDEX(Lookup!$H$5:$H$11,MATCH(D277,Lookup!$G$5:$G$11,0))&amp;
K277&amp;L277&amp;M277&amp;N277&amp;
INDEX(Lookup!$I$5:$I$11,MATCH(D277,Lookup!$G$5:$G$11,0))</f>
        <v>#N/A</v>
      </c>
    </row>
    <row r="278" spans="2:16" x14ac:dyDescent="0.45">
      <c r="B278">
        <f t="shared" si="12"/>
        <v>276</v>
      </c>
      <c r="C278" t="e">
        <f t="shared" si="14"/>
        <v>#N/A</v>
      </c>
      <c r="D278" t="e">
        <f>VLOOKUP(C278,Lookup!$F$5:$G$11,2,FALSE)</f>
        <v>#N/A</v>
      </c>
      <c r="E278" t="e">
        <f>IF(D278=Lookup!$G$5,E277+1,E277)</f>
        <v>#N/A</v>
      </c>
      <c r="F278" s="3" t="e">
        <f>INDEX(cards[Entities count],MATCH('card-code'!E278,cards[object_id order],0))</f>
        <v>#N/A</v>
      </c>
      <c r="G278" t="e">
        <f>IF(D277=Lookup!$G$9,1,IF(D277=Lookup!$G$10,G277+1,""))</f>
        <v>#N/A</v>
      </c>
      <c r="H278" t="e">
        <f>IF(F278=1,  IF(D278=Lookup!$G$9,2,1),  IF(G278&lt;F278-1,0,1)  )</f>
        <v>#N/A</v>
      </c>
      <c r="I278" t="e">
        <f>IF(D278&lt;&gt;Lookup!$G$7,0,IF(INDEX(cards[name],MATCH(E278,cards[object_id order],0))&lt;&gt;"",0,1))</f>
        <v>#N/A</v>
      </c>
      <c r="J278" t="e">
        <f>IF(D278&lt;&gt;Lookup!$G$7,0,IF(INDEX(cards[icon],MATCH(E278,cards[object_id order],0))&lt;&gt;"",0,1))</f>
        <v>#N/A</v>
      </c>
      <c r="K278" t="e">
        <f>IF(D278=Lookup!$G$6,INDEX(cards[object_id],MATCH('card-code'!E278,cards[object_id order],0)),"")</f>
        <v>#N/A</v>
      </c>
      <c r="L278" t="e">
        <f>IF(D278=Lookup!$G$7,INDEX(cards[name],MATCH('card-code'!E278,cards[object_id order],0)),"")</f>
        <v>#N/A</v>
      </c>
      <c r="M278" t="e">
        <f>IF($D278=Lookup!$L$9,INDEX(cards[icon],MATCH($E278,cards[object_id order],0)),"")</f>
        <v>#N/A</v>
      </c>
      <c r="N278" t="e">
        <f>IF(OR(D278=Lookup!$G$10,D278=Lookup!$G$11),INDEX(cards[[1]:[25]],MATCH($E278,cards[object_id order],0),'card-code'!G278),"")</f>
        <v>#N/A</v>
      </c>
      <c r="O278" t="str">
        <f t="shared" si="13"/>
        <v/>
      </c>
      <c r="P278" s="8" t="e">
        <f>INDEX(Lookup!$H$5:$H$11,MATCH(D278,Lookup!$G$5:$G$11,0))&amp;
K278&amp;L278&amp;M278&amp;N278&amp;
INDEX(Lookup!$I$5:$I$11,MATCH(D278,Lookup!$G$5:$G$11,0))</f>
        <v>#N/A</v>
      </c>
    </row>
    <row r="279" spans="2:16" x14ac:dyDescent="0.45">
      <c r="B279">
        <f t="shared" si="12"/>
        <v>277</v>
      </c>
      <c r="C279" t="e">
        <f t="shared" si="14"/>
        <v>#N/A</v>
      </c>
      <c r="D279" t="e">
        <f>VLOOKUP(C279,Lookup!$F$5:$G$11,2,FALSE)</f>
        <v>#N/A</v>
      </c>
      <c r="E279" t="e">
        <f>IF(D279=Lookup!$G$5,E278+1,E278)</f>
        <v>#N/A</v>
      </c>
      <c r="F279" s="3" t="e">
        <f>INDEX(cards[Entities count],MATCH('card-code'!E279,cards[object_id order],0))</f>
        <v>#N/A</v>
      </c>
      <c r="G279" t="e">
        <f>IF(D278=Lookup!$G$9,1,IF(D278=Lookup!$G$10,G278+1,""))</f>
        <v>#N/A</v>
      </c>
      <c r="H279" t="e">
        <f>IF(F279=1,  IF(D279=Lookup!$G$9,2,1),  IF(G279&lt;F279-1,0,1)  )</f>
        <v>#N/A</v>
      </c>
      <c r="I279" t="e">
        <f>IF(D279&lt;&gt;Lookup!$G$7,0,IF(INDEX(cards[name],MATCH(E279,cards[object_id order],0))&lt;&gt;"",0,1))</f>
        <v>#N/A</v>
      </c>
      <c r="J279" t="e">
        <f>IF(D279&lt;&gt;Lookup!$G$7,0,IF(INDEX(cards[icon],MATCH(E279,cards[object_id order],0))&lt;&gt;"",0,1))</f>
        <v>#N/A</v>
      </c>
      <c r="K279" t="e">
        <f>IF(D279=Lookup!$G$6,INDEX(cards[object_id],MATCH('card-code'!E279,cards[object_id order],0)),"")</f>
        <v>#N/A</v>
      </c>
      <c r="L279" t="e">
        <f>IF(D279=Lookup!$G$7,INDEX(cards[name],MATCH('card-code'!E279,cards[object_id order],0)),"")</f>
        <v>#N/A</v>
      </c>
      <c r="M279" t="e">
        <f>IF($D279=Lookup!$L$9,INDEX(cards[icon],MATCH($E279,cards[object_id order],0)),"")</f>
        <v>#N/A</v>
      </c>
      <c r="N279" t="e">
        <f>IF(OR(D279=Lookup!$G$10,D279=Lookup!$G$11),INDEX(cards[[1]:[25]],MATCH($E279,cards[object_id order],0),'card-code'!G279),"")</f>
        <v>#N/A</v>
      </c>
      <c r="O279" t="str">
        <f t="shared" si="13"/>
        <v/>
      </c>
      <c r="P279" s="8" t="e">
        <f>INDEX(Lookup!$H$5:$H$11,MATCH(D279,Lookup!$G$5:$G$11,0))&amp;
K279&amp;L279&amp;M279&amp;N279&amp;
INDEX(Lookup!$I$5:$I$11,MATCH(D279,Lookup!$G$5:$G$11,0))</f>
        <v>#N/A</v>
      </c>
    </row>
    <row r="280" spans="2:16" x14ac:dyDescent="0.45">
      <c r="B280">
        <f t="shared" si="12"/>
        <v>278</v>
      </c>
      <c r="C280" t="e">
        <f t="shared" si="14"/>
        <v>#N/A</v>
      </c>
      <c r="D280" t="e">
        <f>VLOOKUP(C280,Lookup!$F$5:$G$11,2,FALSE)</f>
        <v>#N/A</v>
      </c>
      <c r="E280" t="e">
        <f>IF(D280=Lookup!$G$5,E279+1,E279)</f>
        <v>#N/A</v>
      </c>
      <c r="F280" s="3" t="e">
        <f>INDEX(cards[Entities count],MATCH('card-code'!E280,cards[object_id order],0))</f>
        <v>#N/A</v>
      </c>
      <c r="G280" t="e">
        <f>IF(D279=Lookup!$G$9,1,IF(D279=Lookup!$G$10,G279+1,""))</f>
        <v>#N/A</v>
      </c>
      <c r="H280" t="e">
        <f>IF(F280=1,  IF(D280=Lookup!$G$9,2,1),  IF(G280&lt;F280-1,0,1)  )</f>
        <v>#N/A</v>
      </c>
      <c r="I280" t="e">
        <f>IF(D280&lt;&gt;Lookup!$G$7,0,IF(INDEX(cards[name],MATCH(E280,cards[object_id order],0))&lt;&gt;"",0,1))</f>
        <v>#N/A</v>
      </c>
      <c r="J280" t="e">
        <f>IF(D280&lt;&gt;Lookup!$G$7,0,IF(INDEX(cards[icon],MATCH(E280,cards[object_id order],0))&lt;&gt;"",0,1))</f>
        <v>#N/A</v>
      </c>
      <c r="K280" t="e">
        <f>IF(D280=Lookup!$G$6,INDEX(cards[object_id],MATCH('card-code'!E280,cards[object_id order],0)),"")</f>
        <v>#N/A</v>
      </c>
      <c r="L280" t="e">
        <f>IF(D280=Lookup!$G$7,INDEX(cards[name],MATCH('card-code'!E280,cards[object_id order],0)),"")</f>
        <v>#N/A</v>
      </c>
      <c r="M280" t="e">
        <f>IF($D280=Lookup!$L$9,INDEX(cards[icon],MATCH($E280,cards[object_id order],0)),"")</f>
        <v>#N/A</v>
      </c>
      <c r="N280" t="e">
        <f>IF(OR(D280=Lookup!$G$10,D280=Lookup!$G$11),INDEX(cards[[1]:[25]],MATCH($E280,cards[object_id order],0),'card-code'!G280),"")</f>
        <v>#N/A</v>
      </c>
      <c r="O280" t="str">
        <f t="shared" si="13"/>
        <v/>
      </c>
      <c r="P280" s="8" t="e">
        <f>INDEX(Lookup!$H$5:$H$11,MATCH(D280,Lookup!$G$5:$G$11,0))&amp;
K280&amp;L280&amp;M280&amp;N280&amp;
INDEX(Lookup!$I$5:$I$11,MATCH(D280,Lookup!$G$5:$G$11,0))</f>
        <v>#N/A</v>
      </c>
    </row>
    <row r="281" spans="2:16" x14ac:dyDescent="0.45">
      <c r="B281">
        <f t="shared" si="12"/>
        <v>279</v>
      </c>
      <c r="C281" t="e">
        <f t="shared" si="14"/>
        <v>#N/A</v>
      </c>
      <c r="D281" t="e">
        <f>VLOOKUP(C281,Lookup!$F$5:$G$11,2,FALSE)</f>
        <v>#N/A</v>
      </c>
      <c r="E281" t="e">
        <f>IF(D281=Lookup!$G$5,E280+1,E280)</f>
        <v>#N/A</v>
      </c>
      <c r="F281" s="3" t="e">
        <f>INDEX(cards[Entities count],MATCH('card-code'!E281,cards[object_id order],0))</f>
        <v>#N/A</v>
      </c>
      <c r="G281" t="e">
        <f>IF(D280=Lookup!$G$9,1,IF(D280=Lookup!$G$10,G280+1,""))</f>
        <v>#N/A</v>
      </c>
      <c r="H281" t="e">
        <f>IF(F281=1,  IF(D281=Lookup!$G$9,2,1),  IF(G281&lt;F281-1,0,1)  )</f>
        <v>#N/A</v>
      </c>
      <c r="I281" t="e">
        <f>IF(D281&lt;&gt;Lookup!$G$7,0,IF(INDEX(cards[name],MATCH(E281,cards[object_id order],0))&lt;&gt;"",0,1))</f>
        <v>#N/A</v>
      </c>
      <c r="J281" t="e">
        <f>IF(D281&lt;&gt;Lookup!$G$7,0,IF(INDEX(cards[icon],MATCH(E281,cards[object_id order],0))&lt;&gt;"",0,1))</f>
        <v>#N/A</v>
      </c>
      <c r="K281" t="e">
        <f>IF(D281=Lookup!$G$6,INDEX(cards[object_id],MATCH('card-code'!E281,cards[object_id order],0)),"")</f>
        <v>#N/A</v>
      </c>
      <c r="L281" t="e">
        <f>IF(D281=Lookup!$G$7,INDEX(cards[name],MATCH('card-code'!E281,cards[object_id order],0)),"")</f>
        <v>#N/A</v>
      </c>
      <c r="M281" t="e">
        <f>IF($D281=Lookup!$L$9,INDEX(cards[icon],MATCH($E281,cards[object_id order],0)),"")</f>
        <v>#N/A</v>
      </c>
      <c r="N281" t="e">
        <f>IF(OR(D281=Lookup!$G$10,D281=Lookup!$G$11),INDEX(cards[[1]:[25]],MATCH($E281,cards[object_id order],0),'card-code'!G281),"")</f>
        <v>#N/A</v>
      </c>
      <c r="O281" t="str">
        <f t="shared" si="13"/>
        <v/>
      </c>
      <c r="P281" s="8" t="e">
        <f>INDEX(Lookup!$H$5:$H$11,MATCH(D281,Lookup!$G$5:$G$11,0))&amp;
K281&amp;L281&amp;M281&amp;N281&amp;
INDEX(Lookup!$I$5:$I$11,MATCH(D281,Lookup!$G$5:$G$11,0))</f>
        <v>#N/A</v>
      </c>
    </row>
    <row r="282" spans="2:16" x14ac:dyDescent="0.45">
      <c r="B282">
        <f t="shared" si="12"/>
        <v>280</v>
      </c>
      <c r="C282" t="e">
        <f t="shared" si="14"/>
        <v>#N/A</v>
      </c>
      <c r="D282" t="e">
        <f>VLOOKUP(C282,Lookup!$F$5:$G$11,2,FALSE)</f>
        <v>#N/A</v>
      </c>
      <c r="E282" t="e">
        <f>IF(D282=Lookup!$G$5,E281+1,E281)</f>
        <v>#N/A</v>
      </c>
      <c r="F282" s="3" t="e">
        <f>INDEX(cards[Entities count],MATCH('card-code'!E282,cards[object_id order],0))</f>
        <v>#N/A</v>
      </c>
      <c r="G282" t="e">
        <f>IF(D281=Lookup!$G$9,1,IF(D281=Lookup!$G$10,G281+1,""))</f>
        <v>#N/A</v>
      </c>
      <c r="H282" t="e">
        <f>IF(F282=1,  IF(D282=Lookup!$G$9,2,1),  IF(G282&lt;F282-1,0,1)  )</f>
        <v>#N/A</v>
      </c>
      <c r="I282" t="e">
        <f>IF(D282&lt;&gt;Lookup!$G$7,0,IF(INDEX(cards[name],MATCH(E282,cards[object_id order],0))&lt;&gt;"",0,1))</f>
        <v>#N/A</v>
      </c>
      <c r="J282" t="e">
        <f>IF(D282&lt;&gt;Lookup!$G$7,0,IF(INDEX(cards[icon],MATCH(E282,cards[object_id order],0))&lt;&gt;"",0,1))</f>
        <v>#N/A</v>
      </c>
      <c r="K282" t="e">
        <f>IF(D282=Lookup!$G$6,INDEX(cards[object_id],MATCH('card-code'!E282,cards[object_id order],0)),"")</f>
        <v>#N/A</v>
      </c>
      <c r="L282" t="e">
        <f>IF(D282=Lookup!$G$7,INDEX(cards[name],MATCH('card-code'!E282,cards[object_id order],0)),"")</f>
        <v>#N/A</v>
      </c>
      <c r="M282" t="e">
        <f>IF($D282=Lookup!$L$9,INDEX(cards[icon],MATCH($E282,cards[object_id order],0)),"")</f>
        <v>#N/A</v>
      </c>
      <c r="N282" t="e">
        <f>IF(OR(D282=Lookup!$G$10,D282=Lookup!$G$11),INDEX(cards[[1]:[25]],MATCH($E282,cards[object_id order],0),'card-code'!G282),"")</f>
        <v>#N/A</v>
      </c>
      <c r="O282" t="str">
        <f t="shared" si="13"/>
        <v/>
      </c>
      <c r="P282" s="8" t="e">
        <f>INDEX(Lookup!$H$5:$H$11,MATCH(D282,Lookup!$G$5:$G$11,0))&amp;
K282&amp;L282&amp;M282&amp;N282&amp;
INDEX(Lookup!$I$5:$I$11,MATCH(D282,Lookup!$G$5:$G$11,0))</f>
        <v>#N/A</v>
      </c>
    </row>
    <row r="283" spans="2:16" x14ac:dyDescent="0.45">
      <c r="B283">
        <f t="shared" si="12"/>
        <v>281</v>
      </c>
      <c r="C283" t="e">
        <f t="shared" si="14"/>
        <v>#N/A</v>
      </c>
      <c r="D283" t="e">
        <f>VLOOKUP(C283,Lookup!$F$5:$G$11,2,FALSE)</f>
        <v>#N/A</v>
      </c>
      <c r="E283" t="e">
        <f>IF(D283=Lookup!$G$5,E282+1,E282)</f>
        <v>#N/A</v>
      </c>
      <c r="F283" s="3" t="e">
        <f>INDEX(cards[Entities count],MATCH('card-code'!E283,cards[object_id order],0))</f>
        <v>#N/A</v>
      </c>
      <c r="G283" t="e">
        <f>IF(D282=Lookup!$G$9,1,IF(D282=Lookup!$G$10,G282+1,""))</f>
        <v>#N/A</v>
      </c>
      <c r="H283" t="e">
        <f>IF(F283=1,  IF(D283=Lookup!$G$9,2,1),  IF(G283&lt;F283-1,0,1)  )</f>
        <v>#N/A</v>
      </c>
      <c r="I283" t="e">
        <f>IF(D283&lt;&gt;Lookup!$G$7,0,IF(INDEX(cards[name],MATCH(E283,cards[object_id order],0))&lt;&gt;"",0,1))</f>
        <v>#N/A</v>
      </c>
      <c r="J283" t="e">
        <f>IF(D283&lt;&gt;Lookup!$G$7,0,IF(INDEX(cards[icon],MATCH(E283,cards[object_id order],0))&lt;&gt;"",0,1))</f>
        <v>#N/A</v>
      </c>
      <c r="K283" t="e">
        <f>IF(D283=Lookup!$G$6,INDEX(cards[object_id],MATCH('card-code'!E283,cards[object_id order],0)),"")</f>
        <v>#N/A</v>
      </c>
      <c r="L283" t="e">
        <f>IF(D283=Lookup!$G$7,INDEX(cards[name],MATCH('card-code'!E283,cards[object_id order],0)),"")</f>
        <v>#N/A</v>
      </c>
      <c r="M283" t="e">
        <f>IF($D283=Lookup!$L$9,INDEX(cards[icon],MATCH($E283,cards[object_id order],0)),"")</f>
        <v>#N/A</v>
      </c>
      <c r="N283" t="e">
        <f>IF(OR(D283=Lookup!$G$10,D283=Lookup!$G$11),INDEX(cards[[1]:[25]],MATCH($E283,cards[object_id order],0),'card-code'!G283),"")</f>
        <v>#N/A</v>
      </c>
      <c r="O283" t="str">
        <f t="shared" si="13"/>
        <v/>
      </c>
      <c r="P283" s="8" t="e">
        <f>INDEX(Lookup!$H$5:$H$11,MATCH(D283,Lookup!$G$5:$G$11,0))&amp;
K283&amp;L283&amp;M283&amp;N283&amp;
INDEX(Lookup!$I$5:$I$11,MATCH(D283,Lookup!$G$5:$G$11,0))</f>
        <v>#N/A</v>
      </c>
    </row>
    <row r="284" spans="2:16" x14ac:dyDescent="0.45">
      <c r="B284">
        <f t="shared" si="12"/>
        <v>282</v>
      </c>
      <c r="C284" t="e">
        <f t="shared" si="14"/>
        <v>#N/A</v>
      </c>
      <c r="D284" t="e">
        <f>VLOOKUP(C284,Lookup!$F$5:$G$11,2,FALSE)</f>
        <v>#N/A</v>
      </c>
      <c r="E284" t="e">
        <f>IF(D284=Lookup!$G$5,E283+1,E283)</f>
        <v>#N/A</v>
      </c>
      <c r="F284" s="3" t="e">
        <f>INDEX(cards[Entities count],MATCH('card-code'!E284,cards[object_id order],0))</f>
        <v>#N/A</v>
      </c>
      <c r="G284" t="e">
        <f>IF(D283=Lookup!$G$9,1,IF(D283=Lookup!$G$10,G283+1,""))</f>
        <v>#N/A</v>
      </c>
      <c r="H284" t="e">
        <f>IF(F284=1,  IF(D284=Lookup!$G$9,2,1),  IF(G284&lt;F284-1,0,1)  )</f>
        <v>#N/A</v>
      </c>
      <c r="I284" t="e">
        <f>IF(D284&lt;&gt;Lookup!$G$7,0,IF(INDEX(cards[name],MATCH(E284,cards[object_id order],0))&lt;&gt;"",0,1))</f>
        <v>#N/A</v>
      </c>
      <c r="J284" t="e">
        <f>IF(D284&lt;&gt;Lookup!$G$7,0,IF(INDEX(cards[icon],MATCH(E284,cards[object_id order],0))&lt;&gt;"",0,1))</f>
        <v>#N/A</v>
      </c>
      <c r="K284" t="e">
        <f>IF(D284=Lookup!$G$6,INDEX(cards[object_id],MATCH('card-code'!E284,cards[object_id order],0)),"")</f>
        <v>#N/A</v>
      </c>
      <c r="L284" t="e">
        <f>IF(D284=Lookup!$G$7,INDEX(cards[name],MATCH('card-code'!E284,cards[object_id order],0)),"")</f>
        <v>#N/A</v>
      </c>
      <c r="M284" t="e">
        <f>IF($D284=Lookup!$L$9,INDEX(cards[icon],MATCH($E284,cards[object_id order],0)),"")</f>
        <v>#N/A</v>
      </c>
      <c r="N284" t="e">
        <f>IF(OR(D284=Lookup!$G$10,D284=Lookup!$G$11),INDEX(cards[[1]:[25]],MATCH($E284,cards[object_id order],0),'card-code'!G284),"")</f>
        <v>#N/A</v>
      </c>
      <c r="O284" t="str">
        <f t="shared" si="13"/>
        <v/>
      </c>
      <c r="P284" s="8" t="e">
        <f>INDEX(Lookup!$H$5:$H$11,MATCH(D284,Lookup!$G$5:$G$11,0))&amp;
K284&amp;L284&amp;M284&amp;N284&amp;
INDEX(Lookup!$I$5:$I$11,MATCH(D284,Lookup!$G$5:$G$11,0))</f>
        <v>#N/A</v>
      </c>
    </row>
    <row r="285" spans="2:16" x14ac:dyDescent="0.45">
      <c r="B285">
        <f t="shared" si="12"/>
        <v>283</v>
      </c>
      <c r="C285" t="e">
        <f t="shared" si="14"/>
        <v>#N/A</v>
      </c>
      <c r="D285" t="e">
        <f>VLOOKUP(C285,Lookup!$F$5:$G$11,2,FALSE)</f>
        <v>#N/A</v>
      </c>
      <c r="E285" t="e">
        <f>IF(D285=Lookup!$G$5,E284+1,E284)</f>
        <v>#N/A</v>
      </c>
      <c r="F285" s="3" t="e">
        <f>INDEX(cards[Entities count],MATCH('card-code'!E285,cards[object_id order],0))</f>
        <v>#N/A</v>
      </c>
      <c r="G285" t="e">
        <f>IF(D284=Lookup!$G$9,1,IF(D284=Lookup!$G$10,G284+1,""))</f>
        <v>#N/A</v>
      </c>
      <c r="H285" t="e">
        <f>IF(F285=1,  IF(D285=Lookup!$G$9,2,1),  IF(G285&lt;F285-1,0,1)  )</f>
        <v>#N/A</v>
      </c>
      <c r="I285" t="e">
        <f>IF(D285&lt;&gt;Lookup!$G$7,0,IF(INDEX(cards[name],MATCH(E285,cards[object_id order],0))&lt;&gt;"",0,1))</f>
        <v>#N/A</v>
      </c>
      <c r="J285" t="e">
        <f>IF(D285&lt;&gt;Lookup!$G$7,0,IF(INDEX(cards[icon],MATCH(E285,cards[object_id order],0))&lt;&gt;"",0,1))</f>
        <v>#N/A</v>
      </c>
      <c r="K285" t="e">
        <f>IF(D285=Lookup!$G$6,INDEX(cards[object_id],MATCH('card-code'!E285,cards[object_id order],0)),"")</f>
        <v>#N/A</v>
      </c>
      <c r="L285" t="e">
        <f>IF(D285=Lookup!$G$7,INDEX(cards[name],MATCH('card-code'!E285,cards[object_id order],0)),"")</f>
        <v>#N/A</v>
      </c>
      <c r="M285" t="e">
        <f>IF($D285=Lookup!$L$9,INDEX(cards[icon],MATCH($E285,cards[object_id order],0)),"")</f>
        <v>#N/A</v>
      </c>
      <c r="N285" t="e">
        <f>IF(OR(D285=Lookup!$G$10,D285=Lookup!$G$11),INDEX(cards[[1]:[25]],MATCH($E285,cards[object_id order],0),'card-code'!G285),"")</f>
        <v>#N/A</v>
      </c>
      <c r="O285" t="str">
        <f t="shared" si="13"/>
        <v/>
      </c>
      <c r="P285" s="8" t="e">
        <f>INDEX(Lookup!$H$5:$H$11,MATCH(D285,Lookup!$G$5:$G$11,0))&amp;
K285&amp;L285&amp;M285&amp;N285&amp;
INDEX(Lookup!$I$5:$I$11,MATCH(D285,Lookup!$G$5:$G$11,0))</f>
        <v>#N/A</v>
      </c>
    </row>
    <row r="286" spans="2:16" x14ac:dyDescent="0.45">
      <c r="B286">
        <f t="shared" si="12"/>
        <v>284</v>
      </c>
      <c r="C286" t="e">
        <f t="shared" si="14"/>
        <v>#N/A</v>
      </c>
      <c r="D286" t="e">
        <f>VLOOKUP(C286,Lookup!$F$5:$G$11,2,FALSE)</f>
        <v>#N/A</v>
      </c>
      <c r="E286" t="e">
        <f>IF(D286=Lookup!$G$5,E285+1,E285)</f>
        <v>#N/A</v>
      </c>
      <c r="F286" s="3" t="e">
        <f>INDEX(cards[Entities count],MATCH('card-code'!E286,cards[object_id order],0))</f>
        <v>#N/A</v>
      </c>
      <c r="G286" t="e">
        <f>IF(D285=Lookup!$G$9,1,IF(D285=Lookup!$G$10,G285+1,""))</f>
        <v>#N/A</v>
      </c>
      <c r="H286" t="e">
        <f>IF(F286=1,  IF(D286=Lookup!$G$9,2,1),  IF(G286&lt;F286-1,0,1)  )</f>
        <v>#N/A</v>
      </c>
      <c r="I286" t="e">
        <f>IF(D286&lt;&gt;Lookup!$G$7,0,IF(INDEX(cards[name],MATCH(E286,cards[object_id order],0))&lt;&gt;"",0,1))</f>
        <v>#N/A</v>
      </c>
      <c r="J286" t="e">
        <f>IF(D286&lt;&gt;Lookup!$G$7,0,IF(INDEX(cards[icon],MATCH(E286,cards[object_id order],0))&lt;&gt;"",0,1))</f>
        <v>#N/A</v>
      </c>
      <c r="K286" t="e">
        <f>IF(D286=Lookup!$G$6,INDEX(cards[object_id],MATCH('card-code'!E286,cards[object_id order],0)),"")</f>
        <v>#N/A</v>
      </c>
      <c r="L286" t="e">
        <f>IF(D286=Lookup!$G$7,INDEX(cards[name],MATCH('card-code'!E286,cards[object_id order],0)),"")</f>
        <v>#N/A</v>
      </c>
      <c r="M286" t="e">
        <f>IF($D286=Lookup!$L$9,INDEX(cards[icon],MATCH($E286,cards[object_id order],0)),"")</f>
        <v>#N/A</v>
      </c>
      <c r="N286" t="e">
        <f>IF(OR(D286=Lookup!$G$10,D286=Lookup!$G$11),INDEX(cards[[1]:[25]],MATCH($E286,cards[object_id order],0),'card-code'!G286),"")</f>
        <v>#N/A</v>
      </c>
      <c r="O286" t="str">
        <f t="shared" si="13"/>
        <v/>
      </c>
      <c r="P286" s="8" t="e">
        <f>INDEX(Lookup!$H$5:$H$11,MATCH(D286,Lookup!$G$5:$G$11,0))&amp;
K286&amp;L286&amp;M286&amp;N286&amp;
INDEX(Lookup!$I$5:$I$11,MATCH(D286,Lookup!$G$5:$G$11,0))</f>
        <v>#N/A</v>
      </c>
    </row>
    <row r="287" spans="2:16" x14ac:dyDescent="0.45">
      <c r="B287">
        <f t="shared" si="12"/>
        <v>285</v>
      </c>
      <c r="C287" t="e">
        <f t="shared" si="14"/>
        <v>#N/A</v>
      </c>
      <c r="D287" t="e">
        <f>VLOOKUP(C287,Lookup!$F$5:$G$11,2,FALSE)</f>
        <v>#N/A</v>
      </c>
      <c r="E287" t="e">
        <f>IF(D287=Lookup!$G$5,E286+1,E286)</f>
        <v>#N/A</v>
      </c>
      <c r="F287" s="3" t="e">
        <f>INDEX(cards[Entities count],MATCH('card-code'!E287,cards[object_id order],0))</f>
        <v>#N/A</v>
      </c>
      <c r="G287" t="e">
        <f>IF(D286=Lookup!$G$9,1,IF(D286=Lookup!$G$10,G286+1,""))</f>
        <v>#N/A</v>
      </c>
      <c r="H287" t="e">
        <f>IF(F287=1,  IF(D287=Lookup!$G$9,2,1),  IF(G287&lt;F287-1,0,1)  )</f>
        <v>#N/A</v>
      </c>
      <c r="I287" t="e">
        <f>IF(D287&lt;&gt;Lookup!$G$7,0,IF(INDEX(cards[name],MATCH(E287,cards[object_id order],0))&lt;&gt;"",0,1))</f>
        <v>#N/A</v>
      </c>
      <c r="J287" t="e">
        <f>IF(D287&lt;&gt;Lookup!$G$7,0,IF(INDEX(cards[icon],MATCH(E287,cards[object_id order],0))&lt;&gt;"",0,1))</f>
        <v>#N/A</v>
      </c>
      <c r="K287" t="e">
        <f>IF(D287=Lookup!$G$6,INDEX(cards[object_id],MATCH('card-code'!E287,cards[object_id order],0)),"")</f>
        <v>#N/A</v>
      </c>
      <c r="L287" t="e">
        <f>IF(D287=Lookup!$G$7,INDEX(cards[name],MATCH('card-code'!E287,cards[object_id order],0)),"")</f>
        <v>#N/A</v>
      </c>
      <c r="M287" t="e">
        <f>IF($D287=Lookup!$L$9,INDEX(cards[icon],MATCH($E287,cards[object_id order],0)),"")</f>
        <v>#N/A</v>
      </c>
      <c r="N287" t="e">
        <f>IF(OR(D287=Lookup!$G$10,D287=Lookup!$G$11),INDEX(cards[[1]:[25]],MATCH($E287,cards[object_id order],0),'card-code'!G287),"")</f>
        <v>#N/A</v>
      </c>
      <c r="O287" t="str">
        <f t="shared" si="13"/>
        <v/>
      </c>
      <c r="P287" s="8" t="e">
        <f>INDEX(Lookup!$H$5:$H$11,MATCH(D287,Lookup!$G$5:$G$11,0))&amp;
K287&amp;L287&amp;M287&amp;N287&amp;
INDEX(Lookup!$I$5:$I$11,MATCH(D287,Lookup!$G$5:$G$11,0))</f>
        <v>#N/A</v>
      </c>
    </row>
    <row r="288" spans="2:16" x14ac:dyDescent="0.45">
      <c r="B288">
        <f t="shared" si="12"/>
        <v>286</v>
      </c>
      <c r="C288" t="e">
        <f t="shared" si="14"/>
        <v>#N/A</v>
      </c>
      <c r="D288" t="e">
        <f>VLOOKUP(C288,Lookup!$F$5:$G$11,2,FALSE)</f>
        <v>#N/A</v>
      </c>
      <c r="E288" t="e">
        <f>IF(D288=Lookup!$G$5,E287+1,E287)</f>
        <v>#N/A</v>
      </c>
      <c r="F288" s="3" t="e">
        <f>INDEX(cards[Entities count],MATCH('card-code'!E288,cards[object_id order],0))</f>
        <v>#N/A</v>
      </c>
      <c r="G288" t="e">
        <f>IF(D287=Lookup!$G$9,1,IF(D287=Lookup!$G$10,G287+1,""))</f>
        <v>#N/A</v>
      </c>
      <c r="H288" t="e">
        <f>IF(F288=1,  IF(D288=Lookup!$G$9,2,1),  IF(G288&lt;F288-1,0,1)  )</f>
        <v>#N/A</v>
      </c>
      <c r="I288" t="e">
        <f>IF(D288&lt;&gt;Lookup!$G$7,0,IF(INDEX(cards[name],MATCH(E288,cards[object_id order],0))&lt;&gt;"",0,1))</f>
        <v>#N/A</v>
      </c>
      <c r="J288" t="e">
        <f>IF(D288&lt;&gt;Lookup!$G$7,0,IF(INDEX(cards[icon],MATCH(E288,cards[object_id order],0))&lt;&gt;"",0,1))</f>
        <v>#N/A</v>
      </c>
      <c r="K288" t="e">
        <f>IF(D288=Lookup!$G$6,INDEX(cards[object_id],MATCH('card-code'!E288,cards[object_id order],0)),"")</f>
        <v>#N/A</v>
      </c>
      <c r="L288" t="e">
        <f>IF(D288=Lookup!$G$7,INDEX(cards[name],MATCH('card-code'!E288,cards[object_id order],0)),"")</f>
        <v>#N/A</v>
      </c>
      <c r="M288" t="e">
        <f>IF($D288=Lookup!$L$9,INDEX(cards[icon],MATCH($E288,cards[object_id order],0)),"")</f>
        <v>#N/A</v>
      </c>
      <c r="N288" t="e">
        <f>IF(OR(D288=Lookup!$G$10,D288=Lookup!$G$11),INDEX(cards[[1]:[25]],MATCH($E288,cards[object_id order],0),'card-code'!G288),"")</f>
        <v>#N/A</v>
      </c>
      <c r="O288" t="str">
        <f t="shared" si="13"/>
        <v/>
      </c>
      <c r="P288" s="8" t="e">
        <f>INDEX(Lookup!$H$5:$H$11,MATCH(D288,Lookup!$G$5:$G$11,0))&amp;
K288&amp;L288&amp;M288&amp;N288&amp;
INDEX(Lookup!$I$5:$I$11,MATCH(D288,Lookup!$G$5:$G$11,0))</f>
        <v>#N/A</v>
      </c>
    </row>
    <row r="289" spans="2:16" x14ac:dyDescent="0.45">
      <c r="B289">
        <f t="shared" si="12"/>
        <v>287</v>
      </c>
      <c r="C289" t="e">
        <f t="shared" si="14"/>
        <v>#N/A</v>
      </c>
      <c r="D289" t="e">
        <f>VLOOKUP(C289,Lookup!$F$5:$G$11,2,FALSE)</f>
        <v>#N/A</v>
      </c>
      <c r="E289" t="e">
        <f>IF(D289=Lookup!$G$5,E288+1,E288)</f>
        <v>#N/A</v>
      </c>
      <c r="F289" s="3" t="e">
        <f>INDEX(cards[Entities count],MATCH('card-code'!E289,cards[object_id order],0))</f>
        <v>#N/A</v>
      </c>
      <c r="G289" t="e">
        <f>IF(D288=Lookup!$G$9,1,IF(D288=Lookup!$G$10,G288+1,""))</f>
        <v>#N/A</v>
      </c>
      <c r="H289" t="e">
        <f>IF(F289=1,  IF(D289=Lookup!$G$9,2,1),  IF(G289&lt;F289-1,0,1)  )</f>
        <v>#N/A</v>
      </c>
      <c r="I289" t="e">
        <f>IF(D289&lt;&gt;Lookup!$G$7,0,IF(INDEX(cards[name],MATCH(E289,cards[object_id order],0))&lt;&gt;"",0,1))</f>
        <v>#N/A</v>
      </c>
      <c r="J289" t="e">
        <f>IF(D289&lt;&gt;Lookup!$G$7,0,IF(INDEX(cards[icon],MATCH(E289,cards[object_id order],0))&lt;&gt;"",0,1))</f>
        <v>#N/A</v>
      </c>
      <c r="K289" t="e">
        <f>IF(D289=Lookup!$G$6,INDEX(cards[object_id],MATCH('card-code'!E289,cards[object_id order],0)),"")</f>
        <v>#N/A</v>
      </c>
      <c r="L289" t="e">
        <f>IF(D289=Lookup!$G$7,INDEX(cards[name],MATCH('card-code'!E289,cards[object_id order],0)),"")</f>
        <v>#N/A</v>
      </c>
      <c r="M289" t="e">
        <f>IF($D289=Lookup!$L$9,INDEX(cards[icon],MATCH($E289,cards[object_id order],0)),"")</f>
        <v>#N/A</v>
      </c>
      <c r="N289" t="e">
        <f>IF(OR(D289=Lookup!$G$10,D289=Lookup!$G$11),INDEX(cards[[1]:[25]],MATCH($E289,cards[object_id order],0),'card-code'!G289),"")</f>
        <v>#N/A</v>
      </c>
      <c r="O289" t="str">
        <f t="shared" si="13"/>
        <v/>
      </c>
      <c r="P289" s="8" t="e">
        <f>INDEX(Lookup!$H$5:$H$11,MATCH(D289,Lookup!$G$5:$G$11,0))&amp;
K289&amp;L289&amp;M289&amp;N289&amp;
INDEX(Lookup!$I$5:$I$11,MATCH(D289,Lookup!$G$5:$G$11,0))</f>
        <v>#N/A</v>
      </c>
    </row>
    <row r="290" spans="2:16" x14ac:dyDescent="0.45">
      <c r="B290">
        <f t="shared" si="12"/>
        <v>288</v>
      </c>
      <c r="C290" t="e">
        <f t="shared" si="14"/>
        <v>#N/A</v>
      </c>
      <c r="D290" t="e">
        <f>VLOOKUP(C290,Lookup!$F$5:$G$11,2,FALSE)</f>
        <v>#N/A</v>
      </c>
      <c r="E290" t="e">
        <f>IF(D290=Lookup!$G$5,E289+1,E289)</f>
        <v>#N/A</v>
      </c>
      <c r="F290" s="3" t="e">
        <f>INDEX(cards[Entities count],MATCH('card-code'!E290,cards[object_id order],0))</f>
        <v>#N/A</v>
      </c>
      <c r="G290" t="e">
        <f>IF(D289=Lookup!$G$9,1,IF(D289=Lookup!$G$10,G289+1,""))</f>
        <v>#N/A</v>
      </c>
      <c r="H290" t="e">
        <f>IF(F290=1,  IF(D290=Lookup!$G$9,2,1),  IF(G290&lt;F290-1,0,1)  )</f>
        <v>#N/A</v>
      </c>
      <c r="I290" t="e">
        <f>IF(D290&lt;&gt;Lookup!$G$7,0,IF(INDEX(cards[name],MATCH(E290,cards[object_id order],0))&lt;&gt;"",0,1))</f>
        <v>#N/A</v>
      </c>
      <c r="J290" t="e">
        <f>IF(D290&lt;&gt;Lookup!$G$7,0,IF(INDEX(cards[icon],MATCH(E290,cards[object_id order],0))&lt;&gt;"",0,1))</f>
        <v>#N/A</v>
      </c>
      <c r="K290" t="e">
        <f>IF(D290=Lookup!$G$6,INDEX(cards[object_id],MATCH('card-code'!E290,cards[object_id order],0)),"")</f>
        <v>#N/A</v>
      </c>
      <c r="L290" t="e">
        <f>IF(D290=Lookup!$G$7,INDEX(cards[name],MATCH('card-code'!E290,cards[object_id order],0)),"")</f>
        <v>#N/A</v>
      </c>
      <c r="M290" t="e">
        <f>IF($D290=Lookup!$L$9,INDEX(cards[icon],MATCH($E290,cards[object_id order],0)),"")</f>
        <v>#N/A</v>
      </c>
      <c r="N290" t="e">
        <f>IF(OR(D290=Lookup!$G$10,D290=Lookup!$G$11),INDEX(cards[[1]:[25]],MATCH($E290,cards[object_id order],0),'card-code'!G290),"")</f>
        <v>#N/A</v>
      </c>
      <c r="O290" t="str">
        <f t="shared" si="13"/>
        <v/>
      </c>
      <c r="P290" s="8" t="e">
        <f>INDEX(Lookup!$H$5:$H$11,MATCH(D290,Lookup!$G$5:$G$11,0))&amp;
K290&amp;L290&amp;M290&amp;N290&amp;
INDEX(Lookup!$I$5:$I$11,MATCH(D290,Lookup!$G$5:$G$11,0))</f>
        <v>#N/A</v>
      </c>
    </row>
    <row r="291" spans="2:16" x14ac:dyDescent="0.45">
      <c r="B291">
        <f t="shared" si="12"/>
        <v>289</v>
      </c>
      <c r="C291" t="e">
        <f t="shared" si="14"/>
        <v>#N/A</v>
      </c>
      <c r="D291" t="e">
        <f>VLOOKUP(C291,Lookup!$F$5:$G$11,2,FALSE)</f>
        <v>#N/A</v>
      </c>
      <c r="E291" t="e">
        <f>IF(D291=Lookup!$G$5,E290+1,E290)</f>
        <v>#N/A</v>
      </c>
      <c r="F291" s="3" t="e">
        <f>INDEX(cards[Entities count],MATCH('card-code'!E291,cards[object_id order],0))</f>
        <v>#N/A</v>
      </c>
      <c r="G291" t="e">
        <f>IF(D290=Lookup!$G$9,1,IF(D290=Lookup!$G$10,G290+1,""))</f>
        <v>#N/A</v>
      </c>
      <c r="H291" t="e">
        <f>IF(F291=1,  IF(D291=Lookup!$G$9,2,1),  IF(G291&lt;F291-1,0,1)  )</f>
        <v>#N/A</v>
      </c>
      <c r="I291" t="e">
        <f>IF(D291&lt;&gt;Lookup!$G$7,0,IF(INDEX(cards[name],MATCH(E291,cards[object_id order],0))&lt;&gt;"",0,1))</f>
        <v>#N/A</v>
      </c>
      <c r="J291" t="e">
        <f>IF(D291&lt;&gt;Lookup!$G$7,0,IF(INDEX(cards[icon],MATCH(E291,cards[object_id order],0))&lt;&gt;"",0,1))</f>
        <v>#N/A</v>
      </c>
      <c r="K291" t="e">
        <f>IF(D291=Lookup!$G$6,INDEX(cards[object_id],MATCH('card-code'!E291,cards[object_id order],0)),"")</f>
        <v>#N/A</v>
      </c>
      <c r="L291" t="e">
        <f>IF(D291=Lookup!$G$7,INDEX(cards[name],MATCH('card-code'!E291,cards[object_id order],0)),"")</f>
        <v>#N/A</v>
      </c>
      <c r="M291" t="e">
        <f>IF($D291=Lookup!$L$9,INDEX(cards[icon],MATCH($E291,cards[object_id order],0)),"")</f>
        <v>#N/A</v>
      </c>
      <c r="N291" t="e">
        <f>IF(OR(D291=Lookup!$G$10,D291=Lookup!$G$11),INDEX(cards[[1]:[25]],MATCH($E291,cards[object_id order],0),'card-code'!G291),"")</f>
        <v>#N/A</v>
      </c>
      <c r="O291" t="str">
        <f t="shared" si="13"/>
        <v/>
      </c>
      <c r="P291" s="8" t="e">
        <f>INDEX(Lookup!$H$5:$H$11,MATCH(D291,Lookup!$G$5:$G$11,0))&amp;
K291&amp;L291&amp;M291&amp;N291&amp;
INDEX(Lookup!$I$5:$I$11,MATCH(D291,Lookup!$G$5:$G$11,0))</f>
        <v>#N/A</v>
      </c>
    </row>
    <row r="292" spans="2:16" x14ac:dyDescent="0.45">
      <c r="B292">
        <f t="shared" si="12"/>
        <v>290</v>
      </c>
      <c r="C292" t="e">
        <f t="shared" si="14"/>
        <v>#N/A</v>
      </c>
      <c r="D292" t="e">
        <f>VLOOKUP(C292,Lookup!$F$5:$G$11,2,FALSE)</f>
        <v>#N/A</v>
      </c>
      <c r="E292" t="e">
        <f>IF(D292=Lookup!$G$5,E291+1,E291)</f>
        <v>#N/A</v>
      </c>
      <c r="F292" s="3" t="e">
        <f>INDEX(cards[Entities count],MATCH('card-code'!E292,cards[object_id order],0))</f>
        <v>#N/A</v>
      </c>
      <c r="G292" t="e">
        <f>IF(D291=Lookup!$G$9,1,IF(D291=Lookup!$G$10,G291+1,""))</f>
        <v>#N/A</v>
      </c>
      <c r="H292" t="e">
        <f>IF(F292=1,  IF(D292=Lookup!$G$9,2,1),  IF(G292&lt;F292-1,0,1)  )</f>
        <v>#N/A</v>
      </c>
      <c r="I292" t="e">
        <f>IF(D292&lt;&gt;Lookup!$G$7,0,IF(INDEX(cards[name],MATCH(E292,cards[object_id order],0))&lt;&gt;"",0,1))</f>
        <v>#N/A</v>
      </c>
      <c r="J292" t="e">
        <f>IF(D292&lt;&gt;Lookup!$G$7,0,IF(INDEX(cards[icon],MATCH(E292,cards[object_id order],0))&lt;&gt;"",0,1))</f>
        <v>#N/A</v>
      </c>
      <c r="K292" t="e">
        <f>IF(D292=Lookup!$G$6,INDEX(cards[object_id],MATCH('card-code'!E292,cards[object_id order],0)),"")</f>
        <v>#N/A</v>
      </c>
      <c r="L292" t="e">
        <f>IF(D292=Lookup!$G$7,INDEX(cards[name],MATCH('card-code'!E292,cards[object_id order],0)),"")</f>
        <v>#N/A</v>
      </c>
      <c r="M292" t="e">
        <f>IF($D292=Lookup!$L$9,INDEX(cards[icon],MATCH($E292,cards[object_id order],0)),"")</f>
        <v>#N/A</v>
      </c>
      <c r="N292" t="e">
        <f>IF(OR(D292=Lookup!$G$10,D292=Lookup!$G$11),INDEX(cards[[1]:[25]],MATCH($E292,cards[object_id order],0),'card-code'!G292),"")</f>
        <v>#N/A</v>
      </c>
      <c r="O292" t="str">
        <f t="shared" si="13"/>
        <v/>
      </c>
      <c r="P292" s="8" t="e">
        <f>INDEX(Lookup!$H$5:$H$11,MATCH(D292,Lookup!$G$5:$G$11,0))&amp;
K292&amp;L292&amp;M292&amp;N292&amp;
INDEX(Lookup!$I$5:$I$11,MATCH(D292,Lookup!$G$5:$G$11,0))</f>
        <v>#N/A</v>
      </c>
    </row>
    <row r="293" spans="2:16" x14ac:dyDescent="0.45">
      <c r="B293">
        <f t="shared" si="12"/>
        <v>291</v>
      </c>
      <c r="C293" t="e">
        <f t="shared" si="14"/>
        <v>#N/A</v>
      </c>
      <c r="D293" t="e">
        <f>VLOOKUP(C293,Lookup!$F$5:$G$11,2,FALSE)</f>
        <v>#N/A</v>
      </c>
      <c r="E293" t="e">
        <f>IF(D293=Lookup!$G$5,E292+1,E292)</f>
        <v>#N/A</v>
      </c>
      <c r="F293" s="3" t="e">
        <f>INDEX(cards[Entities count],MATCH('card-code'!E293,cards[object_id order],0))</f>
        <v>#N/A</v>
      </c>
      <c r="G293" t="e">
        <f>IF(D292=Lookup!$G$9,1,IF(D292=Lookup!$G$10,G292+1,""))</f>
        <v>#N/A</v>
      </c>
      <c r="H293" t="e">
        <f>IF(F293=1,  IF(D293=Lookup!$G$9,2,1),  IF(G293&lt;F293-1,0,1)  )</f>
        <v>#N/A</v>
      </c>
      <c r="I293" t="e">
        <f>IF(D293&lt;&gt;Lookup!$G$7,0,IF(INDEX(cards[name],MATCH(E293,cards[object_id order],0))&lt;&gt;"",0,1))</f>
        <v>#N/A</v>
      </c>
      <c r="J293" t="e">
        <f>IF(D293&lt;&gt;Lookup!$G$7,0,IF(INDEX(cards[icon],MATCH(E293,cards[object_id order],0))&lt;&gt;"",0,1))</f>
        <v>#N/A</v>
      </c>
      <c r="K293" t="e">
        <f>IF(D293=Lookup!$G$6,INDEX(cards[object_id],MATCH('card-code'!E293,cards[object_id order],0)),"")</f>
        <v>#N/A</v>
      </c>
      <c r="L293" t="e">
        <f>IF(D293=Lookup!$G$7,INDEX(cards[name],MATCH('card-code'!E293,cards[object_id order],0)),"")</f>
        <v>#N/A</v>
      </c>
      <c r="M293" t="e">
        <f>IF($D293=Lookup!$L$9,INDEX(cards[icon],MATCH($E293,cards[object_id order],0)),"")</f>
        <v>#N/A</v>
      </c>
      <c r="N293" t="e">
        <f>IF(OR(D293=Lookup!$G$10,D293=Lookup!$G$11),INDEX(cards[[1]:[25]],MATCH($E293,cards[object_id order],0),'card-code'!G293),"")</f>
        <v>#N/A</v>
      </c>
      <c r="O293" t="str">
        <f t="shared" si="13"/>
        <v/>
      </c>
      <c r="P293" s="8" t="e">
        <f>INDEX(Lookup!$H$5:$H$11,MATCH(D293,Lookup!$G$5:$G$11,0))&amp;
K293&amp;L293&amp;M293&amp;N293&amp;
INDEX(Lookup!$I$5:$I$11,MATCH(D293,Lookup!$G$5:$G$11,0))</f>
        <v>#N/A</v>
      </c>
    </row>
    <row r="294" spans="2:16" x14ac:dyDescent="0.45">
      <c r="B294">
        <f t="shared" si="12"/>
        <v>292</v>
      </c>
      <c r="C294" t="e">
        <f t="shared" si="14"/>
        <v>#N/A</v>
      </c>
      <c r="D294" t="e">
        <f>VLOOKUP(C294,Lookup!$F$5:$G$11,2,FALSE)</f>
        <v>#N/A</v>
      </c>
      <c r="E294" t="e">
        <f>IF(D294=Lookup!$G$5,E293+1,E293)</f>
        <v>#N/A</v>
      </c>
      <c r="F294" s="3" t="e">
        <f>INDEX(cards[Entities count],MATCH('card-code'!E294,cards[object_id order],0))</f>
        <v>#N/A</v>
      </c>
      <c r="G294" t="e">
        <f>IF(D293=Lookup!$G$9,1,IF(D293=Lookup!$G$10,G293+1,""))</f>
        <v>#N/A</v>
      </c>
      <c r="H294" t="e">
        <f>IF(F294=1,  IF(D294=Lookup!$G$9,2,1),  IF(G294&lt;F294-1,0,1)  )</f>
        <v>#N/A</v>
      </c>
      <c r="I294" t="e">
        <f>IF(D294&lt;&gt;Lookup!$G$7,0,IF(INDEX(cards[name],MATCH(E294,cards[object_id order],0))&lt;&gt;"",0,1))</f>
        <v>#N/A</v>
      </c>
      <c r="J294" t="e">
        <f>IF(D294&lt;&gt;Lookup!$G$7,0,IF(INDEX(cards[icon],MATCH(E294,cards[object_id order],0))&lt;&gt;"",0,1))</f>
        <v>#N/A</v>
      </c>
      <c r="K294" t="e">
        <f>IF(D294=Lookup!$G$6,INDEX(cards[object_id],MATCH('card-code'!E294,cards[object_id order],0)),"")</f>
        <v>#N/A</v>
      </c>
      <c r="L294" t="e">
        <f>IF(D294=Lookup!$G$7,INDEX(cards[name],MATCH('card-code'!E294,cards[object_id order],0)),"")</f>
        <v>#N/A</v>
      </c>
      <c r="M294" t="e">
        <f>IF($D294=Lookup!$L$9,INDEX(cards[icon],MATCH($E294,cards[object_id order],0)),"")</f>
        <v>#N/A</v>
      </c>
      <c r="N294" t="e">
        <f>IF(OR(D294=Lookup!$G$10,D294=Lookup!$G$11),INDEX(cards[[1]:[25]],MATCH($E294,cards[object_id order],0),'card-code'!G294),"")</f>
        <v>#N/A</v>
      </c>
      <c r="O294" t="str">
        <f t="shared" si="13"/>
        <v/>
      </c>
      <c r="P294" s="8" t="e">
        <f>INDEX(Lookup!$H$5:$H$11,MATCH(D294,Lookup!$G$5:$G$11,0))&amp;
K294&amp;L294&amp;M294&amp;N294&amp;
INDEX(Lookup!$I$5:$I$11,MATCH(D294,Lookup!$G$5:$G$11,0))</f>
        <v>#N/A</v>
      </c>
    </row>
    <row r="295" spans="2:16" x14ac:dyDescent="0.45">
      <c r="B295">
        <f t="shared" si="12"/>
        <v>293</v>
      </c>
      <c r="C295" t="e">
        <f t="shared" si="14"/>
        <v>#N/A</v>
      </c>
      <c r="D295" t="e">
        <f>VLOOKUP(C295,Lookup!$F$5:$G$11,2,FALSE)</f>
        <v>#N/A</v>
      </c>
      <c r="E295" t="e">
        <f>IF(D295=Lookup!$G$5,E294+1,E294)</f>
        <v>#N/A</v>
      </c>
      <c r="F295" s="3" t="e">
        <f>INDEX(cards[Entities count],MATCH('card-code'!E295,cards[object_id order],0))</f>
        <v>#N/A</v>
      </c>
      <c r="G295" t="e">
        <f>IF(D294=Lookup!$G$9,1,IF(D294=Lookup!$G$10,G294+1,""))</f>
        <v>#N/A</v>
      </c>
      <c r="H295" t="e">
        <f>IF(F295=1,  IF(D295=Lookup!$G$9,2,1),  IF(G295&lt;F295-1,0,1)  )</f>
        <v>#N/A</v>
      </c>
      <c r="I295" t="e">
        <f>IF(D295&lt;&gt;Lookup!$G$7,0,IF(INDEX(cards[name],MATCH(E295,cards[object_id order],0))&lt;&gt;"",0,1))</f>
        <v>#N/A</v>
      </c>
      <c r="J295" t="e">
        <f>IF(D295&lt;&gt;Lookup!$G$7,0,IF(INDEX(cards[icon],MATCH(E295,cards[object_id order],0))&lt;&gt;"",0,1))</f>
        <v>#N/A</v>
      </c>
      <c r="K295" t="e">
        <f>IF(D295=Lookup!$G$6,INDEX(cards[object_id],MATCH('card-code'!E295,cards[object_id order],0)),"")</f>
        <v>#N/A</v>
      </c>
      <c r="L295" t="e">
        <f>IF(D295=Lookup!$G$7,INDEX(cards[name],MATCH('card-code'!E295,cards[object_id order],0)),"")</f>
        <v>#N/A</v>
      </c>
      <c r="M295" t="e">
        <f>IF($D295=Lookup!$L$9,INDEX(cards[icon],MATCH($E295,cards[object_id order],0)),"")</f>
        <v>#N/A</v>
      </c>
      <c r="N295" t="e">
        <f>IF(OR(D295=Lookup!$G$10,D295=Lookup!$G$11),INDEX(cards[[1]:[25]],MATCH($E295,cards[object_id order],0),'card-code'!G295),"")</f>
        <v>#N/A</v>
      </c>
      <c r="O295" t="str">
        <f t="shared" si="13"/>
        <v/>
      </c>
      <c r="P295" s="8" t="e">
        <f>INDEX(Lookup!$H$5:$H$11,MATCH(D295,Lookup!$G$5:$G$11,0))&amp;
K295&amp;L295&amp;M295&amp;N295&amp;
INDEX(Lookup!$I$5:$I$11,MATCH(D295,Lookup!$G$5:$G$11,0))</f>
        <v>#N/A</v>
      </c>
    </row>
    <row r="296" spans="2:16" x14ac:dyDescent="0.45">
      <c r="B296">
        <f t="shared" si="12"/>
        <v>294</v>
      </c>
      <c r="C296" t="e">
        <f t="shared" si="14"/>
        <v>#N/A</v>
      </c>
      <c r="D296" t="e">
        <f>VLOOKUP(C296,Lookup!$F$5:$G$11,2,FALSE)</f>
        <v>#N/A</v>
      </c>
      <c r="E296" t="e">
        <f>IF(D296=Lookup!$G$5,E295+1,E295)</f>
        <v>#N/A</v>
      </c>
      <c r="F296" s="3" t="e">
        <f>INDEX(cards[Entities count],MATCH('card-code'!E296,cards[object_id order],0))</f>
        <v>#N/A</v>
      </c>
      <c r="G296" t="e">
        <f>IF(D295=Lookup!$G$9,1,IF(D295=Lookup!$G$10,G295+1,""))</f>
        <v>#N/A</v>
      </c>
      <c r="H296" t="e">
        <f>IF(F296=1,  IF(D296=Lookup!$G$9,2,1),  IF(G296&lt;F296-1,0,1)  )</f>
        <v>#N/A</v>
      </c>
      <c r="I296" t="e">
        <f>IF(D296&lt;&gt;Lookup!$G$7,0,IF(INDEX(cards[name],MATCH(E296,cards[object_id order],0))&lt;&gt;"",0,1))</f>
        <v>#N/A</v>
      </c>
      <c r="J296" t="e">
        <f>IF(D296&lt;&gt;Lookup!$G$7,0,IF(INDEX(cards[icon],MATCH(E296,cards[object_id order],0))&lt;&gt;"",0,1))</f>
        <v>#N/A</v>
      </c>
      <c r="K296" t="e">
        <f>IF(D296=Lookup!$G$6,INDEX(cards[object_id],MATCH('card-code'!E296,cards[object_id order],0)),"")</f>
        <v>#N/A</v>
      </c>
      <c r="L296" t="e">
        <f>IF(D296=Lookup!$G$7,INDEX(cards[name],MATCH('card-code'!E296,cards[object_id order],0)),"")</f>
        <v>#N/A</v>
      </c>
      <c r="M296" t="e">
        <f>IF($D296=Lookup!$L$9,INDEX(cards[icon],MATCH($E296,cards[object_id order],0)),"")</f>
        <v>#N/A</v>
      </c>
      <c r="N296" t="e">
        <f>IF(OR(D296=Lookup!$G$10,D296=Lookup!$G$11),INDEX(cards[[1]:[25]],MATCH($E296,cards[object_id order],0),'card-code'!G296),"")</f>
        <v>#N/A</v>
      </c>
      <c r="O296" t="str">
        <f t="shared" si="13"/>
        <v/>
      </c>
      <c r="P296" s="8" t="e">
        <f>INDEX(Lookup!$H$5:$H$11,MATCH(D296,Lookup!$G$5:$G$11,0))&amp;
K296&amp;L296&amp;M296&amp;N296&amp;
INDEX(Lookup!$I$5:$I$11,MATCH(D296,Lookup!$G$5:$G$11,0))</f>
        <v>#N/A</v>
      </c>
    </row>
    <row r="297" spans="2:16" x14ac:dyDescent="0.45">
      <c r="B297">
        <f t="shared" si="12"/>
        <v>295</v>
      </c>
      <c r="C297" t="e">
        <f t="shared" si="14"/>
        <v>#N/A</v>
      </c>
      <c r="D297" t="e">
        <f>VLOOKUP(C297,Lookup!$F$5:$G$11,2,FALSE)</f>
        <v>#N/A</v>
      </c>
      <c r="E297" t="e">
        <f>IF(D297=Lookup!$G$5,E296+1,E296)</f>
        <v>#N/A</v>
      </c>
      <c r="F297" s="3" t="e">
        <f>INDEX(cards[Entities count],MATCH('card-code'!E297,cards[object_id order],0))</f>
        <v>#N/A</v>
      </c>
      <c r="G297" t="e">
        <f>IF(D296=Lookup!$G$9,1,IF(D296=Lookup!$G$10,G296+1,""))</f>
        <v>#N/A</v>
      </c>
      <c r="H297" t="e">
        <f>IF(F297=1,  IF(D297=Lookup!$G$9,2,1),  IF(G297&lt;F297-1,0,1)  )</f>
        <v>#N/A</v>
      </c>
      <c r="I297" t="e">
        <f>IF(D297&lt;&gt;Lookup!$G$7,0,IF(INDEX(cards[name],MATCH(E297,cards[object_id order],0))&lt;&gt;"",0,1))</f>
        <v>#N/A</v>
      </c>
      <c r="J297" t="e">
        <f>IF(D297&lt;&gt;Lookup!$G$7,0,IF(INDEX(cards[icon],MATCH(E297,cards[object_id order],0))&lt;&gt;"",0,1))</f>
        <v>#N/A</v>
      </c>
      <c r="K297" t="e">
        <f>IF(D297=Lookup!$G$6,INDEX(cards[object_id],MATCH('card-code'!E297,cards[object_id order],0)),"")</f>
        <v>#N/A</v>
      </c>
      <c r="L297" t="e">
        <f>IF(D297=Lookup!$G$7,INDEX(cards[name],MATCH('card-code'!E297,cards[object_id order],0)),"")</f>
        <v>#N/A</v>
      </c>
      <c r="M297" t="e">
        <f>IF($D297=Lookup!$L$9,INDEX(cards[icon],MATCH($E297,cards[object_id order],0)),"")</f>
        <v>#N/A</v>
      </c>
      <c r="N297" t="e">
        <f>IF(OR(D297=Lookup!$G$10,D297=Lookup!$G$11),INDEX(cards[[1]:[25]],MATCH($E297,cards[object_id order],0),'card-code'!G297),"")</f>
        <v>#N/A</v>
      </c>
      <c r="O297" t="str">
        <f t="shared" si="13"/>
        <v/>
      </c>
      <c r="P297" s="8" t="e">
        <f>INDEX(Lookup!$H$5:$H$11,MATCH(D297,Lookup!$G$5:$G$11,0))&amp;
K297&amp;L297&amp;M297&amp;N297&amp;
INDEX(Lookup!$I$5:$I$11,MATCH(D297,Lookup!$G$5:$G$11,0))</f>
        <v>#N/A</v>
      </c>
    </row>
    <row r="298" spans="2:16" x14ac:dyDescent="0.45">
      <c r="B298">
        <f t="shared" si="12"/>
        <v>296</v>
      </c>
      <c r="C298" t="e">
        <f t="shared" si="14"/>
        <v>#N/A</v>
      </c>
      <c r="D298" t="e">
        <f>VLOOKUP(C298,Lookup!$F$5:$G$11,2,FALSE)</f>
        <v>#N/A</v>
      </c>
      <c r="E298" t="e">
        <f>IF(D298=Lookup!$G$5,E297+1,E297)</f>
        <v>#N/A</v>
      </c>
      <c r="F298" s="3" t="e">
        <f>INDEX(cards[Entities count],MATCH('card-code'!E298,cards[object_id order],0))</f>
        <v>#N/A</v>
      </c>
      <c r="G298" t="e">
        <f>IF(D297=Lookup!$G$9,1,IF(D297=Lookup!$G$10,G297+1,""))</f>
        <v>#N/A</v>
      </c>
      <c r="H298" t="e">
        <f>IF(F298=1,  IF(D298=Lookup!$G$9,2,1),  IF(G298&lt;F298-1,0,1)  )</f>
        <v>#N/A</v>
      </c>
      <c r="I298" t="e">
        <f>IF(D298&lt;&gt;Lookup!$G$7,0,IF(INDEX(cards[name],MATCH(E298,cards[object_id order],0))&lt;&gt;"",0,1))</f>
        <v>#N/A</v>
      </c>
      <c r="J298" t="e">
        <f>IF(D298&lt;&gt;Lookup!$G$7,0,IF(INDEX(cards[icon],MATCH(E298,cards[object_id order],0))&lt;&gt;"",0,1))</f>
        <v>#N/A</v>
      </c>
      <c r="K298" t="e">
        <f>IF(D298=Lookup!$G$6,INDEX(cards[object_id],MATCH('card-code'!E298,cards[object_id order],0)),"")</f>
        <v>#N/A</v>
      </c>
      <c r="L298" t="e">
        <f>IF(D298=Lookup!$G$7,INDEX(cards[name],MATCH('card-code'!E298,cards[object_id order],0)),"")</f>
        <v>#N/A</v>
      </c>
      <c r="M298" t="e">
        <f>IF($D298=Lookup!$L$9,INDEX(cards[icon],MATCH($E298,cards[object_id order],0)),"")</f>
        <v>#N/A</v>
      </c>
      <c r="N298" t="e">
        <f>IF(OR(D298=Lookup!$G$10,D298=Lookup!$G$11),INDEX(cards[[1]:[25]],MATCH($E298,cards[object_id order],0),'card-code'!G298),"")</f>
        <v>#N/A</v>
      </c>
      <c r="O298" t="str">
        <f t="shared" si="13"/>
        <v/>
      </c>
      <c r="P298" s="8" t="e">
        <f>INDEX(Lookup!$H$5:$H$11,MATCH(D298,Lookup!$G$5:$G$11,0))&amp;
K298&amp;L298&amp;M298&amp;N298&amp;
INDEX(Lookup!$I$5:$I$11,MATCH(D298,Lookup!$G$5:$G$11,0))</f>
        <v>#N/A</v>
      </c>
    </row>
    <row r="299" spans="2:16" x14ac:dyDescent="0.45">
      <c r="B299">
        <f t="shared" si="12"/>
        <v>297</v>
      </c>
      <c r="C299" t="e">
        <f t="shared" si="14"/>
        <v>#N/A</v>
      </c>
      <c r="D299" t="e">
        <f>VLOOKUP(C299,Lookup!$F$5:$G$11,2,FALSE)</f>
        <v>#N/A</v>
      </c>
      <c r="E299" t="e">
        <f>IF(D299=Lookup!$G$5,E298+1,E298)</f>
        <v>#N/A</v>
      </c>
      <c r="F299" s="3" t="e">
        <f>INDEX(cards[Entities count],MATCH('card-code'!E299,cards[object_id order],0))</f>
        <v>#N/A</v>
      </c>
      <c r="G299" t="e">
        <f>IF(D298=Lookup!$G$9,1,IF(D298=Lookup!$G$10,G298+1,""))</f>
        <v>#N/A</v>
      </c>
      <c r="H299" t="e">
        <f>IF(F299=1,  IF(D299=Lookup!$G$9,2,1),  IF(G299&lt;F299-1,0,1)  )</f>
        <v>#N/A</v>
      </c>
      <c r="I299" t="e">
        <f>IF(D299&lt;&gt;Lookup!$G$7,0,IF(INDEX(cards[name],MATCH(E299,cards[object_id order],0))&lt;&gt;"",0,1))</f>
        <v>#N/A</v>
      </c>
      <c r="J299" t="e">
        <f>IF(D299&lt;&gt;Lookup!$G$7,0,IF(INDEX(cards[icon],MATCH(E299,cards[object_id order],0))&lt;&gt;"",0,1))</f>
        <v>#N/A</v>
      </c>
      <c r="K299" t="e">
        <f>IF(D299=Lookup!$G$6,INDEX(cards[object_id],MATCH('card-code'!E299,cards[object_id order],0)),"")</f>
        <v>#N/A</v>
      </c>
      <c r="L299" t="e">
        <f>IF(D299=Lookup!$G$7,INDEX(cards[name],MATCH('card-code'!E299,cards[object_id order],0)),"")</f>
        <v>#N/A</v>
      </c>
      <c r="M299" t="e">
        <f>IF($D299=Lookup!$L$9,INDEX(cards[icon],MATCH($E299,cards[object_id order],0)),"")</f>
        <v>#N/A</v>
      </c>
      <c r="N299" t="e">
        <f>IF(OR(D299=Lookup!$G$10,D299=Lookup!$G$11),INDEX(cards[[1]:[25]],MATCH($E299,cards[object_id order],0),'card-code'!G299),"")</f>
        <v>#N/A</v>
      </c>
      <c r="O299" t="str">
        <f t="shared" si="13"/>
        <v/>
      </c>
      <c r="P299" s="8" t="e">
        <f>INDEX(Lookup!$H$5:$H$11,MATCH(D299,Lookup!$G$5:$G$11,0))&amp;
K299&amp;L299&amp;M299&amp;N299&amp;
INDEX(Lookup!$I$5:$I$11,MATCH(D299,Lookup!$G$5:$G$11,0))</f>
        <v>#N/A</v>
      </c>
    </row>
    <row r="300" spans="2:16" x14ac:dyDescent="0.45">
      <c r="B300">
        <f t="shared" si="12"/>
        <v>298</v>
      </c>
      <c r="C300" t="e">
        <f t="shared" si="14"/>
        <v>#N/A</v>
      </c>
      <c r="D300" t="e">
        <f>VLOOKUP(C300,Lookup!$F$5:$G$11,2,FALSE)</f>
        <v>#N/A</v>
      </c>
      <c r="E300" t="e">
        <f>IF(D300=Lookup!$G$5,E299+1,E299)</f>
        <v>#N/A</v>
      </c>
      <c r="F300" s="3" t="e">
        <f>INDEX(cards[Entities count],MATCH('card-code'!E300,cards[object_id order],0))</f>
        <v>#N/A</v>
      </c>
      <c r="G300" t="e">
        <f>IF(D299=Lookup!$G$9,1,IF(D299=Lookup!$G$10,G299+1,""))</f>
        <v>#N/A</v>
      </c>
      <c r="H300" t="e">
        <f>IF(F300=1,  IF(D300=Lookup!$G$9,2,1),  IF(G300&lt;F300-1,0,1)  )</f>
        <v>#N/A</v>
      </c>
      <c r="I300" t="e">
        <f>IF(D300&lt;&gt;Lookup!$G$7,0,IF(INDEX(cards[name],MATCH(E300,cards[object_id order],0))&lt;&gt;"",0,1))</f>
        <v>#N/A</v>
      </c>
      <c r="J300" t="e">
        <f>IF(D300&lt;&gt;Lookup!$G$7,0,IF(INDEX(cards[icon],MATCH(E300,cards[object_id order],0))&lt;&gt;"",0,1))</f>
        <v>#N/A</v>
      </c>
      <c r="K300" t="e">
        <f>IF(D300=Lookup!$G$6,INDEX(cards[object_id],MATCH('card-code'!E300,cards[object_id order],0)),"")</f>
        <v>#N/A</v>
      </c>
      <c r="L300" t="e">
        <f>IF(D300=Lookup!$G$7,INDEX(cards[name],MATCH('card-code'!E300,cards[object_id order],0)),"")</f>
        <v>#N/A</v>
      </c>
      <c r="M300" t="e">
        <f>IF($D300=Lookup!$L$9,INDEX(cards[icon],MATCH($E300,cards[object_id order],0)),"")</f>
        <v>#N/A</v>
      </c>
      <c r="N300" t="e">
        <f>IF(OR(D300=Lookup!$G$10,D300=Lookup!$G$11),INDEX(cards[[1]:[25]],MATCH($E300,cards[object_id order],0),'card-code'!G300),"")</f>
        <v>#N/A</v>
      </c>
      <c r="O300" t="str">
        <f t="shared" si="13"/>
        <v/>
      </c>
      <c r="P300" s="8" t="e">
        <f>INDEX(Lookup!$H$5:$H$11,MATCH(D300,Lookup!$G$5:$G$11,0))&amp;
K300&amp;L300&amp;M300&amp;N300&amp;
INDEX(Lookup!$I$5:$I$11,MATCH(D300,Lookup!$G$5:$G$11,0))</f>
        <v>#N/A</v>
      </c>
    </row>
    <row r="301" spans="2:16" x14ac:dyDescent="0.45">
      <c r="B301">
        <f t="shared" si="12"/>
        <v>299</v>
      </c>
      <c r="C301" t="e">
        <f t="shared" si="14"/>
        <v>#N/A</v>
      </c>
      <c r="D301" t="e">
        <f>VLOOKUP(C301,Lookup!$F$5:$G$11,2,FALSE)</f>
        <v>#N/A</v>
      </c>
      <c r="E301" t="e">
        <f>IF(D301=Lookup!$G$5,E300+1,E300)</f>
        <v>#N/A</v>
      </c>
      <c r="F301" s="3" t="e">
        <f>INDEX(cards[Entities count],MATCH('card-code'!E301,cards[object_id order],0))</f>
        <v>#N/A</v>
      </c>
      <c r="G301" t="e">
        <f>IF(D300=Lookup!$G$9,1,IF(D300=Lookup!$G$10,G300+1,""))</f>
        <v>#N/A</v>
      </c>
      <c r="H301" t="e">
        <f>IF(F301=1,  IF(D301=Lookup!$G$9,2,1),  IF(G301&lt;F301-1,0,1)  )</f>
        <v>#N/A</v>
      </c>
      <c r="I301" t="e">
        <f>IF(D301&lt;&gt;Lookup!$G$7,0,IF(INDEX(cards[name],MATCH(E301,cards[object_id order],0))&lt;&gt;"",0,1))</f>
        <v>#N/A</v>
      </c>
      <c r="J301" t="e">
        <f>IF(D301&lt;&gt;Lookup!$G$7,0,IF(INDEX(cards[icon],MATCH(E301,cards[object_id order],0))&lt;&gt;"",0,1))</f>
        <v>#N/A</v>
      </c>
      <c r="K301" t="e">
        <f>IF(D301=Lookup!$G$6,INDEX(cards[object_id],MATCH('card-code'!E301,cards[object_id order],0)),"")</f>
        <v>#N/A</v>
      </c>
      <c r="L301" t="e">
        <f>IF(D301=Lookup!$G$7,INDEX(cards[name],MATCH('card-code'!E301,cards[object_id order],0)),"")</f>
        <v>#N/A</v>
      </c>
      <c r="M301" t="e">
        <f>IF($D301=Lookup!$L$9,INDEX(cards[icon],MATCH($E301,cards[object_id order],0)),"")</f>
        <v>#N/A</v>
      </c>
      <c r="N301" t="e">
        <f>IF(OR(D301=Lookup!$G$10,D301=Lookup!$G$11),INDEX(cards[[1]:[25]],MATCH($E301,cards[object_id order],0),'card-code'!G301),"")</f>
        <v>#N/A</v>
      </c>
      <c r="O301" t="str">
        <f t="shared" si="13"/>
        <v/>
      </c>
      <c r="P301" s="8" t="e">
        <f>INDEX(Lookup!$H$5:$H$11,MATCH(D301,Lookup!$G$5:$G$11,0))&amp;
K301&amp;L301&amp;M301&amp;N301&amp;
INDEX(Lookup!$I$5:$I$11,MATCH(D301,Lookup!$G$5:$G$11,0))</f>
        <v>#N/A</v>
      </c>
    </row>
    <row r="302" spans="2:16" x14ac:dyDescent="0.45">
      <c r="B302">
        <f t="shared" si="12"/>
        <v>300</v>
      </c>
      <c r="C302" t="e">
        <f t="shared" si="14"/>
        <v>#N/A</v>
      </c>
      <c r="D302" t="e">
        <f>VLOOKUP(C302,Lookup!$F$5:$G$11,2,FALSE)</f>
        <v>#N/A</v>
      </c>
      <c r="E302" t="e">
        <f>IF(D302=Lookup!$G$5,E301+1,E301)</f>
        <v>#N/A</v>
      </c>
      <c r="F302" s="3" t="e">
        <f>INDEX(cards[Entities count],MATCH('card-code'!E302,cards[object_id order],0))</f>
        <v>#N/A</v>
      </c>
      <c r="G302" t="e">
        <f>IF(D301=Lookup!$G$9,1,IF(D301=Lookup!$G$10,G301+1,""))</f>
        <v>#N/A</v>
      </c>
      <c r="H302" t="e">
        <f>IF(F302=1,  IF(D302=Lookup!$G$9,2,1),  IF(G302&lt;F302-1,0,1)  )</f>
        <v>#N/A</v>
      </c>
      <c r="I302" t="e">
        <f>IF(D302&lt;&gt;Lookup!$G$7,0,IF(INDEX(cards[name],MATCH(E302,cards[object_id order],0))&lt;&gt;"",0,1))</f>
        <v>#N/A</v>
      </c>
      <c r="J302" t="e">
        <f>IF(D302&lt;&gt;Lookup!$G$7,0,IF(INDEX(cards[icon],MATCH(E302,cards[object_id order],0))&lt;&gt;"",0,1))</f>
        <v>#N/A</v>
      </c>
      <c r="K302" t="e">
        <f>IF(D302=Lookup!$G$6,INDEX(cards[object_id],MATCH('card-code'!E302,cards[object_id order],0)),"")</f>
        <v>#N/A</v>
      </c>
      <c r="L302" t="e">
        <f>IF(D302=Lookup!$G$7,INDEX(cards[name],MATCH('card-code'!E302,cards[object_id order],0)),"")</f>
        <v>#N/A</v>
      </c>
      <c r="M302" t="e">
        <f>IF($D302=Lookup!$L$9,INDEX(cards[icon],MATCH($E302,cards[object_id order],0)),"")</f>
        <v>#N/A</v>
      </c>
      <c r="N302" t="e">
        <f>IF(OR(D302=Lookup!$G$10,D302=Lookup!$G$11),INDEX(cards[[1]:[25]],MATCH($E302,cards[object_id order],0),'card-code'!G302),"")</f>
        <v>#N/A</v>
      </c>
      <c r="O302" t="str">
        <f t="shared" si="13"/>
        <v/>
      </c>
      <c r="P302" s="8" t="e">
        <f>INDEX(Lookup!$H$5:$H$11,MATCH(D302,Lookup!$G$5:$G$11,0))&amp;
K302&amp;L302&amp;M302&amp;N302&amp;
INDEX(Lookup!$I$5:$I$11,MATCH(D302,Lookup!$G$5:$G$11,0))</f>
        <v>#N/A</v>
      </c>
    </row>
    <row r="303" spans="2:16" x14ac:dyDescent="0.45">
      <c r="B303">
        <f t="shared" si="12"/>
        <v>301</v>
      </c>
      <c r="C303" t="e">
        <f t="shared" si="14"/>
        <v>#N/A</v>
      </c>
      <c r="D303" t="e">
        <f>VLOOKUP(C303,Lookup!$F$5:$G$11,2,FALSE)</f>
        <v>#N/A</v>
      </c>
      <c r="E303" t="e">
        <f>IF(D303=Lookup!$G$5,E302+1,E302)</f>
        <v>#N/A</v>
      </c>
      <c r="F303" s="3" t="e">
        <f>INDEX(cards[Entities count],MATCH('card-code'!E303,cards[object_id order],0))</f>
        <v>#N/A</v>
      </c>
      <c r="G303" t="e">
        <f>IF(D302=Lookup!$G$9,1,IF(D302=Lookup!$G$10,G302+1,""))</f>
        <v>#N/A</v>
      </c>
      <c r="H303" t="e">
        <f>IF(F303=1,  IF(D303=Lookup!$G$9,2,1),  IF(G303&lt;F303-1,0,1)  )</f>
        <v>#N/A</v>
      </c>
      <c r="I303" t="e">
        <f>IF(D303&lt;&gt;Lookup!$G$7,0,IF(INDEX(cards[name],MATCH(E303,cards[object_id order],0))&lt;&gt;"",0,1))</f>
        <v>#N/A</v>
      </c>
      <c r="J303" t="e">
        <f>IF(D303&lt;&gt;Lookup!$G$7,0,IF(INDEX(cards[icon],MATCH(E303,cards[object_id order],0))&lt;&gt;"",0,1))</f>
        <v>#N/A</v>
      </c>
      <c r="K303" t="e">
        <f>IF(D303=Lookup!$G$6,INDEX(cards[object_id],MATCH('card-code'!E303,cards[object_id order],0)),"")</f>
        <v>#N/A</v>
      </c>
      <c r="L303" t="e">
        <f>IF(D303=Lookup!$G$7,INDEX(cards[name],MATCH('card-code'!E303,cards[object_id order],0)),"")</f>
        <v>#N/A</v>
      </c>
      <c r="M303" t="e">
        <f>IF($D303=Lookup!$L$9,INDEX(cards[icon],MATCH($E303,cards[object_id order],0)),"")</f>
        <v>#N/A</v>
      </c>
      <c r="N303" t="e">
        <f>IF(OR(D303=Lookup!$G$10,D303=Lookup!$G$11),INDEX(cards[[1]:[25]],MATCH($E303,cards[object_id order],0),'card-code'!G303),"")</f>
        <v>#N/A</v>
      </c>
      <c r="O303" t="str">
        <f t="shared" si="13"/>
        <v/>
      </c>
      <c r="P303" s="8" t="e">
        <f>INDEX(Lookup!$H$5:$H$11,MATCH(D303,Lookup!$G$5:$G$11,0))&amp;
K303&amp;L303&amp;M303&amp;N303&amp;
INDEX(Lookup!$I$5:$I$11,MATCH(D303,Lookup!$G$5:$G$11,0))</f>
        <v>#N/A</v>
      </c>
    </row>
    <row r="304" spans="2:16" x14ac:dyDescent="0.45">
      <c r="B304">
        <f t="shared" si="12"/>
        <v>302</v>
      </c>
      <c r="C304" t="e">
        <f t="shared" si="14"/>
        <v>#N/A</v>
      </c>
      <c r="D304" t="e">
        <f>VLOOKUP(C304,Lookup!$F$5:$G$11,2,FALSE)</f>
        <v>#N/A</v>
      </c>
      <c r="E304" t="e">
        <f>IF(D304=Lookup!$G$5,E303+1,E303)</f>
        <v>#N/A</v>
      </c>
      <c r="F304" s="3" t="e">
        <f>INDEX(cards[Entities count],MATCH('card-code'!E304,cards[object_id order],0))</f>
        <v>#N/A</v>
      </c>
      <c r="G304" t="e">
        <f>IF(D303=Lookup!$G$9,1,IF(D303=Lookup!$G$10,G303+1,""))</f>
        <v>#N/A</v>
      </c>
      <c r="H304" t="e">
        <f>IF(F304=1,  IF(D304=Lookup!$G$9,2,1),  IF(G304&lt;F304-1,0,1)  )</f>
        <v>#N/A</v>
      </c>
      <c r="I304" t="e">
        <f>IF(D304&lt;&gt;Lookup!$G$7,0,IF(INDEX(cards[name],MATCH(E304,cards[object_id order],0))&lt;&gt;"",0,1))</f>
        <v>#N/A</v>
      </c>
      <c r="J304" t="e">
        <f>IF(D304&lt;&gt;Lookup!$G$7,0,IF(INDEX(cards[icon],MATCH(E304,cards[object_id order],0))&lt;&gt;"",0,1))</f>
        <v>#N/A</v>
      </c>
      <c r="K304" t="e">
        <f>IF(D304=Lookup!$G$6,INDEX(cards[object_id],MATCH('card-code'!E304,cards[object_id order],0)),"")</f>
        <v>#N/A</v>
      </c>
      <c r="L304" t="e">
        <f>IF(D304=Lookup!$G$7,INDEX(cards[name],MATCH('card-code'!E304,cards[object_id order],0)),"")</f>
        <v>#N/A</v>
      </c>
      <c r="M304" t="e">
        <f>IF($D304=Lookup!$L$9,INDEX(cards[icon],MATCH($E304,cards[object_id order],0)),"")</f>
        <v>#N/A</v>
      </c>
      <c r="N304" t="e">
        <f>IF(OR(D304=Lookup!$G$10,D304=Lookup!$G$11),INDEX(cards[[1]:[25]],MATCH($E304,cards[object_id order],0),'card-code'!G304),"")</f>
        <v>#N/A</v>
      </c>
      <c r="O304" t="str">
        <f t="shared" si="13"/>
        <v/>
      </c>
      <c r="P304" s="8" t="e">
        <f>INDEX(Lookup!$H$5:$H$11,MATCH(D304,Lookup!$G$5:$G$11,0))&amp;
K304&amp;L304&amp;M304&amp;N304&amp;
INDEX(Lookup!$I$5:$I$11,MATCH(D304,Lookup!$G$5:$G$11,0))</f>
        <v>#N/A</v>
      </c>
    </row>
    <row r="305" spans="2:16" x14ac:dyDescent="0.45">
      <c r="B305">
        <f t="shared" si="12"/>
        <v>303</v>
      </c>
      <c r="C305" t="e">
        <f t="shared" si="14"/>
        <v>#N/A</v>
      </c>
      <c r="D305" t="e">
        <f>VLOOKUP(C305,Lookup!$F$5:$G$11,2,FALSE)</f>
        <v>#N/A</v>
      </c>
      <c r="E305" t="e">
        <f>IF(D305=Lookup!$G$5,E304+1,E304)</f>
        <v>#N/A</v>
      </c>
      <c r="F305" s="3" t="e">
        <f>INDEX(cards[Entities count],MATCH('card-code'!E305,cards[object_id order],0))</f>
        <v>#N/A</v>
      </c>
      <c r="G305" t="e">
        <f>IF(D304=Lookup!$G$9,1,IF(D304=Lookup!$G$10,G304+1,""))</f>
        <v>#N/A</v>
      </c>
      <c r="H305" t="e">
        <f>IF(F305=1,  IF(D305=Lookup!$G$9,2,1),  IF(G305&lt;F305-1,0,1)  )</f>
        <v>#N/A</v>
      </c>
      <c r="I305" t="e">
        <f>IF(D305&lt;&gt;Lookup!$G$7,0,IF(INDEX(cards[name],MATCH(E305,cards[object_id order],0))&lt;&gt;"",0,1))</f>
        <v>#N/A</v>
      </c>
      <c r="J305" t="e">
        <f>IF(D305&lt;&gt;Lookup!$G$7,0,IF(INDEX(cards[icon],MATCH(E305,cards[object_id order],0))&lt;&gt;"",0,1))</f>
        <v>#N/A</v>
      </c>
      <c r="K305" t="e">
        <f>IF(D305=Lookup!$G$6,INDEX(cards[object_id],MATCH('card-code'!E305,cards[object_id order],0)),"")</f>
        <v>#N/A</v>
      </c>
      <c r="L305" t="e">
        <f>IF(D305=Lookup!$G$7,INDEX(cards[name],MATCH('card-code'!E305,cards[object_id order],0)),"")</f>
        <v>#N/A</v>
      </c>
      <c r="M305" t="e">
        <f>IF($D305=Lookup!$L$9,INDEX(cards[icon],MATCH($E305,cards[object_id order],0)),"")</f>
        <v>#N/A</v>
      </c>
      <c r="N305" t="e">
        <f>IF(OR(D305=Lookup!$G$10,D305=Lookup!$G$11),INDEX(cards[[1]:[25]],MATCH($E305,cards[object_id order],0),'card-code'!G305),"")</f>
        <v>#N/A</v>
      </c>
      <c r="O305" t="str">
        <f t="shared" si="13"/>
        <v/>
      </c>
      <c r="P305" s="8" t="e">
        <f>INDEX(Lookup!$H$5:$H$11,MATCH(D305,Lookup!$G$5:$G$11,0))&amp;
K305&amp;L305&amp;M305&amp;N305&amp;
INDEX(Lookup!$I$5:$I$11,MATCH(D305,Lookup!$G$5:$G$11,0))</f>
        <v>#N/A</v>
      </c>
    </row>
    <row r="306" spans="2:16" x14ac:dyDescent="0.45">
      <c r="B306">
        <f t="shared" si="12"/>
        <v>304</v>
      </c>
      <c r="C306" t="e">
        <f t="shared" si="14"/>
        <v>#N/A</v>
      </c>
      <c r="D306" t="e">
        <f>VLOOKUP(C306,Lookup!$F$5:$G$11,2,FALSE)</f>
        <v>#N/A</v>
      </c>
      <c r="E306" t="e">
        <f>IF(D306=Lookup!$G$5,E305+1,E305)</f>
        <v>#N/A</v>
      </c>
      <c r="F306" s="3" t="e">
        <f>INDEX(cards[Entities count],MATCH('card-code'!E306,cards[object_id order],0))</f>
        <v>#N/A</v>
      </c>
      <c r="G306" t="e">
        <f>IF(D305=Lookup!$G$9,1,IF(D305=Lookup!$G$10,G305+1,""))</f>
        <v>#N/A</v>
      </c>
      <c r="H306" t="e">
        <f>IF(F306=1,  IF(D306=Lookup!$G$9,2,1),  IF(G306&lt;F306-1,0,1)  )</f>
        <v>#N/A</v>
      </c>
      <c r="I306" t="e">
        <f>IF(D306&lt;&gt;Lookup!$G$7,0,IF(INDEX(cards[name],MATCH(E306,cards[object_id order],0))&lt;&gt;"",0,1))</f>
        <v>#N/A</v>
      </c>
      <c r="J306" t="e">
        <f>IF(D306&lt;&gt;Lookup!$G$7,0,IF(INDEX(cards[icon],MATCH(E306,cards[object_id order],0))&lt;&gt;"",0,1))</f>
        <v>#N/A</v>
      </c>
      <c r="K306" t="e">
        <f>IF(D306=Lookup!$G$6,INDEX(cards[object_id],MATCH('card-code'!E306,cards[object_id order],0)),"")</f>
        <v>#N/A</v>
      </c>
      <c r="L306" t="e">
        <f>IF(D306=Lookup!$G$7,INDEX(cards[name],MATCH('card-code'!E306,cards[object_id order],0)),"")</f>
        <v>#N/A</v>
      </c>
      <c r="M306" t="e">
        <f>IF($D306=Lookup!$L$9,INDEX(cards[icon],MATCH($E306,cards[object_id order],0)),"")</f>
        <v>#N/A</v>
      </c>
      <c r="N306" t="e">
        <f>IF(OR(D306=Lookup!$G$10,D306=Lookup!$G$11),INDEX(cards[[1]:[25]],MATCH($E306,cards[object_id order],0),'card-code'!G306),"")</f>
        <v>#N/A</v>
      </c>
      <c r="O306" t="str">
        <f t="shared" si="13"/>
        <v/>
      </c>
      <c r="P306" s="8" t="e">
        <f>INDEX(Lookup!$H$5:$H$11,MATCH(D306,Lookup!$G$5:$G$11,0))&amp;
K306&amp;L306&amp;M306&amp;N306&amp;
INDEX(Lookup!$I$5:$I$11,MATCH(D306,Lookup!$G$5:$G$11,0))</f>
        <v>#N/A</v>
      </c>
    </row>
    <row r="307" spans="2:16" x14ac:dyDescent="0.45">
      <c r="B307">
        <f t="shared" si="12"/>
        <v>305</v>
      </c>
      <c r="C307" t="e">
        <f t="shared" si="14"/>
        <v>#N/A</v>
      </c>
      <c r="D307" t="e">
        <f>VLOOKUP(C307,Lookup!$F$5:$G$11,2,FALSE)</f>
        <v>#N/A</v>
      </c>
      <c r="E307" t="e">
        <f>IF(D307=Lookup!$G$5,E306+1,E306)</f>
        <v>#N/A</v>
      </c>
      <c r="F307" s="3" t="e">
        <f>INDEX(cards[Entities count],MATCH('card-code'!E307,cards[object_id order],0))</f>
        <v>#N/A</v>
      </c>
      <c r="G307" t="e">
        <f>IF(D306=Lookup!$G$9,1,IF(D306=Lookup!$G$10,G306+1,""))</f>
        <v>#N/A</v>
      </c>
      <c r="H307" t="e">
        <f>IF(F307=1,  IF(D307=Lookup!$G$9,2,1),  IF(G307&lt;F307-1,0,1)  )</f>
        <v>#N/A</v>
      </c>
      <c r="I307" t="e">
        <f>IF(D307&lt;&gt;Lookup!$G$7,0,IF(INDEX(cards[name],MATCH(E307,cards[object_id order],0))&lt;&gt;"",0,1))</f>
        <v>#N/A</v>
      </c>
      <c r="J307" t="e">
        <f>IF(D307&lt;&gt;Lookup!$G$7,0,IF(INDEX(cards[icon],MATCH(E307,cards[object_id order],0))&lt;&gt;"",0,1))</f>
        <v>#N/A</v>
      </c>
      <c r="K307" t="e">
        <f>IF(D307=Lookup!$G$6,INDEX(cards[object_id],MATCH('card-code'!E307,cards[object_id order],0)),"")</f>
        <v>#N/A</v>
      </c>
      <c r="L307" t="e">
        <f>IF(D307=Lookup!$G$7,INDEX(cards[name],MATCH('card-code'!E307,cards[object_id order],0)),"")</f>
        <v>#N/A</v>
      </c>
      <c r="M307" t="e">
        <f>IF($D307=Lookup!$L$9,INDEX(cards[icon],MATCH($E307,cards[object_id order],0)),"")</f>
        <v>#N/A</v>
      </c>
      <c r="N307" t="e">
        <f>IF(OR(D307=Lookup!$G$10,D307=Lookup!$G$11),INDEX(cards[[1]:[25]],MATCH($E307,cards[object_id order],0),'card-code'!G307),"")</f>
        <v>#N/A</v>
      </c>
      <c r="O307" t="str">
        <f t="shared" si="13"/>
        <v/>
      </c>
      <c r="P307" s="8" t="e">
        <f>INDEX(Lookup!$H$5:$H$11,MATCH(D307,Lookup!$G$5:$G$11,0))&amp;
K307&amp;L307&amp;M307&amp;N307&amp;
INDEX(Lookup!$I$5:$I$11,MATCH(D307,Lookup!$G$5:$G$11,0))</f>
        <v>#N/A</v>
      </c>
    </row>
    <row r="308" spans="2:16" x14ac:dyDescent="0.45">
      <c r="B308">
        <f t="shared" si="12"/>
        <v>306</v>
      </c>
      <c r="C308" t="e">
        <f t="shared" si="14"/>
        <v>#N/A</v>
      </c>
      <c r="D308" t="e">
        <f>VLOOKUP(C308,Lookup!$F$5:$G$11,2,FALSE)</f>
        <v>#N/A</v>
      </c>
      <c r="E308" t="e">
        <f>IF(D308=Lookup!$G$5,E307+1,E307)</f>
        <v>#N/A</v>
      </c>
      <c r="F308" s="3" t="e">
        <f>INDEX(cards[Entities count],MATCH('card-code'!E308,cards[object_id order],0))</f>
        <v>#N/A</v>
      </c>
      <c r="G308" t="e">
        <f>IF(D307=Lookup!$G$9,1,IF(D307=Lookup!$G$10,G307+1,""))</f>
        <v>#N/A</v>
      </c>
      <c r="H308" t="e">
        <f>IF(F308=1,  IF(D308=Lookup!$G$9,2,1),  IF(G308&lt;F308-1,0,1)  )</f>
        <v>#N/A</v>
      </c>
      <c r="I308" t="e">
        <f>IF(D308&lt;&gt;Lookup!$G$7,0,IF(INDEX(cards[name],MATCH(E308,cards[object_id order],0))&lt;&gt;"",0,1))</f>
        <v>#N/A</v>
      </c>
      <c r="J308" t="e">
        <f>IF(D308&lt;&gt;Lookup!$G$7,0,IF(INDEX(cards[icon],MATCH(E308,cards[object_id order],0))&lt;&gt;"",0,1))</f>
        <v>#N/A</v>
      </c>
      <c r="K308" t="e">
        <f>IF(D308=Lookup!$G$6,INDEX(cards[object_id],MATCH('card-code'!E308,cards[object_id order],0)),"")</f>
        <v>#N/A</v>
      </c>
      <c r="L308" t="e">
        <f>IF(D308=Lookup!$G$7,INDEX(cards[name],MATCH('card-code'!E308,cards[object_id order],0)),"")</f>
        <v>#N/A</v>
      </c>
      <c r="M308" t="e">
        <f>IF($D308=Lookup!$L$9,INDEX(cards[icon],MATCH($E308,cards[object_id order],0)),"")</f>
        <v>#N/A</v>
      </c>
      <c r="N308" t="e">
        <f>IF(OR(D308=Lookup!$G$10,D308=Lookup!$G$11),INDEX(cards[[1]:[25]],MATCH($E308,cards[object_id order],0),'card-code'!G308),"")</f>
        <v>#N/A</v>
      </c>
      <c r="O308" t="str">
        <f t="shared" si="13"/>
        <v/>
      </c>
      <c r="P308" s="8" t="e">
        <f>INDEX(Lookup!$H$5:$H$11,MATCH(D308,Lookup!$G$5:$G$11,0))&amp;
K308&amp;L308&amp;M308&amp;N308&amp;
INDEX(Lookup!$I$5:$I$11,MATCH(D308,Lookup!$G$5:$G$11,0))</f>
        <v>#N/A</v>
      </c>
    </row>
    <row r="309" spans="2:16" x14ac:dyDescent="0.45">
      <c r="B309">
        <f t="shared" si="12"/>
        <v>307</v>
      </c>
      <c r="C309" t="e">
        <f t="shared" si="14"/>
        <v>#N/A</v>
      </c>
      <c r="D309" t="e">
        <f>VLOOKUP(C309,Lookup!$F$5:$G$11,2,FALSE)</f>
        <v>#N/A</v>
      </c>
      <c r="E309" t="e">
        <f>IF(D309=Lookup!$G$5,E308+1,E308)</f>
        <v>#N/A</v>
      </c>
      <c r="F309" s="3" t="e">
        <f>INDEX(cards[Entities count],MATCH('card-code'!E309,cards[object_id order],0))</f>
        <v>#N/A</v>
      </c>
      <c r="G309" t="e">
        <f>IF(D308=Lookup!$G$9,1,IF(D308=Lookup!$G$10,G308+1,""))</f>
        <v>#N/A</v>
      </c>
      <c r="H309" t="e">
        <f>IF(F309=1,  IF(D309=Lookup!$G$9,2,1),  IF(G309&lt;F309-1,0,1)  )</f>
        <v>#N/A</v>
      </c>
      <c r="I309" t="e">
        <f>IF(D309&lt;&gt;Lookup!$G$7,0,IF(INDEX(cards[name],MATCH(E309,cards[object_id order],0))&lt;&gt;"",0,1))</f>
        <v>#N/A</v>
      </c>
      <c r="J309" t="e">
        <f>IF(D309&lt;&gt;Lookup!$G$7,0,IF(INDEX(cards[icon],MATCH(E309,cards[object_id order],0))&lt;&gt;"",0,1))</f>
        <v>#N/A</v>
      </c>
      <c r="K309" t="e">
        <f>IF(D309=Lookup!$G$6,INDEX(cards[object_id],MATCH('card-code'!E309,cards[object_id order],0)),"")</f>
        <v>#N/A</v>
      </c>
      <c r="L309" t="e">
        <f>IF(D309=Lookup!$G$7,INDEX(cards[name],MATCH('card-code'!E309,cards[object_id order],0)),"")</f>
        <v>#N/A</v>
      </c>
      <c r="M309" t="e">
        <f>IF($D309=Lookup!$L$9,INDEX(cards[icon],MATCH($E309,cards[object_id order],0)),"")</f>
        <v>#N/A</v>
      </c>
      <c r="N309" t="e">
        <f>IF(OR(D309=Lookup!$G$10,D309=Lookup!$G$11),INDEX(cards[[1]:[25]],MATCH($E309,cards[object_id order],0),'card-code'!G309),"")</f>
        <v>#N/A</v>
      </c>
      <c r="O309" t="str">
        <f t="shared" si="13"/>
        <v/>
      </c>
      <c r="P309" s="8" t="e">
        <f>INDEX(Lookup!$H$5:$H$11,MATCH(D309,Lookup!$G$5:$G$11,0))&amp;
K309&amp;L309&amp;M309&amp;N309&amp;
INDEX(Lookup!$I$5:$I$11,MATCH(D309,Lookup!$G$5:$G$11,0))</f>
        <v>#N/A</v>
      </c>
    </row>
    <row r="310" spans="2:16" x14ac:dyDescent="0.45">
      <c r="B310">
        <f t="shared" si="12"/>
        <v>308</v>
      </c>
      <c r="C310" t="e">
        <f t="shared" si="14"/>
        <v>#N/A</v>
      </c>
      <c r="D310" t="e">
        <f>VLOOKUP(C310,Lookup!$F$5:$G$11,2,FALSE)</f>
        <v>#N/A</v>
      </c>
      <c r="E310" t="e">
        <f>IF(D310=Lookup!$G$5,E309+1,E309)</f>
        <v>#N/A</v>
      </c>
      <c r="F310" s="3" t="e">
        <f>INDEX(cards[Entities count],MATCH('card-code'!E310,cards[object_id order],0))</f>
        <v>#N/A</v>
      </c>
      <c r="G310" t="e">
        <f>IF(D309=Lookup!$G$9,1,IF(D309=Lookup!$G$10,G309+1,""))</f>
        <v>#N/A</v>
      </c>
      <c r="H310" t="e">
        <f>IF(F310=1,  IF(D310=Lookup!$G$9,2,1),  IF(G310&lt;F310-1,0,1)  )</f>
        <v>#N/A</v>
      </c>
      <c r="I310" t="e">
        <f>IF(D310&lt;&gt;Lookup!$G$7,0,IF(INDEX(cards[name],MATCH(E310,cards[object_id order],0))&lt;&gt;"",0,1))</f>
        <v>#N/A</v>
      </c>
      <c r="J310" t="e">
        <f>IF(D310&lt;&gt;Lookup!$G$7,0,IF(INDEX(cards[icon],MATCH(E310,cards[object_id order],0))&lt;&gt;"",0,1))</f>
        <v>#N/A</v>
      </c>
      <c r="K310" t="e">
        <f>IF(D310=Lookup!$G$6,INDEX(cards[object_id],MATCH('card-code'!E310,cards[object_id order],0)),"")</f>
        <v>#N/A</v>
      </c>
      <c r="L310" t="e">
        <f>IF(D310=Lookup!$G$7,INDEX(cards[name],MATCH('card-code'!E310,cards[object_id order],0)),"")</f>
        <v>#N/A</v>
      </c>
      <c r="M310" t="e">
        <f>IF($D310=Lookup!$L$9,INDEX(cards[icon],MATCH($E310,cards[object_id order],0)),"")</f>
        <v>#N/A</v>
      </c>
      <c r="N310" t="e">
        <f>IF(OR(D310=Lookup!$G$10,D310=Lookup!$G$11),INDEX(cards[[1]:[25]],MATCH($E310,cards[object_id order],0),'card-code'!G310),"")</f>
        <v>#N/A</v>
      </c>
      <c r="O310" t="str">
        <f t="shared" si="13"/>
        <v/>
      </c>
      <c r="P310" s="8" t="e">
        <f>INDEX(Lookup!$H$5:$H$11,MATCH(D310,Lookup!$G$5:$G$11,0))&amp;
K310&amp;L310&amp;M310&amp;N310&amp;
INDEX(Lookup!$I$5:$I$11,MATCH(D310,Lookup!$G$5:$G$11,0))</f>
        <v>#N/A</v>
      </c>
    </row>
    <row r="311" spans="2:16" x14ac:dyDescent="0.45">
      <c r="B311">
        <f t="shared" si="12"/>
        <v>309</v>
      </c>
      <c r="C311" t="e">
        <f t="shared" si="14"/>
        <v>#N/A</v>
      </c>
      <c r="D311" t="e">
        <f>VLOOKUP(C311,Lookup!$F$5:$G$11,2,FALSE)</f>
        <v>#N/A</v>
      </c>
      <c r="E311" t="e">
        <f>IF(D311=Lookup!$G$5,E310+1,E310)</f>
        <v>#N/A</v>
      </c>
      <c r="F311" s="3" t="e">
        <f>INDEX(cards[Entities count],MATCH('card-code'!E311,cards[object_id order],0))</f>
        <v>#N/A</v>
      </c>
      <c r="G311" t="e">
        <f>IF(D310=Lookup!$G$9,1,IF(D310=Lookup!$G$10,G310+1,""))</f>
        <v>#N/A</v>
      </c>
      <c r="H311" t="e">
        <f>IF(F311=1,  IF(D311=Lookup!$G$9,2,1),  IF(G311&lt;F311-1,0,1)  )</f>
        <v>#N/A</v>
      </c>
      <c r="I311" t="e">
        <f>IF(D311&lt;&gt;Lookup!$G$7,0,IF(INDEX(cards[name],MATCH(E311,cards[object_id order],0))&lt;&gt;"",0,1))</f>
        <v>#N/A</v>
      </c>
      <c r="J311" t="e">
        <f>IF(D311&lt;&gt;Lookup!$G$7,0,IF(INDEX(cards[icon],MATCH(E311,cards[object_id order],0))&lt;&gt;"",0,1))</f>
        <v>#N/A</v>
      </c>
      <c r="K311" t="e">
        <f>IF(D311=Lookup!$G$6,INDEX(cards[object_id],MATCH('card-code'!E311,cards[object_id order],0)),"")</f>
        <v>#N/A</v>
      </c>
      <c r="L311" t="e">
        <f>IF(D311=Lookup!$G$7,INDEX(cards[name],MATCH('card-code'!E311,cards[object_id order],0)),"")</f>
        <v>#N/A</v>
      </c>
      <c r="M311" t="e">
        <f>IF($D311=Lookup!$L$9,INDEX(cards[icon],MATCH($E311,cards[object_id order],0)),"")</f>
        <v>#N/A</v>
      </c>
      <c r="N311" t="e">
        <f>IF(OR(D311=Lookup!$G$10,D311=Lookup!$G$11),INDEX(cards[[1]:[25]],MATCH($E311,cards[object_id order],0),'card-code'!G311),"")</f>
        <v>#N/A</v>
      </c>
      <c r="O311" t="str">
        <f t="shared" si="13"/>
        <v/>
      </c>
      <c r="P311" s="8" t="e">
        <f>INDEX(Lookup!$H$5:$H$11,MATCH(D311,Lookup!$G$5:$G$11,0))&amp;
K311&amp;L311&amp;M311&amp;N311&amp;
INDEX(Lookup!$I$5:$I$11,MATCH(D311,Lookup!$G$5:$G$11,0))</f>
        <v>#N/A</v>
      </c>
    </row>
    <row r="312" spans="2:16" x14ac:dyDescent="0.45">
      <c r="B312">
        <f t="shared" si="12"/>
        <v>310</v>
      </c>
      <c r="C312" t="e">
        <f t="shared" si="14"/>
        <v>#N/A</v>
      </c>
      <c r="D312" t="e">
        <f>VLOOKUP(C312,Lookup!$F$5:$G$11,2,FALSE)</f>
        <v>#N/A</v>
      </c>
      <c r="E312" t="e">
        <f>IF(D312=Lookup!$G$5,E311+1,E311)</f>
        <v>#N/A</v>
      </c>
      <c r="F312" s="3" t="e">
        <f>INDEX(cards[Entities count],MATCH('card-code'!E312,cards[object_id order],0))</f>
        <v>#N/A</v>
      </c>
      <c r="G312" t="e">
        <f>IF(D311=Lookup!$G$9,1,IF(D311=Lookup!$G$10,G311+1,""))</f>
        <v>#N/A</v>
      </c>
      <c r="H312" t="e">
        <f>IF(F312=1,  IF(D312=Lookup!$G$9,2,1),  IF(G312&lt;F312-1,0,1)  )</f>
        <v>#N/A</v>
      </c>
      <c r="I312" t="e">
        <f>IF(D312&lt;&gt;Lookup!$G$7,0,IF(INDEX(cards[name],MATCH(E312,cards[object_id order],0))&lt;&gt;"",0,1))</f>
        <v>#N/A</v>
      </c>
      <c r="J312" t="e">
        <f>IF(D312&lt;&gt;Lookup!$G$7,0,IF(INDEX(cards[icon],MATCH(E312,cards[object_id order],0))&lt;&gt;"",0,1))</f>
        <v>#N/A</v>
      </c>
      <c r="K312" t="e">
        <f>IF(D312=Lookup!$G$6,INDEX(cards[object_id],MATCH('card-code'!E312,cards[object_id order],0)),"")</f>
        <v>#N/A</v>
      </c>
      <c r="L312" t="e">
        <f>IF(D312=Lookup!$G$7,INDEX(cards[name],MATCH('card-code'!E312,cards[object_id order],0)),"")</f>
        <v>#N/A</v>
      </c>
      <c r="M312" t="e">
        <f>IF($D312=Lookup!$L$9,INDEX(cards[icon],MATCH($E312,cards[object_id order],0)),"")</f>
        <v>#N/A</v>
      </c>
      <c r="N312" t="e">
        <f>IF(OR(D312=Lookup!$G$10,D312=Lookup!$G$11),INDEX(cards[[1]:[25]],MATCH($E312,cards[object_id order],0),'card-code'!G312),"")</f>
        <v>#N/A</v>
      </c>
      <c r="O312" t="str">
        <f t="shared" si="13"/>
        <v/>
      </c>
      <c r="P312" s="8" t="e">
        <f>INDEX(Lookup!$H$5:$H$11,MATCH(D312,Lookup!$G$5:$G$11,0))&amp;
K312&amp;L312&amp;M312&amp;N312&amp;
INDEX(Lookup!$I$5:$I$11,MATCH(D312,Lookup!$G$5:$G$11,0))</f>
        <v>#N/A</v>
      </c>
    </row>
    <row r="313" spans="2:16" x14ac:dyDescent="0.45">
      <c r="B313">
        <f t="shared" si="12"/>
        <v>311</v>
      </c>
      <c r="C313" t="e">
        <f t="shared" si="14"/>
        <v>#N/A</v>
      </c>
      <c r="D313" t="e">
        <f>VLOOKUP(C313,Lookup!$F$5:$G$11,2,FALSE)</f>
        <v>#N/A</v>
      </c>
      <c r="E313" t="e">
        <f>IF(D313=Lookup!$G$5,E312+1,E312)</f>
        <v>#N/A</v>
      </c>
      <c r="F313" s="3" t="e">
        <f>INDEX(cards[Entities count],MATCH('card-code'!E313,cards[object_id order],0))</f>
        <v>#N/A</v>
      </c>
      <c r="G313" t="e">
        <f>IF(D312=Lookup!$G$9,1,IF(D312=Lookup!$G$10,G312+1,""))</f>
        <v>#N/A</v>
      </c>
      <c r="H313" t="e">
        <f>IF(F313=1,  IF(D313=Lookup!$G$9,2,1),  IF(G313&lt;F313-1,0,1)  )</f>
        <v>#N/A</v>
      </c>
      <c r="I313" t="e">
        <f>IF(D313&lt;&gt;Lookup!$G$7,0,IF(INDEX(cards[name],MATCH(E313,cards[object_id order],0))&lt;&gt;"",0,1))</f>
        <v>#N/A</v>
      </c>
      <c r="J313" t="e">
        <f>IF(D313&lt;&gt;Lookup!$G$7,0,IF(INDEX(cards[icon],MATCH(E313,cards[object_id order],0))&lt;&gt;"",0,1))</f>
        <v>#N/A</v>
      </c>
      <c r="K313" t="e">
        <f>IF(D313=Lookup!$G$6,INDEX(cards[object_id],MATCH('card-code'!E313,cards[object_id order],0)),"")</f>
        <v>#N/A</v>
      </c>
      <c r="L313" t="e">
        <f>IF(D313=Lookup!$G$7,INDEX(cards[name],MATCH('card-code'!E313,cards[object_id order],0)),"")</f>
        <v>#N/A</v>
      </c>
      <c r="M313" t="e">
        <f>IF($D313=Lookup!$L$9,INDEX(cards[icon],MATCH($E313,cards[object_id order],0)),"")</f>
        <v>#N/A</v>
      </c>
      <c r="N313" t="e">
        <f>IF(OR(D313=Lookup!$G$10,D313=Lookup!$G$11),INDEX(cards[[1]:[25]],MATCH($E313,cards[object_id order],0),'card-code'!G313),"")</f>
        <v>#N/A</v>
      </c>
      <c r="O313" t="str">
        <f t="shared" si="13"/>
        <v/>
      </c>
      <c r="P313" s="8" t="e">
        <f>INDEX(Lookup!$H$5:$H$11,MATCH(D313,Lookup!$G$5:$G$11,0))&amp;
K313&amp;L313&amp;M313&amp;N313&amp;
INDEX(Lookup!$I$5:$I$11,MATCH(D313,Lookup!$G$5:$G$11,0))</f>
        <v>#N/A</v>
      </c>
    </row>
    <row r="314" spans="2:16" x14ac:dyDescent="0.45">
      <c r="B314">
        <f t="shared" si="12"/>
        <v>312</v>
      </c>
      <c r="C314" t="e">
        <f t="shared" si="14"/>
        <v>#N/A</v>
      </c>
      <c r="D314" t="e">
        <f>VLOOKUP(C314,Lookup!$F$5:$G$11,2,FALSE)</f>
        <v>#N/A</v>
      </c>
      <c r="E314" t="e">
        <f>IF(D314=Lookup!$G$5,E313+1,E313)</f>
        <v>#N/A</v>
      </c>
      <c r="F314" s="3" t="e">
        <f>INDEX(cards[Entities count],MATCH('card-code'!E314,cards[object_id order],0))</f>
        <v>#N/A</v>
      </c>
      <c r="G314" t="e">
        <f>IF(D313=Lookup!$G$9,1,IF(D313=Lookup!$G$10,G313+1,""))</f>
        <v>#N/A</v>
      </c>
      <c r="H314" t="e">
        <f>IF(F314=1,  IF(D314=Lookup!$G$9,2,1),  IF(G314&lt;F314-1,0,1)  )</f>
        <v>#N/A</v>
      </c>
      <c r="I314" t="e">
        <f>IF(D314&lt;&gt;Lookup!$G$7,0,IF(INDEX(cards[name],MATCH(E314,cards[object_id order],0))&lt;&gt;"",0,1))</f>
        <v>#N/A</v>
      </c>
      <c r="J314" t="e">
        <f>IF(D314&lt;&gt;Lookup!$G$7,0,IF(INDEX(cards[icon],MATCH(E314,cards[object_id order],0))&lt;&gt;"",0,1))</f>
        <v>#N/A</v>
      </c>
      <c r="K314" t="e">
        <f>IF(D314=Lookup!$G$6,INDEX(cards[object_id],MATCH('card-code'!E314,cards[object_id order],0)),"")</f>
        <v>#N/A</v>
      </c>
      <c r="L314" t="e">
        <f>IF(D314=Lookup!$G$7,INDEX(cards[name],MATCH('card-code'!E314,cards[object_id order],0)),"")</f>
        <v>#N/A</v>
      </c>
      <c r="M314" t="e">
        <f>IF($D314=Lookup!$L$9,INDEX(cards[icon],MATCH($E314,cards[object_id order],0)),"")</f>
        <v>#N/A</v>
      </c>
      <c r="N314" t="e">
        <f>IF(OR(D314=Lookup!$G$10,D314=Lookup!$G$11),INDEX(cards[[1]:[25]],MATCH($E314,cards[object_id order],0),'card-code'!G314),"")</f>
        <v>#N/A</v>
      </c>
      <c r="O314" t="str">
        <f t="shared" si="13"/>
        <v/>
      </c>
      <c r="P314" s="8" t="e">
        <f>INDEX(Lookup!$H$5:$H$11,MATCH(D314,Lookup!$G$5:$G$11,0))&amp;
K314&amp;L314&amp;M314&amp;N314&amp;
INDEX(Lookup!$I$5:$I$11,MATCH(D314,Lookup!$G$5:$G$11,0))</f>
        <v>#N/A</v>
      </c>
    </row>
    <row r="315" spans="2:16" x14ac:dyDescent="0.45">
      <c r="B315">
        <f t="shared" si="12"/>
        <v>313</v>
      </c>
      <c r="C315" t="e">
        <f t="shared" si="14"/>
        <v>#N/A</v>
      </c>
      <c r="D315" t="e">
        <f>VLOOKUP(C315,Lookup!$F$5:$G$11,2,FALSE)</f>
        <v>#N/A</v>
      </c>
      <c r="E315" t="e">
        <f>IF(D315=Lookup!$G$5,E314+1,E314)</f>
        <v>#N/A</v>
      </c>
      <c r="F315" s="3" t="e">
        <f>INDEX(cards[Entities count],MATCH('card-code'!E315,cards[object_id order],0))</f>
        <v>#N/A</v>
      </c>
      <c r="G315" t="e">
        <f>IF(D314=Lookup!$G$9,1,IF(D314=Lookup!$G$10,G314+1,""))</f>
        <v>#N/A</v>
      </c>
      <c r="H315" t="e">
        <f>IF(F315=1,  IF(D315=Lookup!$G$9,2,1),  IF(G315&lt;F315-1,0,1)  )</f>
        <v>#N/A</v>
      </c>
      <c r="I315" t="e">
        <f>IF(D315&lt;&gt;Lookup!$G$7,0,IF(INDEX(cards[name],MATCH(E315,cards[object_id order],0))&lt;&gt;"",0,1))</f>
        <v>#N/A</v>
      </c>
      <c r="J315" t="e">
        <f>IF(D315&lt;&gt;Lookup!$G$7,0,IF(INDEX(cards[icon],MATCH(E315,cards[object_id order],0))&lt;&gt;"",0,1))</f>
        <v>#N/A</v>
      </c>
      <c r="K315" t="e">
        <f>IF(D315=Lookup!$G$6,INDEX(cards[object_id],MATCH('card-code'!E315,cards[object_id order],0)),"")</f>
        <v>#N/A</v>
      </c>
      <c r="L315" t="e">
        <f>IF(D315=Lookup!$G$7,INDEX(cards[name],MATCH('card-code'!E315,cards[object_id order],0)),"")</f>
        <v>#N/A</v>
      </c>
      <c r="M315" t="e">
        <f>IF($D315=Lookup!$L$9,INDEX(cards[icon],MATCH($E315,cards[object_id order],0)),"")</f>
        <v>#N/A</v>
      </c>
      <c r="N315" t="e">
        <f>IF(OR(D315=Lookup!$G$10,D315=Lookup!$G$11),INDEX(cards[[1]:[25]],MATCH($E315,cards[object_id order],0),'card-code'!G315),"")</f>
        <v>#N/A</v>
      </c>
      <c r="O315" t="str">
        <f t="shared" si="13"/>
        <v/>
      </c>
      <c r="P315" s="8" t="e">
        <f>INDEX(Lookup!$H$5:$H$11,MATCH(D315,Lookup!$G$5:$G$11,0))&amp;
K315&amp;L315&amp;M315&amp;N315&amp;
INDEX(Lookup!$I$5:$I$11,MATCH(D315,Lookup!$G$5:$G$11,0))</f>
        <v>#N/A</v>
      </c>
    </row>
    <row r="316" spans="2:16" x14ac:dyDescent="0.45">
      <c r="B316">
        <f t="shared" si="12"/>
        <v>314</v>
      </c>
      <c r="C316" t="e">
        <f t="shared" si="14"/>
        <v>#N/A</v>
      </c>
      <c r="D316" t="e">
        <f>VLOOKUP(C316,Lookup!$F$5:$G$11,2,FALSE)</f>
        <v>#N/A</v>
      </c>
      <c r="E316" t="e">
        <f>IF(D316=Lookup!$G$5,E315+1,E315)</f>
        <v>#N/A</v>
      </c>
      <c r="F316" s="3" t="e">
        <f>INDEX(cards[Entities count],MATCH('card-code'!E316,cards[object_id order],0))</f>
        <v>#N/A</v>
      </c>
      <c r="G316" t="e">
        <f>IF(D315=Lookup!$G$9,1,IF(D315=Lookup!$G$10,G315+1,""))</f>
        <v>#N/A</v>
      </c>
      <c r="H316" t="e">
        <f>IF(F316=1,  IF(D316=Lookup!$G$9,2,1),  IF(G316&lt;F316-1,0,1)  )</f>
        <v>#N/A</v>
      </c>
      <c r="I316" t="e">
        <f>IF(D316&lt;&gt;Lookup!$G$7,0,IF(INDEX(cards[name],MATCH(E316,cards[object_id order],0))&lt;&gt;"",0,1))</f>
        <v>#N/A</v>
      </c>
      <c r="J316" t="e">
        <f>IF(D316&lt;&gt;Lookup!$G$7,0,IF(INDEX(cards[icon],MATCH(E316,cards[object_id order],0))&lt;&gt;"",0,1))</f>
        <v>#N/A</v>
      </c>
      <c r="K316" t="e">
        <f>IF(D316=Lookup!$G$6,INDEX(cards[object_id],MATCH('card-code'!E316,cards[object_id order],0)),"")</f>
        <v>#N/A</v>
      </c>
      <c r="L316" t="e">
        <f>IF(D316=Lookup!$G$7,INDEX(cards[name],MATCH('card-code'!E316,cards[object_id order],0)),"")</f>
        <v>#N/A</v>
      </c>
      <c r="M316" t="e">
        <f>IF($D316=Lookup!$L$9,INDEX(cards[icon],MATCH($E316,cards[object_id order],0)),"")</f>
        <v>#N/A</v>
      </c>
      <c r="N316" t="e">
        <f>IF(OR(D316=Lookup!$G$10,D316=Lookup!$G$11),INDEX(cards[[1]:[25]],MATCH($E316,cards[object_id order],0),'card-code'!G316),"")</f>
        <v>#N/A</v>
      </c>
      <c r="O316" t="str">
        <f t="shared" si="13"/>
        <v/>
      </c>
      <c r="P316" s="8" t="e">
        <f>INDEX(Lookup!$H$5:$H$11,MATCH(D316,Lookup!$G$5:$G$11,0))&amp;
K316&amp;L316&amp;M316&amp;N316&amp;
INDEX(Lookup!$I$5:$I$11,MATCH(D316,Lookup!$G$5:$G$11,0))</f>
        <v>#N/A</v>
      </c>
    </row>
    <row r="317" spans="2:16" x14ac:dyDescent="0.45">
      <c r="B317">
        <f t="shared" si="12"/>
        <v>315</v>
      </c>
      <c r="C317" t="e">
        <f t="shared" si="14"/>
        <v>#N/A</v>
      </c>
      <c r="D317" t="e">
        <f>VLOOKUP(C317,Lookup!$F$5:$G$11,2,FALSE)</f>
        <v>#N/A</v>
      </c>
      <c r="E317" t="e">
        <f>IF(D317=Lookup!$G$5,E316+1,E316)</f>
        <v>#N/A</v>
      </c>
      <c r="F317" s="3" t="e">
        <f>INDEX(cards[Entities count],MATCH('card-code'!E317,cards[object_id order],0))</f>
        <v>#N/A</v>
      </c>
      <c r="G317" t="e">
        <f>IF(D316=Lookup!$G$9,1,IF(D316=Lookup!$G$10,G316+1,""))</f>
        <v>#N/A</v>
      </c>
      <c r="H317" t="e">
        <f>IF(F317=1,  IF(D317=Lookup!$G$9,2,1),  IF(G317&lt;F317-1,0,1)  )</f>
        <v>#N/A</v>
      </c>
      <c r="I317" t="e">
        <f>IF(D317&lt;&gt;Lookup!$G$7,0,IF(INDEX(cards[name],MATCH(E317,cards[object_id order],0))&lt;&gt;"",0,1))</f>
        <v>#N/A</v>
      </c>
      <c r="J317" t="e">
        <f>IF(D317&lt;&gt;Lookup!$G$7,0,IF(INDEX(cards[icon],MATCH(E317,cards[object_id order],0))&lt;&gt;"",0,1))</f>
        <v>#N/A</v>
      </c>
      <c r="K317" t="e">
        <f>IF(D317=Lookup!$G$6,INDEX(cards[object_id],MATCH('card-code'!E317,cards[object_id order],0)),"")</f>
        <v>#N/A</v>
      </c>
      <c r="L317" t="e">
        <f>IF(D317=Lookup!$G$7,INDEX(cards[name],MATCH('card-code'!E317,cards[object_id order],0)),"")</f>
        <v>#N/A</v>
      </c>
      <c r="M317" t="e">
        <f>IF($D317=Lookup!$L$9,INDEX(cards[icon],MATCH($E317,cards[object_id order],0)),"")</f>
        <v>#N/A</v>
      </c>
      <c r="N317" t="e">
        <f>IF(OR(D317=Lookup!$G$10,D317=Lookup!$G$11),INDEX(cards[[1]:[25]],MATCH($E317,cards[object_id order],0),'card-code'!G317),"")</f>
        <v>#N/A</v>
      </c>
      <c r="O317" t="str">
        <f t="shared" si="13"/>
        <v/>
      </c>
      <c r="P317" s="8" t="e">
        <f>INDEX(Lookup!$H$5:$H$11,MATCH(D317,Lookup!$G$5:$G$11,0))&amp;
K317&amp;L317&amp;M317&amp;N317&amp;
INDEX(Lookup!$I$5:$I$11,MATCH(D317,Lookup!$G$5:$G$11,0))</f>
        <v>#N/A</v>
      </c>
    </row>
    <row r="318" spans="2:16" x14ac:dyDescent="0.45">
      <c r="B318">
        <f t="shared" si="12"/>
        <v>316</v>
      </c>
      <c r="C318" t="e">
        <f t="shared" si="14"/>
        <v>#N/A</v>
      </c>
      <c r="D318" t="e">
        <f>VLOOKUP(C318,Lookup!$F$5:$G$11,2,FALSE)</f>
        <v>#N/A</v>
      </c>
      <c r="E318" t="e">
        <f>IF(D318=Lookup!$G$5,E317+1,E317)</f>
        <v>#N/A</v>
      </c>
      <c r="F318" s="3" t="e">
        <f>INDEX(cards[Entities count],MATCH('card-code'!E318,cards[object_id order],0))</f>
        <v>#N/A</v>
      </c>
      <c r="G318" t="e">
        <f>IF(D317=Lookup!$G$9,1,IF(D317=Lookup!$G$10,G317+1,""))</f>
        <v>#N/A</v>
      </c>
      <c r="H318" t="e">
        <f>IF(F318=1,  IF(D318=Lookup!$G$9,2,1),  IF(G318&lt;F318-1,0,1)  )</f>
        <v>#N/A</v>
      </c>
      <c r="I318" t="e">
        <f>IF(D318&lt;&gt;Lookup!$G$7,0,IF(INDEX(cards[name],MATCH(E318,cards[object_id order],0))&lt;&gt;"",0,1))</f>
        <v>#N/A</v>
      </c>
      <c r="J318" t="e">
        <f>IF(D318&lt;&gt;Lookup!$G$7,0,IF(INDEX(cards[icon],MATCH(E318,cards[object_id order],0))&lt;&gt;"",0,1))</f>
        <v>#N/A</v>
      </c>
      <c r="K318" t="e">
        <f>IF(D318=Lookup!$G$6,INDEX(cards[object_id],MATCH('card-code'!E318,cards[object_id order],0)),"")</f>
        <v>#N/A</v>
      </c>
      <c r="L318" t="e">
        <f>IF(D318=Lookup!$G$7,INDEX(cards[name],MATCH('card-code'!E318,cards[object_id order],0)),"")</f>
        <v>#N/A</v>
      </c>
      <c r="M318" t="e">
        <f>IF($D318=Lookup!$L$9,INDEX(cards[icon],MATCH($E318,cards[object_id order],0)),"")</f>
        <v>#N/A</v>
      </c>
      <c r="N318" t="e">
        <f>IF(OR(D318=Lookup!$G$10,D318=Lookup!$G$11),INDEX(cards[[1]:[25]],MATCH($E318,cards[object_id order],0),'card-code'!G318),"")</f>
        <v>#N/A</v>
      </c>
      <c r="O318" t="str">
        <f t="shared" si="13"/>
        <v/>
      </c>
      <c r="P318" s="8" t="e">
        <f>INDEX(Lookup!$H$5:$H$11,MATCH(D318,Lookup!$G$5:$G$11,0))&amp;
K318&amp;L318&amp;M318&amp;N318&amp;
INDEX(Lookup!$I$5:$I$11,MATCH(D318,Lookup!$G$5:$G$11,0))</f>
        <v>#N/A</v>
      </c>
    </row>
    <row r="319" spans="2:16" x14ac:dyDescent="0.45">
      <c r="B319">
        <f t="shared" si="12"/>
        <v>317</v>
      </c>
      <c r="C319" t="e">
        <f t="shared" si="14"/>
        <v>#N/A</v>
      </c>
      <c r="D319" t="e">
        <f>VLOOKUP(C319,Lookup!$F$5:$G$11,2,FALSE)</f>
        <v>#N/A</v>
      </c>
      <c r="E319" t="e">
        <f>IF(D319=Lookup!$G$5,E318+1,E318)</f>
        <v>#N/A</v>
      </c>
      <c r="F319" s="3" t="e">
        <f>INDEX(cards[Entities count],MATCH('card-code'!E319,cards[object_id order],0))</f>
        <v>#N/A</v>
      </c>
      <c r="G319" t="e">
        <f>IF(D318=Lookup!$G$9,1,IF(D318=Lookup!$G$10,G318+1,""))</f>
        <v>#N/A</v>
      </c>
      <c r="H319" t="e">
        <f>IF(F319=1,  IF(D319=Lookup!$G$9,2,1),  IF(G319&lt;F319-1,0,1)  )</f>
        <v>#N/A</v>
      </c>
      <c r="I319" t="e">
        <f>IF(D319&lt;&gt;Lookup!$G$7,0,IF(INDEX(cards[name],MATCH(E319,cards[object_id order],0))&lt;&gt;"",0,1))</f>
        <v>#N/A</v>
      </c>
      <c r="J319" t="e">
        <f>IF(D319&lt;&gt;Lookup!$G$7,0,IF(INDEX(cards[icon],MATCH(E319,cards[object_id order],0))&lt;&gt;"",0,1))</f>
        <v>#N/A</v>
      </c>
      <c r="K319" t="e">
        <f>IF(D319=Lookup!$G$6,INDEX(cards[object_id],MATCH('card-code'!E319,cards[object_id order],0)),"")</f>
        <v>#N/A</v>
      </c>
      <c r="L319" t="e">
        <f>IF(D319=Lookup!$G$7,INDEX(cards[name],MATCH('card-code'!E319,cards[object_id order],0)),"")</f>
        <v>#N/A</v>
      </c>
      <c r="M319" t="e">
        <f>IF($D319=Lookup!$L$9,INDEX(cards[icon],MATCH($E319,cards[object_id order],0)),"")</f>
        <v>#N/A</v>
      </c>
      <c r="N319" t="e">
        <f>IF(OR(D319=Lookup!$G$10,D319=Lookup!$G$11),INDEX(cards[[1]:[25]],MATCH($E319,cards[object_id order],0),'card-code'!G319),"")</f>
        <v>#N/A</v>
      </c>
      <c r="O319" t="str">
        <f t="shared" si="13"/>
        <v/>
      </c>
      <c r="P319" s="8" t="e">
        <f>INDEX(Lookup!$H$5:$H$11,MATCH(D319,Lookup!$G$5:$G$11,0))&amp;
K319&amp;L319&amp;M319&amp;N319&amp;
INDEX(Lookup!$I$5:$I$11,MATCH(D319,Lookup!$G$5:$G$11,0))</f>
        <v>#N/A</v>
      </c>
    </row>
    <row r="320" spans="2:16" x14ac:dyDescent="0.45">
      <c r="B320">
        <f t="shared" si="12"/>
        <v>318</v>
      </c>
      <c r="C320" t="e">
        <f t="shared" si="14"/>
        <v>#N/A</v>
      </c>
      <c r="D320" t="e">
        <f>VLOOKUP(C320,Lookup!$F$5:$G$11,2,FALSE)</f>
        <v>#N/A</v>
      </c>
      <c r="E320" t="e">
        <f>IF(D320=Lookup!$G$5,E319+1,E319)</f>
        <v>#N/A</v>
      </c>
      <c r="F320" s="3" t="e">
        <f>INDEX(cards[Entities count],MATCH('card-code'!E320,cards[object_id order],0))</f>
        <v>#N/A</v>
      </c>
      <c r="G320" t="e">
        <f>IF(D319=Lookup!$G$9,1,IF(D319=Lookup!$G$10,G319+1,""))</f>
        <v>#N/A</v>
      </c>
      <c r="H320" t="e">
        <f>IF(F320=1,  IF(D320=Lookup!$G$9,2,1),  IF(G320&lt;F320-1,0,1)  )</f>
        <v>#N/A</v>
      </c>
      <c r="I320" t="e">
        <f>IF(D320&lt;&gt;Lookup!$G$7,0,IF(INDEX(cards[name],MATCH(E320,cards[object_id order],0))&lt;&gt;"",0,1))</f>
        <v>#N/A</v>
      </c>
      <c r="J320" t="e">
        <f>IF(D320&lt;&gt;Lookup!$G$7,0,IF(INDEX(cards[icon],MATCH(E320,cards[object_id order],0))&lt;&gt;"",0,1))</f>
        <v>#N/A</v>
      </c>
      <c r="K320" t="e">
        <f>IF(D320=Lookup!$G$6,INDEX(cards[object_id],MATCH('card-code'!E320,cards[object_id order],0)),"")</f>
        <v>#N/A</v>
      </c>
      <c r="L320" t="e">
        <f>IF(D320=Lookup!$G$7,INDEX(cards[name],MATCH('card-code'!E320,cards[object_id order],0)),"")</f>
        <v>#N/A</v>
      </c>
      <c r="M320" t="e">
        <f>IF($D320=Lookup!$L$9,INDEX(cards[icon],MATCH($E320,cards[object_id order],0)),"")</f>
        <v>#N/A</v>
      </c>
      <c r="N320" t="e">
        <f>IF(OR(D320=Lookup!$G$10,D320=Lookup!$G$11),INDEX(cards[[1]:[25]],MATCH($E320,cards[object_id order],0),'card-code'!G320),"")</f>
        <v>#N/A</v>
      </c>
      <c r="O320" t="str">
        <f t="shared" si="13"/>
        <v/>
      </c>
      <c r="P320" s="8" t="e">
        <f>INDEX(Lookup!$H$5:$H$11,MATCH(D320,Lookup!$G$5:$G$11,0))&amp;
K320&amp;L320&amp;M320&amp;N320&amp;
INDEX(Lookup!$I$5:$I$11,MATCH(D320,Lookup!$G$5:$G$11,0))</f>
        <v>#N/A</v>
      </c>
    </row>
    <row r="321" spans="2:16" x14ac:dyDescent="0.45">
      <c r="B321">
        <f t="shared" si="12"/>
        <v>319</v>
      </c>
      <c r="C321" t="e">
        <f t="shared" si="14"/>
        <v>#N/A</v>
      </c>
      <c r="D321" t="e">
        <f>VLOOKUP(C321,Lookup!$F$5:$G$11,2,FALSE)</f>
        <v>#N/A</v>
      </c>
      <c r="E321" t="e">
        <f>IF(D321=Lookup!$G$5,E320+1,E320)</f>
        <v>#N/A</v>
      </c>
      <c r="F321" s="3" t="e">
        <f>INDEX(cards[Entities count],MATCH('card-code'!E321,cards[object_id order],0))</f>
        <v>#N/A</v>
      </c>
      <c r="G321" t="e">
        <f>IF(D320=Lookup!$G$9,1,IF(D320=Lookup!$G$10,G320+1,""))</f>
        <v>#N/A</v>
      </c>
      <c r="H321" t="e">
        <f>IF(F321=1,  IF(D321=Lookup!$G$9,2,1),  IF(G321&lt;F321-1,0,1)  )</f>
        <v>#N/A</v>
      </c>
      <c r="I321" t="e">
        <f>IF(D321&lt;&gt;Lookup!$G$7,0,IF(INDEX(cards[name],MATCH(E321,cards[object_id order],0))&lt;&gt;"",0,1))</f>
        <v>#N/A</v>
      </c>
      <c r="J321" t="e">
        <f>IF(D321&lt;&gt;Lookup!$G$7,0,IF(INDEX(cards[icon],MATCH(E321,cards[object_id order],0))&lt;&gt;"",0,1))</f>
        <v>#N/A</v>
      </c>
      <c r="K321" t="e">
        <f>IF(D321=Lookup!$G$6,INDEX(cards[object_id],MATCH('card-code'!E321,cards[object_id order],0)),"")</f>
        <v>#N/A</v>
      </c>
      <c r="L321" t="e">
        <f>IF(D321=Lookup!$G$7,INDEX(cards[name],MATCH('card-code'!E321,cards[object_id order],0)),"")</f>
        <v>#N/A</v>
      </c>
      <c r="M321" t="e">
        <f>IF($D321=Lookup!$L$9,INDEX(cards[icon],MATCH($E321,cards[object_id order],0)),"")</f>
        <v>#N/A</v>
      </c>
      <c r="N321" t="e">
        <f>IF(OR(D321=Lookup!$G$10,D321=Lookup!$G$11),INDEX(cards[[1]:[25]],MATCH($E321,cards[object_id order],0),'card-code'!G321),"")</f>
        <v>#N/A</v>
      </c>
      <c r="O321" t="str">
        <f t="shared" si="13"/>
        <v/>
      </c>
      <c r="P321" s="8" t="e">
        <f>INDEX(Lookup!$H$5:$H$11,MATCH(D321,Lookup!$G$5:$G$11,0))&amp;
K321&amp;L321&amp;M321&amp;N321&amp;
INDEX(Lookup!$I$5:$I$11,MATCH(D321,Lookup!$G$5:$G$11,0))</f>
        <v>#N/A</v>
      </c>
    </row>
    <row r="322" spans="2:16" x14ac:dyDescent="0.45">
      <c r="B322">
        <f t="shared" si="12"/>
        <v>320</v>
      </c>
      <c r="C322" t="e">
        <f t="shared" si="14"/>
        <v>#N/A</v>
      </c>
      <c r="D322" t="e">
        <f>VLOOKUP(C322,Lookup!$F$5:$G$11,2,FALSE)</f>
        <v>#N/A</v>
      </c>
      <c r="E322" t="e">
        <f>IF(D322=Lookup!$G$5,E321+1,E321)</f>
        <v>#N/A</v>
      </c>
      <c r="F322" s="3" t="e">
        <f>INDEX(cards[Entities count],MATCH('card-code'!E322,cards[object_id order],0))</f>
        <v>#N/A</v>
      </c>
      <c r="G322" t="e">
        <f>IF(D321=Lookup!$G$9,1,IF(D321=Lookup!$G$10,G321+1,""))</f>
        <v>#N/A</v>
      </c>
      <c r="H322" t="e">
        <f>IF(F322=1,  IF(D322=Lookup!$G$9,2,1),  IF(G322&lt;F322-1,0,1)  )</f>
        <v>#N/A</v>
      </c>
      <c r="I322" t="e">
        <f>IF(D322&lt;&gt;Lookup!$G$7,0,IF(INDEX(cards[name],MATCH(E322,cards[object_id order],0))&lt;&gt;"",0,1))</f>
        <v>#N/A</v>
      </c>
      <c r="J322" t="e">
        <f>IF(D322&lt;&gt;Lookup!$G$7,0,IF(INDEX(cards[icon],MATCH(E322,cards[object_id order],0))&lt;&gt;"",0,1))</f>
        <v>#N/A</v>
      </c>
      <c r="K322" t="e">
        <f>IF(D322=Lookup!$G$6,INDEX(cards[object_id],MATCH('card-code'!E322,cards[object_id order],0)),"")</f>
        <v>#N/A</v>
      </c>
      <c r="L322" t="e">
        <f>IF(D322=Lookup!$G$7,INDEX(cards[name],MATCH('card-code'!E322,cards[object_id order],0)),"")</f>
        <v>#N/A</v>
      </c>
      <c r="M322" t="e">
        <f>IF($D322=Lookup!$L$9,INDEX(cards[icon],MATCH($E322,cards[object_id order],0)),"")</f>
        <v>#N/A</v>
      </c>
      <c r="N322" t="e">
        <f>IF(OR(D322=Lookup!$G$10,D322=Lookup!$G$11),INDEX(cards[[1]:[25]],MATCH($E322,cards[object_id order],0),'card-code'!G322),"")</f>
        <v>#N/A</v>
      </c>
      <c r="O322" t="str">
        <f t="shared" si="13"/>
        <v/>
      </c>
      <c r="P322" s="8" t="e">
        <f>INDEX(Lookup!$H$5:$H$11,MATCH(D322,Lookup!$G$5:$G$11,0))&amp;
K322&amp;L322&amp;M322&amp;N322&amp;
INDEX(Lookup!$I$5:$I$11,MATCH(D322,Lookup!$G$5:$G$11,0))</f>
        <v>#N/A</v>
      </c>
    </row>
    <row r="323" spans="2:16" x14ac:dyDescent="0.45">
      <c r="B323">
        <f t="shared" si="12"/>
        <v>321</v>
      </c>
      <c r="C323" t="e">
        <f t="shared" si="14"/>
        <v>#N/A</v>
      </c>
      <c r="D323" t="e">
        <f>VLOOKUP(C323,Lookup!$F$5:$G$11,2,FALSE)</f>
        <v>#N/A</v>
      </c>
      <c r="E323" t="e">
        <f>IF(D323=Lookup!$G$5,E322+1,E322)</f>
        <v>#N/A</v>
      </c>
      <c r="F323" s="3" t="e">
        <f>INDEX(cards[Entities count],MATCH('card-code'!E323,cards[object_id order],0))</f>
        <v>#N/A</v>
      </c>
      <c r="G323" t="e">
        <f>IF(D322=Lookup!$G$9,1,IF(D322=Lookup!$G$10,G322+1,""))</f>
        <v>#N/A</v>
      </c>
      <c r="H323" t="e">
        <f>IF(F323=1,  IF(D323=Lookup!$G$9,2,1),  IF(G323&lt;F323-1,0,1)  )</f>
        <v>#N/A</v>
      </c>
      <c r="I323" t="e">
        <f>IF(D323&lt;&gt;Lookup!$G$7,0,IF(INDEX(cards[name],MATCH(E323,cards[object_id order],0))&lt;&gt;"",0,1))</f>
        <v>#N/A</v>
      </c>
      <c r="J323" t="e">
        <f>IF(D323&lt;&gt;Lookup!$G$7,0,IF(INDEX(cards[icon],MATCH(E323,cards[object_id order],0))&lt;&gt;"",0,1))</f>
        <v>#N/A</v>
      </c>
      <c r="K323" t="e">
        <f>IF(D323=Lookup!$G$6,INDEX(cards[object_id],MATCH('card-code'!E323,cards[object_id order],0)),"")</f>
        <v>#N/A</v>
      </c>
      <c r="L323" t="e">
        <f>IF(D323=Lookup!$G$7,INDEX(cards[name],MATCH('card-code'!E323,cards[object_id order],0)),"")</f>
        <v>#N/A</v>
      </c>
      <c r="M323" t="e">
        <f>IF($D323=Lookup!$L$9,INDEX(cards[icon],MATCH($E323,cards[object_id order],0)),"")</f>
        <v>#N/A</v>
      </c>
      <c r="N323" t="e">
        <f>IF(OR(D323=Lookup!$G$10,D323=Lookup!$G$11),INDEX(cards[[1]:[25]],MATCH($E323,cards[object_id order],0),'card-code'!G323),"")</f>
        <v>#N/A</v>
      </c>
      <c r="O323" t="str">
        <f t="shared" si="13"/>
        <v/>
      </c>
      <c r="P323" s="8" t="e">
        <f>INDEX(Lookup!$H$5:$H$11,MATCH(D323,Lookup!$G$5:$G$11,0))&amp;
K323&amp;L323&amp;M323&amp;N323&amp;
INDEX(Lookup!$I$5:$I$11,MATCH(D323,Lookup!$G$5:$G$11,0))</f>
        <v>#N/A</v>
      </c>
    </row>
    <row r="324" spans="2:16" x14ac:dyDescent="0.45">
      <c r="B324">
        <f t="shared" si="12"/>
        <v>322</v>
      </c>
      <c r="C324" t="e">
        <f t="shared" si="14"/>
        <v>#N/A</v>
      </c>
      <c r="D324" t="e">
        <f>VLOOKUP(C324,Lookup!$F$5:$G$11,2,FALSE)</f>
        <v>#N/A</v>
      </c>
      <c r="E324" t="e">
        <f>IF(D324=Lookup!$G$5,E323+1,E323)</f>
        <v>#N/A</v>
      </c>
      <c r="F324" s="3" t="e">
        <f>INDEX(cards[Entities count],MATCH('card-code'!E324,cards[object_id order],0))</f>
        <v>#N/A</v>
      </c>
      <c r="G324" t="e">
        <f>IF(D323=Lookup!$G$9,1,IF(D323=Lookup!$G$10,G323+1,""))</f>
        <v>#N/A</v>
      </c>
      <c r="H324" t="e">
        <f>IF(F324=1,  IF(D324=Lookup!$G$9,2,1),  IF(G324&lt;F324-1,0,1)  )</f>
        <v>#N/A</v>
      </c>
      <c r="I324" t="e">
        <f>IF(D324&lt;&gt;Lookup!$G$7,0,IF(INDEX(cards[name],MATCH(E324,cards[object_id order],0))&lt;&gt;"",0,1))</f>
        <v>#N/A</v>
      </c>
      <c r="J324" t="e">
        <f>IF(D324&lt;&gt;Lookup!$G$7,0,IF(INDEX(cards[icon],MATCH(E324,cards[object_id order],0))&lt;&gt;"",0,1))</f>
        <v>#N/A</v>
      </c>
      <c r="K324" t="e">
        <f>IF(D324=Lookup!$G$6,INDEX(cards[object_id],MATCH('card-code'!E324,cards[object_id order],0)),"")</f>
        <v>#N/A</v>
      </c>
      <c r="L324" t="e">
        <f>IF(D324=Lookup!$G$7,INDEX(cards[name],MATCH('card-code'!E324,cards[object_id order],0)),"")</f>
        <v>#N/A</v>
      </c>
      <c r="M324" t="e">
        <f>IF($D324=Lookup!$L$9,INDEX(cards[icon],MATCH($E324,cards[object_id order],0)),"")</f>
        <v>#N/A</v>
      </c>
      <c r="N324" t="e">
        <f>IF(OR(D324=Lookup!$G$10,D324=Lookup!$G$11),INDEX(cards[[1]:[25]],MATCH($E324,cards[object_id order],0),'card-code'!G324),"")</f>
        <v>#N/A</v>
      </c>
      <c r="O324" t="str">
        <f t="shared" si="13"/>
        <v/>
      </c>
      <c r="P324" s="8" t="e">
        <f>INDEX(Lookup!$H$5:$H$11,MATCH(D324,Lookup!$G$5:$G$11,0))&amp;
K324&amp;L324&amp;M324&amp;N324&amp;
INDEX(Lookup!$I$5:$I$11,MATCH(D324,Lookup!$G$5:$G$11,0))</f>
        <v>#N/A</v>
      </c>
    </row>
    <row r="325" spans="2:16" x14ac:dyDescent="0.45">
      <c r="B325">
        <f t="shared" ref="B325:B388" si="15">B324+1</f>
        <v>323</v>
      </c>
      <c r="C325" t="e">
        <f t="shared" si="14"/>
        <v>#N/A</v>
      </c>
      <c r="D325" t="e">
        <f>VLOOKUP(C325,Lookup!$F$5:$G$11,2,FALSE)</f>
        <v>#N/A</v>
      </c>
      <c r="E325" t="e">
        <f>IF(D325=Lookup!$G$5,E324+1,E324)</f>
        <v>#N/A</v>
      </c>
      <c r="F325" s="3" t="e">
        <f>INDEX(cards[Entities count],MATCH('card-code'!E325,cards[object_id order],0))</f>
        <v>#N/A</v>
      </c>
      <c r="G325" t="e">
        <f>IF(D324=Lookup!$G$9,1,IF(D324=Lookup!$G$10,G324+1,""))</f>
        <v>#N/A</v>
      </c>
      <c r="H325" t="e">
        <f>IF(F325=1,  IF(D325=Lookup!$G$9,2,1),  IF(G325&lt;F325-1,0,1)  )</f>
        <v>#N/A</v>
      </c>
      <c r="I325" t="e">
        <f>IF(D325&lt;&gt;Lookup!$G$7,0,IF(INDEX(cards[name],MATCH(E325,cards[object_id order],0))&lt;&gt;"",0,1))</f>
        <v>#N/A</v>
      </c>
      <c r="J325" t="e">
        <f>IF(D325&lt;&gt;Lookup!$G$7,0,IF(INDEX(cards[icon],MATCH(E325,cards[object_id order],0))&lt;&gt;"",0,1))</f>
        <v>#N/A</v>
      </c>
      <c r="K325" t="e">
        <f>IF(D325=Lookup!$G$6,INDEX(cards[object_id],MATCH('card-code'!E325,cards[object_id order],0)),"")</f>
        <v>#N/A</v>
      </c>
      <c r="L325" t="e">
        <f>IF(D325=Lookup!$G$7,INDEX(cards[name],MATCH('card-code'!E325,cards[object_id order],0)),"")</f>
        <v>#N/A</v>
      </c>
      <c r="M325" t="e">
        <f>IF($D325=Lookup!$L$9,INDEX(cards[icon],MATCH($E325,cards[object_id order],0)),"")</f>
        <v>#N/A</v>
      </c>
      <c r="N325" t="e">
        <f>IF(OR(D325=Lookup!$G$10,D325=Lookup!$G$11),INDEX(cards[[1]:[25]],MATCH($E325,cards[object_id order],0),'card-code'!G325),"")</f>
        <v>#N/A</v>
      </c>
      <c r="O325" t="str">
        <f t="shared" ref="O325:O388" si="16">IF(AND(NOT(ISNA(F324)),ISNA(F325)),"END","")</f>
        <v/>
      </c>
      <c r="P325" s="8" t="e">
        <f>INDEX(Lookup!$H$5:$H$11,MATCH(D325,Lookup!$G$5:$G$11,0))&amp;
K325&amp;L325&amp;M325&amp;N325&amp;
INDEX(Lookup!$I$5:$I$11,MATCH(D325,Lookup!$G$5:$G$11,0))</f>
        <v>#N/A</v>
      </c>
    </row>
    <row r="326" spans="2:16" x14ac:dyDescent="0.45">
      <c r="B326">
        <f t="shared" si="15"/>
        <v>324</v>
      </c>
      <c r="C326" t="e">
        <f t="shared" si="14"/>
        <v>#N/A</v>
      </c>
      <c r="D326" t="e">
        <f>VLOOKUP(C326,Lookup!$F$5:$G$11,2,FALSE)</f>
        <v>#N/A</v>
      </c>
      <c r="E326" t="e">
        <f>IF(D326=Lookup!$G$5,E325+1,E325)</f>
        <v>#N/A</v>
      </c>
      <c r="F326" s="3" t="e">
        <f>INDEX(cards[Entities count],MATCH('card-code'!E326,cards[object_id order],0))</f>
        <v>#N/A</v>
      </c>
      <c r="G326" t="e">
        <f>IF(D325=Lookup!$G$9,1,IF(D325=Lookup!$G$10,G325+1,""))</f>
        <v>#N/A</v>
      </c>
      <c r="H326" t="e">
        <f>IF(F326=1,  IF(D326=Lookup!$G$9,2,1),  IF(G326&lt;F326-1,0,1)  )</f>
        <v>#N/A</v>
      </c>
      <c r="I326" t="e">
        <f>IF(D326&lt;&gt;Lookup!$G$7,0,IF(INDEX(cards[name],MATCH(E326,cards[object_id order],0))&lt;&gt;"",0,1))</f>
        <v>#N/A</v>
      </c>
      <c r="J326" t="e">
        <f>IF(D326&lt;&gt;Lookup!$G$7,0,IF(INDEX(cards[icon],MATCH(E326,cards[object_id order],0))&lt;&gt;"",0,1))</f>
        <v>#N/A</v>
      </c>
      <c r="K326" t="e">
        <f>IF(D326=Lookup!$G$6,INDEX(cards[object_id],MATCH('card-code'!E326,cards[object_id order],0)),"")</f>
        <v>#N/A</v>
      </c>
      <c r="L326" t="e">
        <f>IF(D326=Lookup!$G$7,INDEX(cards[name],MATCH('card-code'!E326,cards[object_id order],0)),"")</f>
        <v>#N/A</v>
      </c>
      <c r="M326" t="e">
        <f>IF($D326=Lookup!$L$9,INDEX(cards[icon],MATCH($E326,cards[object_id order],0)),"")</f>
        <v>#N/A</v>
      </c>
      <c r="N326" t="e">
        <f>IF(OR(D326=Lookup!$G$10,D326=Lookup!$G$11),INDEX(cards[[1]:[25]],MATCH($E326,cards[object_id order],0),'card-code'!G326),"")</f>
        <v>#N/A</v>
      </c>
      <c r="O326" t="str">
        <f t="shared" si="16"/>
        <v/>
      </c>
      <c r="P326" s="8" t="e">
        <f>INDEX(Lookup!$H$5:$H$11,MATCH(D326,Lookup!$G$5:$G$11,0))&amp;
K326&amp;L326&amp;M326&amp;N326&amp;
INDEX(Lookup!$I$5:$I$11,MATCH(D326,Lookup!$G$5:$G$11,0))</f>
        <v>#N/A</v>
      </c>
    </row>
    <row r="327" spans="2:16" x14ac:dyDescent="0.45">
      <c r="B327">
        <f t="shared" si="15"/>
        <v>325</v>
      </c>
      <c r="C327" t="e">
        <f t="shared" ref="C327:C390" si="17">IF(C326=7,  1,  C326+SUM(H326:J326)  )</f>
        <v>#N/A</v>
      </c>
      <c r="D327" t="e">
        <f>VLOOKUP(C327,Lookup!$F$5:$G$11,2,FALSE)</f>
        <v>#N/A</v>
      </c>
      <c r="E327" t="e">
        <f>IF(D327=Lookup!$G$5,E326+1,E326)</f>
        <v>#N/A</v>
      </c>
      <c r="F327" s="3" t="e">
        <f>INDEX(cards[Entities count],MATCH('card-code'!E327,cards[object_id order],0))</f>
        <v>#N/A</v>
      </c>
      <c r="G327" t="e">
        <f>IF(D326=Lookup!$G$9,1,IF(D326=Lookup!$G$10,G326+1,""))</f>
        <v>#N/A</v>
      </c>
      <c r="H327" t="e">
        <f>IF(F327=1,  IF(D327=Lookup!$G$9,2,1),  IF(G327&lt;F327-1,0,1)  )</f>
        <v>#N/A</v>
      </c>
      <c r="I327" t="e">
        <f>IF(D327&lt;&gt;Lookup!$G$7,0,IF(INDEX(cards[name],MATCH(E327,cards[object_id order],0))&lt;&gt;"",0,1))</f>
        <v>#N/A</v>
      </c>
      <c r="J327" t="e">
        <f>IF(D327&lt;&gt;Lookup!$G$7,0,IF(INDEX(cards[icon],MATCH(E327,cards[object_id order],0))&lt;&gt;"",0,1))</f>
        <v>#N/A</v>
      </c>
      <c r="K327" t="e">
        <f>IF(D327=Lookup!$G$6,INDEX(cards[object_id],MATCH('card-code'!E327,cards[object_id order],0)),"")</f>
        <v>#N/A</v>
      </c>
      <c r="L327" t="e">
        <f>IF(D327=Lookup!$G$7,INDEX(cards[name],MATCH('card-code'!E327,cards[object_id order],0)),"")</f>
        <v>#N/A</v>
      </c>
      <c r="M327" t="e">
        <f>IF($D327=Lookup!$L$9,INDEX(cards[icon],MATCH($E327,cards[object_id order],0)),"")</f>
        <v>#N/A</v>
      </c>
      <c r="N327" t="e">
        <f>IF(OR(D327=Lookup!$G$10,D327=Lookup!$G$11),INDEX(cards[[1]:[25]],MATCH($E327,cards[object_id order],0),'card-code'!G327),"")</f>
        <v>#N/A</v>
      </c>
      <c r="O327" t="str">
        <f t="shared" si="16"/>
        <v/>
      </c>
      <c r="P327" s="8" t="e">
        <f>INDEX(Lookup!$H$5:$H$11,MATCH(D327,Lookup!$G$5:$G$11,0))&amp;
K327&amp;L327&amp;M327&amp;N327&amp;
INDEX(Lookup!$I$5:$I$11,MATCH(D327,Lookup!$G$5:$G$11,0))</f>
        <v>#N/A</v>
      </c>
    </row>
    <row r="328" spans="2:16" x14ac:dyDescent="0.45">
      <c r="B328">
        <f t="shared" si="15"/>
        <v>326</v>
      </c>
      <c r="C328" t="e">
        <f t="shared" si="17"/>
        <v>#N/A</v>
      </c>
      <c r="D328" t="e">
        <f>VLOOKUP(C328,Lookup!$F$5:$G$11,2,FALSE)</f>
        <v>#N/A</v>
      </c>
      <c r="E328" t="e">
        <f>IF(D328=Lookup!$G$5,E327+1,E327)</f>
        <v>#N/A</v>
      </c>
      <c r="F328" s="3" t="e">
        <f>INDEX(cards[Entities count],MATCH('card-code'!E328,cards[object_id order],0))</f>
        <v>#N/A</v>
      </c>
      <c r="G328" t="e">
        <f>IF(D327=Lookup!$G$9,1,IF(D327=Lookup!$G$10,G327+1,""))</f>
        <v>#N/A</v>
      </c>
      <c r="H328" t="e">
        <f>IF(F328=1,  IF(D328=Lookup!$G$9,2,1),  IF(G328&lt;F328-1,0,1)  )</f>
        <v>#N/A</v>
      </c>
      <c r="I328" t="e">
        <f>IF(D328&lt;&gt;Lookup!$G$7,0,IF(INDEX(cards[name],MATCH(E328,cards[object_id order],0))&lt;&gt;"",0,1))</f>
        <v>#N/A</v>
      </c>
      <c r="J328" t="e">
        <f>IF(D328&lt;&gt;Lookup!$G$7,0,IF(INDEX(cards[icon],MATCH(E328,cards[object_id order],0))&lt;&gt;"",0,1))</f>
        <v>#N/A</v>
      </c>
      <c r="K328" t="e">
        <f>IF(D328=Lookup!$G$6,INDEX(cards[object_id],MATCH('card-code'!E328,cards[object_id order],0)),"")</f>
        <v>#N/A</v>
      </c>
      <c r="L328" t="e">
        <f>IF(D328=Lookup!$G$7,INDEX(cards[name],MATCH('card-code'!E328,cards[object_id order],0)),"")</f>
        <v>#N/A</v>
      </c>
      <c r="M328" t="e">
        <f>IF($D328=Lookup!$L$9,INDEX(cards[icon],MATCH($E328,cards[object_id order],0)),"")</f>
        <v>#N/A</v>
      </c>
      <c r="N328" t="e">
        <f>IF(OR(D328=Lookup!$G$10,D328=Lookup!$G$11),INDEX(cards[[1]:[25]],MATCH($E328,cards[object_id order],0),'card-code'!G328),"")</f>
        <v>#N/A</v>
      </c>
      <c r="O328" t="str">
        <f t="shared" si="16"/>
        <v/>
      </c>
      <c r="P328" s="8" t="e">
        <f>INDEX(Lookup!$H$5:$H$11,MATCH(D328,Lookup!$G$5:$G$11,0))&amp;
K328&amp;L328&amp;M328&amp;N328&amp;
INDEX(Lookup!$I$5:$I$11,MATCH(D328,Lookup!$G$5:$G$11,0))</f>
        <v>#N/A</v>
      </c>
    </row>
    <row r="329" spans="2:16" x14ac:dyDescent="0.45">
      <c r="B329">
        <f t="shared" si="15"/>
        <v>327</v>
      </c>
      <c r="C329" t="e">
        <f t="shared" si="17"/>
        <v>#N/A</v>
      </c>
      <c r="D329" t="e">
        <f>VLOOKUP(C329,Lookup!$F$5:$G$11,2,FALSE)</f>
        <v>#N/A</v>
      </c>
      <c r="E329" t="e">
        <f>IF(D329=Lookup!$G$5,E328+1,E328)</f>
        <v>#N/A</v>
      </c>
      <c r="F329" s="3" t="e">
        <f>INDEX(cards[Entities count],MATCH('card-code'!E329,cards[object_id order],0))</f>
        <v>#N/A</v>
      </c>
      <c r="G329" t="e">
        <f>IF(D328=Lookup!$G$9,1,IF(D328=Lookup!$G$10,G328+1,""))</f>
        <v>#N/A</v>
      </c>
      <c r="H329" t="e">
        <f>IF(F329=1,  IF(D329=Lookup!$G$9,2,1),  IF(G329&lt;F329-1,0,1)  )</f>
        <v>#N/A</v>
      </c>
      <c r="I329" t="e">
        <f>IF(D329&lt;&gt;Lookup!$G$7,0,IF(INDEX(cards[name],MATCH(E329,cards[object_id order],0))&lt;&gt;"",0,1))</f>
        <v>#N/A</v>
      </c>
      <c r="J329" t="e">
        <f>IF(D329&lt;&gt;Lookup!$G$7,0,IF(INDEX(cards[icon],MATCH(E329,cards[object_id order],0))&lt;&gt;"",0,1))</f>
        <v>#N/A</v>
      </c>
      <c r="K329" t="e">
        <f>IF(D329=Lookup!$G$6,INDEX(cards[object_id],MATCH('card-code'!E329,cards[object_id order],0)),"")</f>
        <v>#N/A</v>
      </c>
      <c r="L329" t="e">
        <f>IF(D329=Lookup!$G$7,INDEX(cards[name],MATCH('card-code'!E329,cards[object_id order],0)),"")</f>
        <v>#N/A</v>
      </c>
      <c r="M329" t="e">
        <f>IF($D329=Lookup!$L$9,INDEX(cards[icon],MATCH($E329,cards[object_id order],0)),"")</f>
        <v>#N/A</v>
      </c>
      <c r="N329" t="e">
        <f>IF(OR(D329=Lookup!$G$10,D329=Lookup!$G$11),INDEX(cards[[1]:[25]],MATCH($E329,cards[object_id order],0),'card-code'!G329),"")</f>
        <v>#N/A</v>
      </c>
      <c r="O329" t="str">
        <f t="shared" si="16"/>
        <v/>
      </c>
      <c r="P329" s="8" t="e">
        <f>INDEX(Lookup!$H$5:$H$11,MATCH(D329,Lookup!$G$5:$G$11,0))&amp;
K329&amp;L329&amp;M329&amp;N329&amp;
INDEX(Lookup!$I$5:$I$11,MATCH(D329,Lookup!$G$5:$G$11,0))</f>
        <v>#N/A</v>
      </c>
    </row>
    <row r="330" spans="2:16" x14ac:dyDescent="0.45">
      <c r="B330">
        <f t="shared" si="15"/>
        <v>328</v>
      </c>
      <c r="C330" t="e">
        <f t="shared" si="17"/>
        <v>#N/A</v>
      </c>
      <c r="D330" t="e">
        <f>VLOOKUP(C330,Lookup!$F$5:$G$11,2,FALSE)</f>
        <v>#N/A</v>
      </c>
      <c r="E330" t="e">
        <f>IF(D330=Lookup!$G$5,E329+1,E329)</f>
        <v>#N/A</v>
      </c>
      <c r="F330" s="3" t="e">
        <f>INDEX(cards[Entities count],MATCH('card-code'!E330,cards[object_id order],0))</f>
        <v>#N/A</v>
      </c>
      <c r="G330" t="e">
        <f>IF(D329=Lookup!$G$9,1,IF(D329=Lookup!$G$10,G329+1,""))</f>
        <v>#N/A</v>
      </c>
      <c r="H330" t="e">
        <f>IF(F330=1,  IF(D330=Lookup!$G$9,2,1),  IF(G330&lt;F330-1,0,1)  )</f>
        <v>#N/A</v>
      </c>
      <c r="I330" t="e">
        <f>IF(D330&lt;&gt;Lookup!$G$7,0,IF(INDEX(cards[name],MATCH(E330,cards[object_id order],0))&lt;&gt;"",0,1))</f>
        <v>#N/A</v>
      </c>
      <c r="J330" t="e">
        <f>IF(D330&lt;&gt;Lookup!$G$7,0,IF(INDEX(cards[icon],MATCH(E330,cards[object_id order],0))&lt;&gt;"",0,1))</f>
        <v>#N/A</v>
      </c>
      <c r="K330" t="e">
        <f>IF(D330=Lookup!$G$6,INDEX(cards[object_id],MATCH('card-code'!E330,cards[object_id order],0)),"")</f>
        <v>#N/A</v>
      </c>
      <c r="L330" t="e">
        <f>IF(D330=Lookup!$G$7,INDEX(cards[name],MATCH('card-code'!E330,cards[object_id order],0)),"")</f>
        <v>#N/A</v>
      </c>
      <c r="M330" t="e">
        <f>IF($D330=Lookup!$L$9,INDEX(cards[icon],MATCH($E330,cards[object_id order],0)),"")</f>
        <v>#N/A</v>
      </c>
      <c r="N330" t="e">
        <f>IF(OR(D330=Lookup!$G$10,D330=Lookup!$G$11),INDEX(cards[[1]:[25]],MATCH($E330,cards[object_id order],0),'card-code'!G330),"")</f>
        <v>#N/A</v>
      </c>
      <c r="O330" t="str">
        <f t="shared" si="16"/>
        <v/>
      </c>
      <c r="P330" s="8" t="e">
        <f>INDEX(Lookup!$H$5:$H$11,MATCH(D330,Lookup!$G$5:$G$11,0))&amp;
K330&amp;L330&amp;M330&amp;N330&amp;
INDEX(Lookup!$I$5:$I$11,MATCH(D330,Lookup!$G$5:$G$11,0))</f>
        <v>#N/A</v>
      </c>
    </row>
    <row r="331" spans="2:16" x14ac:dyDescent="0.45">
      <c r="B331">
        <f t="shared" si="15"/>
        <v>329</v>
      </c>
      <c r="C331" t="e">
        <f t="shared" si="17"/>
        <v>#N/A</v>
      </c>
      <c r="D331" t="e">
        <f>VLOOKUP(C331,Lookup!$F$5:$G$11,2,FALSE)</f>
        <v>#N/A</v>
      </c>
      <c r="E331" t="e">
        <f>IF(D331=Lookup!$G$5,E330+1,E330)</f>
        <v>#N/A</v>
      </c>
      <c r="F331" s="3" t="e">
        <f>INDEX(cards[Entities count],MATCH('card-code'!E331,cards[object_id order],0))</f>
        <v>#N/A</v>
      </c>
      <c r="G331" t="e">
        <f>IF(D330=Lookup!$G$9,1,IF(D330=Lookup!$G$10,G330+1,""))</f>
        <v>#N/A</v>
      </c>
      <c r="H331" t="e">
        <f>IF(F331=1,  IF(D331=Lookup!$G$9,2,1),  IF(G331&lt;F331-1,0,1)  )</f>
        <v>#N/A</v>
      </c>
      <c r="I331" t="e">
        <f>IF(D331&lt;&gt;Lookup!$G$7,0,IF(INDEX(cards[name],MATCH(E331,cards[object_id order],0))&lt;&gt;"",0,1))</f>
        <v>#N/A</v>
      </c>
      <c r="J331" t="e">
        <f>IF(D331&lt;&gt;Lookup!$G$7,0,IF(INDEX(cards[icon],MATCH(E331,cards[object_id order],0))&lt;&gt;"",0,1))</f>
        <v>#N/A</v>
      </c>
      <c r="K331" t="e">
        <f>IF(D331=Lookup!$G$6,INDEX(cards[object_id],MATCH('card-code'!E331,cards[object_id order],0)),"")</f>
        <v>#N/A</v>
      </c>
      <c r="L331" t="e">
        <f>IF(D331=Lookup!$G$7,INDEX(cards[name],MATCH('card-code'!E331,cards[object_id order],0)),"")</f>
        <v>#N/A</v>
      </c>
      <c r="M331" t="e">
        <f>IF($D331=Lookup!$L$9,INDEX(cards[icon],MATCH($E331,cards[object_id order],0)),"")</f>
        <v>#N/A</v>
      </c>
      <c r="N331" t="e">
        <f>IF(OR(D331=Lookup!$G$10,D331=Lookup!$G$11),INDEX(cards[[1]:[25]],MATCH($E331,cards[object_id order],0),'card-code'!G331),"")</f>
        <v>#N/A</v>
      </c>
      <c r="O331" t="str">
        <f t="shared" si="16"/>
        <v/>
      </c>
      <c r="P331" s="8" t="e">
        <f>INDEX(Lookup!$H$5:$H$11,MATCH(D331,Lookup!$G$5:$G$11,0))&amp;
K331&amp;L331&amp;M331&amp;N331&amp;
INDEX(Lookup!$I$5:$I$11,MATCH(D331,Lookup!$G$5:$G$11,0))</f>
        <v>#N/A</v>
      </c>
    </row>
    <row r="332" spans="2:16" x14ac:dyDescent="0.45">
      <c r="B332">
        <f t="shared" si="15"/>
        <v>330</v>
      </c>
      <c r="C332" t="e">
        <f t="shared" si="17"/>
        <v>#N/A</v>
      </c>
      <c r="D332" t="e">
        <f>VLOOKUP(C332,Lookup!$F$5:$G$11,2,FALSE)</f>
        <v>#N/A</v>
      </c>
      <c r="E332" t="e">
        <f>IF(D332=Lookup!$G$5,E331+1,E331)</f>
        <v>#N/A</v>
      </c>
      <c r="F332" s="3" t="e">
        <f>INDEX(cards[Entities count],MATCH('card-code'!E332,cards[object_id order],0))</f>
        <v>#N/A</v>
      </c>
      <c r="G332" t="e">
        <f>IF(D331=Lookup!$G$9,1,IF(D331=Lookup!$G$10,G331+1,""))</f>
        <v>#N/A</v>
      </c>
      <c r="H332" t="e">
        <f>IF(F332=1,  IF(D332=Lookup!$G$9,2,1),  IF(G332&lt;F332-1,0,1)  )</f>
        <v>#N/A</v>
      </c>
      <c r="I332" t="e">
        <f>IF(D332&lt;&gt;Lookup!$G$7,0,IF(INDEX(cards[name],MATCH(E332,cards[object_id order],0))&lt;&gt;"",0,1))</f>
        <v>#N/A</v>
      </c>
      <c r="J332" t="e">
        <f>IF(D332&lt;&gt;Lookup!$G$7,0,IF(INDEX(cards[icon],MATCH(E332,cards[object_id order],0))&lt;&gt;"",0,1))</f>
        <v>#N/A</v>
      </c>
      <c r="K332" t="e">
        <f>IF(D332=Lookup!$G$6,INDEX(cards[object_id],MATCH('card-code'!E332,cards[object_id order],0)),"")</f>
        <v>#N/A</v>
      </c>
      <c r="L332" t="e">
        <f>IF(D332=Lookup!$G$7,INDEX(cards[name],MATCH('card-code'!E332,cards[object_id order],0)),"")</f>
        <v>#N/A</v>
      </c>
      <c r="M332" t="e">
        <f>IF($D332=Lookup!$L$9,INDEX(cards[icon],MATCH($E332,cards[object_id order],0)),"")</f>
        <v>#N/A</v>
      </c>
      <c r="N332" t="e">
        <f>IF(OR(D332=Lookup!$G$10,D332=Lookup!$G$11),INDEX(cards[[1]:[25]],MATCH($E332,cards[object_id order],0),'card-code'!G332),"")</f>
        <v>#N/A</v>
      </c>
      <c r="O332" t="str">
        <f t="shared" si="16"/>
        <v/>
      </c>
      <c r="P332" s="8" t="e">
        <f>INDEX(Lookup!$H$5:$H$11,MATCH(D332,Lookup!$G$5:$G$11,0))&amp;
K332&amp;L332&amp;M332&amp;N332&amp;
INDEX(Lookup!$I$5:$I$11,MATCH(D332,Lookup!$G$5:$G$11,0))</f>
        <v>#N/A</v>
      </c>
    </row>
    <row r="333" spans="2:16" x14ac:dyDescent="0.45">
      <c r="B333">
        <f t="shared" si="15"/>
        <v>331</v>
      </c>
      <c r="C333" t="e">
        <f t="shared" si="17"/>
        <v>#N/A</v>
      </c>
      <c r="D333" t="e">
        <f>VLOOKUP(C333,Lookup!$F$5:$G$11,2,FALSE)</f>
        <v>#N/A</v>
      </c>
      <c r="E333" t="e">
        <f>IF(D333=Lookup!$G$5,E332+1,E332)</f>
        <v>#N/A</v>
      </c>
      <c r="F333" s="3" t="e">
        <f>INDEX(cards[Entities count],MATCH('card-code'!E333,cards[object_id order],0))</f>
        <v>#N/A</v>
      </c>
      <c r="G333" t="e">
        <f>IF(D332=Lookup!$G$9,1,IF(D332=Lookup!$G$10,G332+1,""))</f>
        <v>#N/A</v>
      </c>
      <c r="H333" t="e">
        <f>IF(F333=1,  IF(D333=Lookup!$G$9,2,1),  IF(G333&lt;F333-1,0,1)  )</f>
        <v>#N/A</v>
      </c>
      <c r="I333" t="e">
        <f>IF(D333&lt;&gt;Lookup!$G$7,0,IF(INDEX(cards[name],MATCH(E333,cards[object_id order],0))&lt;&gt;"",0,1))</f>
        <v>#N/A</v>
      </c>
      <c r="J333" t="e">
        <f>IF(D333&lt;&gt;Lookup!$G$7,0,IF(INDEX(cards[icon],MATCH(E333,cards[object_id order],0))&lt;&gt;"",0,1))</f>
        <v>#N/A</v>
      </c>
      <c r="K333" t="e">
        <f>IF(D333=Lookup!$G$6,INDEX(cards[object_id],MATCH('card-code'!E333,cards[object_id order],0)),"")</f>
        <v>#N/A</v>
      </c>
      <c r="L333" t="e">
        <f>IF(D333=Lookup!$G$7,INDEX(cards[name],MATCH('card-code'!E333,cards[object_id order],0)),"")</f>
        <v>#N/A</v>
      </c>
      <c r="M333" t="e">
        <f>IF($D333=Lookup!$L$9,INDEX(cards[icon],MATCH($E333,cards[object_id order],0)),"")</f>
        <v>#N/A</v>
      </c>
      <c r="N333" t="e">
        <f>IF(OR(D333=Lookup!$G$10,D333=Lookup!$G$11),INDEX(cards[[1]:[25]],MATCH($E333,cards[object_id order],0),'card-code'!G333),"")</f>
        <v>#N/A</v>
      </c>
      <c r="O333" t="str">
        <f t="shared" si="16"/>
        <v/>
      </c>
      <c r="P333" s="8" t="e">
        <f>INDEX(Lookup!$H$5:$H$11,MATCH(D333,Lookup!$G$5:$G$11,0))&amp;
K333&amp;L333&amp;M333&amp;N333&amp;
INDEX(Lookup!$I$5:$I$11,MATCH(D333,Lookup!$G$5:$G$11,0))</f>
        <v>#N/A</v>
      </c>
    </row>
    <row r="334" spans="2:16" x14ac:dyDescent="0.45">
      <c r="B334">
        <f t="shared" si="15"/>
        <v>332</v>
      </c>
      <c r="C334" t="e">
        <f t="shared" si="17"/>
        <v>#N/A</v>
      </c>
      <c r="D334" t="e">
        <f>VLOOKUP(C334,Lookup!$F$5:$G$11,2,FALSE)</f>
        <v>#N/A</v>
      </c>
      <c r="E334" t="e">
        <f>IF(D334=Lookup!$G$5,E333+1,E333)</f>
        <v>#N/A</v>
      </c>
      <c r="F334" s="3" t="e">
        <f>INDEX(cards[Entities count],MATCH('card-code'!E334,cards[object_id order],0))</f>
        <v>#N/A</v>
      </c>
      <c r="G334" t="e">
        <f>IF(D333=Lookup!$G$9,1,IF(D333=Lookup!$G$10,G333+1,""))</f>
        <v>#N/A</v>
      </c>
      <c r="H334" t="e">
        <f>IF(F334=1,  IF(D334=Lookup!$G$9,2,1),  IF(G334&lt;F334-1,0,1)  )</f>
        <v>#N/A</v>
      </c>
      <c r="I334" t="e">
        <f>IF(D334&lt;&gt;Lookup!$G$7,0,IF(INDEX(cards[name],MATCH(E334,cards[object_id order],0))&lt;&gt;"",0,1))</f>
        <v>#N/A</v>
      </c>
      <c r="J334" t="e">
        <f>IF(D334&lt;&gt;Lookup!$G$7,0,IF(INDEX(cards[icon],MATCH(E334,cards[object_id order],0))&lt;&gt;"",0,1))</f>
        <v>#N/A</v>
      </c>
      <c r="K334" t="e">
        <f>IF(D334=Lookup!$G$6,INDEX(cards[object_id],MATCH('card-code'!E334,cards[object_id order],0)),"")</f>
        <v>#N/A</v>
      </c>
      <c r="L334" t="e">
        <f>IF(D334=Lookup!$G$7,INDEX(cards[name],MATCH('card-code'!E334,cards[object_id order],0)),"")</f>
        <v>#N/A</v>
      </c>
      <c r="M334" t="e">
        <f>IF($D334=Lookup!$L$9,INDEX(cards[icon],MATCH($E334,cards[object_id order],0)),"")</f>
        <v>#N/A</v>
      </c>
      <c r="N334" t="e">
        <f>IF(OR(D334=Lookup!$G$10,D334=Lookup!$G$11),INDEX(cards[[1]:[25]],MATCH($E334,cards[object_id order],0),'card-code'!G334),"")</f>
        <v>#N/A</v>
      </c>
      <c r="O334" t="str">
        <f t="shared" si="16"/>
        <v/>
      </c>
      <c r="P334" s="8" t="e">
        <f>INDEX(Lookup!$H$5:$H$11,MATCH(D334,Lookup!$G$5:$G$11,0))&amp;
K334&amp;L334&amp;M334&amp;N334&amp;
INDEX(Lookup!$I$5:$I$11,MATCH(D334,Lookup!$G$5:$G$11,0))</f>
        <v>#N/A</v>
      </c>
    </row>
    <row r="335" spans="2:16" x14ac:dyDescent="0.45">
      <c r="B335">
        <f t="shared" si="15"/>
        <v>333</v>
      </c>
      <c r="C335" t="e">
        <f t="shared" si="17"/>
        <v>#N/A</v>
      </c>
      <c r="D335" t="e">
        <f>VLOOKUP(C335,Lookup!$F$5:$G$11,2,FALSE)</f>
        <v>#N/A</v>
      </c>
      <c r="E335" t="e">
        <f>IF(D335=Lookup!$G$5,E334+1,E334)</f>
        <v>#N/A</v>
      </c>
      <c r="F335" s="3" t="e">
        <f>INDEX(cards[Entities count],MATCH('card-code'!E335,cards[object_id order],0))</f>
        <v>#N/A</v>
      </c>
      <c r="G335" t="e">
        <f>IF(D334=Lookup!$G$9,1,IF(D334=Lookup!$G$10,G334+1,""))</f>
        <v>#N/A</v>
      </c>
      <c r="H335" t="e">
        <f>IF(F335=1,  IF(D335=Lookup!$G$9,2,1),  IF(G335&lt;F335-1,0,1)  )</f>
        <v>#N/A</v>
      </c>
      <c r="I335" t="e">
        <f>IF(D335&lt;&gt;Lookup!$G$7,0,IF(INDEX(cards[name],MATCH(E335,cards[object_id order],0))&lt;&gt;"",0,1))</f>
        <v>#N/A</v>
      </c>
      <c r="J335" t="e">
        <f>IF(D335&lt;&gt;Lookup!$G$7,0,IF(INDEX(cards[icon],MATCH(E335,cards[object_id order],0))&lt;&gt;"",0,1))</f>
        <v>#N/A</v>
      </c>
      <c r="K335" t="e">
        <f>IF(D335=Lookup!$G$6,INDEX(cards[object_id],MATCH('card-code'!E335,cards[object_id order],0)),"")</f>
        <v>#N/A</v>
      </c>
      <c r="L335" t="e">
        <f>IF(D335=Lookup!$G$7,INDEX(cards[name],MATCH('card-code'!E335,cards[object_id order],0)),"")</f>
        <v>#N/A</v>
      </c>
      <c r="M335" t="e">
        <f>IF($D335=Lookup!$L$9,INDEX(cards[icon],MATCH($E335,cards[object_id order],0)),"")</f>
        <v>#N/A</v>
      </c>
      <c r="N335" t="e">
        <f>IF(OR(D335=Lookup!$G$10,D335=Lookup!$G$11),INDEX(cards[[1]:[25]],MATCH($E335,cards[object_id order],0),'card-code'!G335),"")</f>
        <v>#N/A</v>
      </c>
      <c r="O335" t="str">
        <f t="shared" si="16"/>
        <v/>
      </c>
      <c r="P335" s="8" t="e">
        <f>INDEX(Lookup!$H$5:$H$11,MATCH(D335,Lookup!$G$5:$G$11,0))&amp;
K335&amp;L335&amp;M335&amp;N335&amp;
INDEX(Lookup!$I$5:$I$11,MATCH(D335,Lookup!$G$5:$G$11,0))</f>
        <v>#N/A</v>
      </c>
    </row>
    <row r="336" spans="2:16" x14ac:dyDescent="0.45">
      <c r="B336">
        <f t="shared" si="15"/>
        <v>334</v>
      </c>
      <c r="C336" t="e">
        <f t="shared" si="17"/>
        <v>#N/A</v>
      </c>
      <c r="D336" t="e">
        <f>VLOOKUP(C336,Lookup!$F$5:$G$11,2,FALSE)</f>
        <v>#N/A</v>
      </c>
      <c r="E336" t="e">
        <f>IF(D336=Lookup!$G$5,E335+1,E335)</f>
        <v>#N/A</v>
      </c>
      <c r="F336" s="3" t="e">
        <f>INDEX(cards[Entities count],MATCH('card-code'!E336,cards[object_id order],0))</f>
        <v>#N/A</v>
      </c>
      <c r="G336" t="e">
        <f>IF(D335=Lookup!$G$9,1,IF(D335=Lookup!$G$10,G335+1,""))</f>
        <v>#N/A</v>
      </c>
      <c r="H336" t="e">
        <f>IF(F336=1,  IF(D336=Lookup!$G$9,2,1),  IF(G336&lt;F336-1,0,1)  )</f>
        <v>#N/A</v>
      </c>
      <c r="I336" t="e">
        <f>IF(D336&lt;&gt;Lookup!$G$7,0,IF(INDEX(cards[name],MATCH(E336,cards[object_id order],0))&lt;&gt;"",0,1))</f>
        <v>#N/A</v>
      </c>
      <c r="J336" t="e">
        <f>IF(D336&lt;&gt;Lookup!$G$7,0,IF(INDEX(cards[icon],MATCH(E336,cards[object_id order],0))&lt;&gt;"",0,1))</f>
        <v>#N/A</v>
      </c>
      <c r="K336" t="e">
        <f>IF(D336=Lookup!$G$6,INDEX(cards[object_id],MATCH('card-code'!E336,cards[object_id order],0)),"")</f>
        <v>#N/A</v>
      </c>
      <c r="L336" t="e">
        <f>IF(D336=Lookup!$G$7,INDEX(cards[name],MATCH('card-code'!E336,cards[object_id order],0)),"")</f>
        <v>#N/A</v>
      </c>
      <c r="M336" t="e">
        <f>IF($D336=Lookup!$L$9,INDEX(cards[icon],MATCH($E336,cards[object_id order],0)),"")</f>
        <v>#N/A</v>
      </c>
      <c r="N336" t="e">
        <f>IF(OR(D336=Lookup!$G$10,D336=Lookup!$G$11),INDEX(cards[[1]:[25]],MATCH($E336,cards[object_id order],0),'card-code'!G336),"")</f>
        <v>#N/A</v>
      </c>
      <c r="O336" t="str">
        <f t="shared" si="16"/>
        <v/>
      </c>
      <c r="P336" s="8" t="e">
        <f>INDEX(Lookup!$H$5:$H$11,MATCH(D336,Lookup!$G$5:$G$11,0))&amp;
K336&amp;L336&amp;M336&amp;N336&amp;
INDEX(Lookup!$I$5:$I$11,MATCH(D336,Lookup!$G$5:$G$11,0))</f>
        <v>#N/A</v>
      </c>
    </row>
    <row r="337" spans="2:16" x14ac:dyDescent="0.45">
      <c r="B337">
        <f t="shared" si="15"/>
        <v>335</v>
      </c>
      <c r="C337" t="e">
        <f t="shared" si="17"/>
        <v>#N/A</v>
      </c>
      <c r="D337" t="e">
        <f>VLOOKUP(C337,Lookup!$F$5:$G$11,2,FALSE)</f>
        <v>#N/A</v>
      </c>
      <c r="E337" t="e">
        <f>IF(D337=Lookup!$G$5,E336+1,E336)</f>
        <v>#N/A</v>
      </c>
      <c r="F337" s="3" t="e">
        <f>INDEX(cards[Entities count],MATCH('card-code'!E337,cards[object_id order],0))</f>
        <v>#N/A</v>
      </c>
      <c r="G337" t="e">
        <f>IF(D336=Lookup!$G$9,1,IF(D336=Lookup!$G$10,G336+1,""))</f>
        <v>#N/A</v>
      </c>
      <c r="H337" t="e">
        <f>IF(F337=1,  IF(D337=Lookup!$G$9,2,1),  IF(G337&lt;F337-1,0,1)  )</f>
        <v>#N/A</v>
      </c>
      <c r="I337" t="e">
        <f>IF(D337&lt;&gt;Lookup!$G$7,0,IF(INDEX(cards[name],MATCH(E337,cards[object_id order],0))&lt;&gt;"",0,1))</f>
        <v>#N/A</v>
      </c>
      <c r="J337" t="e">
        <f>IF(D337&lt;&gt;Lookup!$G$7,0,IF(INDEX(cards[icon],MATCH(E337,cards[object_id order],0))&lt;&gt;"",0,1))</f>
        <v>#N/A</v>
      </c>
      <c r="K337" t="e">
        <f>IF(D337=Lookup!$G$6,INDEX(cards[object_id],MATCH('card-code'!E337,cards[object_id order],0)),"")</f>
        <v>#N/A</v>
      </c>
      <c r="L337" t="e">
        <f>IF(D337=Lookup!$G$7,INDEX(cards[name],MATCH('card-code'!E337,cards[object_id order],0)),"")</f>
        <v>#N/A</v>
      </c>
      <c r="M337" t="e">
        <f>IF($D337=Lookup!$L$9,INDEX(cards[icon],MATCH($E337,cards[object_id order],0)),"")</f>
        <v>#N/A</v>
      </c>
      <c r="N337" t="e">
        <f>IF(OR(D337=Lookup!$G$10,D337=Lookup!$G$11),INDEX(cards[[1]:[25]],MATCH($E337,cards[object_id order],0),'card-code'!G337),"")</f>
        <v>#N/A</v>
      </c>
      <c r="O337" t="str">
        <f t="shared" si="16"/>
        <v/>
      </c>
      <c r="P337" s="8" t="e">
        <f>INDEX(Lookup!$H$5:$H$11,MATCH(D337,Lookup!$G$5:$G$11,0))&amp;
K337&amp;L337&amp;M337&amp;N337&amp;
INDEX(Lookup!$I$5:$I$11,MATCH(D337,Lookup!$G$5:$G$11,0))</f>
        <v>#N/A</v>
      </c>
    </row>
    <row r="338" spans="2:16" x14ac:dyDescent="0.45">
      <c r="B338">
        <f t="shared" si="15"/>
        <v>336</v>
      </c>
      <c r="C338" t="e">
        <f t="shared" si="17"/>
        <v>#N/A</v>
      </c>
      <c r="D338" t="e">
        <f>VLOOKUP(C338,Lookup!$F$5:$G$11,2,FALSE)</f>
        <v>#N/A</v>
      </c>
      <c r="E338" t="e">
        <f>IF(D338=Lookup!$G$5,E337+1,E337)</f>
        <v>#N/A</v>
      </c>
      <c r="F338" s="3" t="e">
        <f>INDEX(cards[Entities count],MATCH('card-code'!E338,cards[object_id order],0))</f>
        <v>#N/A</v>
      </c>
      <c r="G338" t="e">
        <f>IF(D337=Lookup!$G$9,1,IF(D337=Lookup!$G$10,G337+1,""))</f>
        <v>#N/A</v>
      </c>
      <c r="H338" t="e">
        <f>IF(F338=1,  IF(D338=Lookup!$G$9,2,1),  IF(G338&lt;F338-1,0,1)  )</f>
        <v>#N/A</v>
      </c>
      <c r="I338" t="e">
        <f>IF(D338&lt;&gt;Lookup!$G$7,0,IF(INDEX(cards[name],MATCH(E338,cards[object_id order],0))&lt;&gt;"",0,1))</f>
        <v>#N/A</v>
      </c>
      <c r="J338" t="e">
        <f>IF(D338&lt;&gt;Lookup!$G$7,0,IF(INDEX(cards[icon],MATCH(E338,cards[object_id order],0))&lt;&gt;"",0,1))</f>
        <v>#N/A</v>
      </c>
      <c r="K338" t="e">
        <f>IF(D338=Lookup!$G$6,INDEX(cards[object_id],MATCH('card-code'!E338,cards[object_id order],0)),"")</f>
        <v>#N/A</v>
      </c>
      <c r="L338" t="e">
        <f>IF(D338=Lookup!$G$7,INDEX(cards[name],MATCH('card-code'!E338,cards[object_id order],0)),"")</f>
        <v>#N/A</v>
      </c>
      <c r="M338" t="e">
        <f>IF($D338=Lookup!$L$9,INDEX(cards[icon],MATCH($E338,cards[object_id order],0)),"")</f>
        <v>#N/A</v>
      </c>
      <c r="N338" t="e">
        <f>IF(OR(D338=Lookup!$G$10,D338=Lookup!$G$11),INDEX(cards[[1]:[25]],MATCH($E338,cards[object_id order],0),'card-code'!G338),"")</f>
        <v>#N/A</v>
      </c>
      <c r="O338" t="str">
        <f t="shared" si="16"/>
        <v/>
      </c>
      <c r="P338" s="8" t="e">
        <f>INDEX(Lookup!$H$5:$H$11,MATCH(D338,Lookup!$G$5:$G$11,0))&amp;
K338&amp;L338&amp;M338&amp;N338&amp;
INDEX(Lookup!$I$5:$I$11,MATCH(D338,Lookup!$G$5:$G$11,0))</f>
        <v>#N/A</v>
      </c>
    </row>
    <row r="339" spans="2:16" x14ac:dyDescent="0.45">
      <c r="B339">
        <f t="shared" si="15"/>
        <v>337</v>
      </c>
      <c r="C339" t="e">
        <f t="shared" si="17"/>
        <v>#N/A</v>
      </c>
      <c r="D339" t="e">
        <f>VLOOKUP(C339,Lookup!$F$5:$G$11,2,FALSE)</f>
        <v>#N/A</v>
      </c>
      <c r="E339" t="e">
        <f>IF(D339=Lookup!$G$5,E338+1,E338)</f>
        <v>#N/A</v>
      </c>
      <c r="F339" s="3" t="e">
        <f>INDEX(cards[Entities count],MATCH('card-code'!E339,cards[object_id order],0))</f>
        <v>#N/A</v>
      </c>
      <c r="G339" t="e">
        <f>IF(D338=Lookup!$G$9,1,IF(D338=Lookup!$G$10,G338+1,""))</f>
        <v>#N/A</v>
      </c>
      <c r="H339" t="e">
        <f>IF(F339=1,  IF(D339=Lookup!$G$9,2,1),  IF(G339&lt;F339-1,0,1)  )</f>
        <v>#N/A</v>
      </c>
      <c r="I339" t="e">
        <f>IF(D339&lt;&gt;Lookup!$G$7,0,IF(INDEX(cards[name],MATCH(E339,cards[object_id order],0))&lt;&gt;"",0,1))</f>
        <v>#N/A</v>
      </c>
      <c r="J339" t="e">
        <f>IF(D339&lt;&gt;Lookup!$G$7,0,IF(INDEX(cards[icon],MATCH(E339,cards[object_id order],0))&lt;&gt;"",0,1))</f>
        <v>#N/A</v>
      </c>
      <c r="K339" t="e">
        <f>IF(D339=Lookup!$G$6,INDEX(cards[object_id],MATCH('card-code'!E339,cards[object_id order],0)),"")</f>
        <v>#N/A</v>
      </c>
      <c r="L339" t="e">
        <f>IF(D339=Lookup!$G$7,INDEX(cards[name],MATCH('card-code'!E339,cards[object_id order],0)),"")</f>
        <v>#N/A</v>
      </c>
      <c r="M339" t="e">
        <f>IF($D339=Lookup!$L$9,INDEX(cards[icon],MATCH($E339,cards[object_id order],0)),"")</f>
        <v>#N/A</v>
      </c>
      <c r="N339" t="e">
        <f>IF(OR(D339=Lookup!$G$10,D339=Lookup!$G$11),INDEX(cards[[1]:[25]],MATCH($E339,cards[object_id order],0),'card-code'!G339),"")</f>
        <v>#N/A</v>
      </c>
      <c r="O339" t="str">
        <f t="shared" si="16"/>
        <v/>
      </c>
      <c r="P339" s="8" t="e">
        <f>INDEX(Lookup!$H$5:$H$11,MATCH(D339,Lookup!$G$5:$G$11,0))&amp;
K339&amp;L339&amp;M339&amp;N339&amp;
INDEX(Lookup!$I$5:$I$11,MATCH(D339,Lookup!$G$5:$G$11,0))</f>
        <v>#N/A</v>
      </c>
    </row>
    <row r="340" spans="2:16" x14ac:dyDescent="0.45">
      <c r="B340">
        <f t="shared" si="15"/>
        <v>338</v>
      </c>
      <c r="C340" t="e">
        <f t="shared" si="17"/>
        <v>#N/A</v>
      </c>
      <c r="D340" t="e">
        <f>VLOOKUP(C340,Lookup!$F$5:$G$11,2,FALSE)</f>
        <v>#N/A</v>
      </c>
      <c r="E340" t="e">
        <f>IF(D340=Lookup!$G$5,E339+1,E339)</f>
        <v>#N/A</v>
      </c>
      <c r="F340" s="3" t="e">
        <f>INDEX(cards[Entities count],MATCH('card-code'!E340,cards[object_id order],0))</f>
        <v>#N/A</v>
      </c>
      <c r="G340" t="e">
        <f>IF(D339=Lookup!$G$9,1,IF(D339=Lookup!$G$10,G339+1,""))</f>
        <v>#N/A</v>
      </c>
      <c r="H340" t="e">
        <f>IF(F340=1,  IF(D340=Lookup!$G$9,2,1),  IF(G340&lt;F340-1,0,1)  )</f>
        <v>#N/A</v>
      </c>
      <c r="I340" t="e">
        <f>IF(D340&lt;&gt;Lookup!$G$7,0,IF(INDEX(cards[name],MATCH(E340,cards[object_id order],0))&lt;&gt;"",0,1))</f>
        <v>#N/A</v>
      </c>
      <c r="J340" t="e">
        <f>IF(D340&lt;&gt;Lookup!$G$7,0,IF(INDEX(cards[icon],MATCH(E340,cards[object_id order],0))&lt;&gt;"",0,1))</f>
        <v>#N/A</v>
      </c>
      <c r="K340" t="e">
        <f>IF(D340=Lookup!$G$6,INDEX(cards[object_id],MATCH('card-code'!E340,cards[object_id order],0)),"")</f>
        <v>#N/A</v>
      </c>
      <c r="L340" t="e">
        <f>IF(D340=Lookup!$G$7,INDEX(cards[name],MATCH('card-code'!E340,cards[object_id order],0)),"")</f>
        <v>#N/A</v>
      </c>
      <c r="M340" t="e">
        <f>IF($D340=Lookup!$L$9,INDEX(cards[icon],MATCH($E340,cards[object_id order],0)),"")</f>
        <v>#N/A</v>
      </c>
      <c r="N340" t="e">
        <f>IF(OR(D340=Lookup!$G$10,D340=Lookup!$G$11),INDEX(cards[[1]:[25]],MATCH($E340,cards[object_id order],0),'card-code'!G340),"")</f>
        <v>#N/A</v>
      </c>
      <c r="O340" t="str">
        <f t="shared" si="16"/>
        <v/>
      </c>
      <c r="P340" s="8" t="e">
        <f>INDEX(Lookup!$H$5:$H$11,MATCH(D340,Lookup!$G$5:$G$11,0))&amp;
K340&amp;L340&amp;M340&amp;N340&amp;
INDEX(Lookup!$I$5:$I$11,MATCH(D340,Lookup!$G$5:$G$11,0))</f>
        <v>#N/A</v>
      </c>
    </row>
    <row r="341" spans="2:16" x14ac:dyDescent="0.45">
      <c r="B341">
        <f t="shared" si="15"/>
        <v>339</v>
      </c>
      <c r="C341" t="e">
        <f t="shared" si="17"/>
        <v>#N/A</v>
      </c>
      <c r="D341" t="e">
        <f>VLOOKUP(C341,Lookup!$F$5:$G$11,2,FALSE)</f>
        <v>#N/A</v>
      </c>
      <c r="E341" t="e">
        <f>IF(D341=Lookup!$G$5,E340+1,E340)</f>
        <v>#N/A</v>
      </c>
      <c r="F341" s="3" t="e">
        <f>INDEX(cards[Entities count],MATCH('card-code'!E341,cards[object_id order],0))</f>
        <v>#N/A</v>
      </c>
      <c r="G341" t="e">
        <f>IF(D340=Lookup!$G$9,1,IF(D340=Lookup!$G$10,G340+1,""))</f>
        <v>#N/A</v>
      </c>
      <c r="H341" t="e">
        <f>IF(F341=1,  IF(D341=Lookup!$G$9,2,1),  IF(G341&lt;F341-1,0,1)  )</f>
        <v>#N/A</v>
      </c>
      <c r="I341" t="e">
        <f>IF(D341&lt;&gt;Lookup!$G$7,0,IF(INDEX(cards[name],MATCH(E341,cards[object_id order],0))&lt;&gt;"",0,1))</f>
        <v>#N/A</v>
      </c>
      <c r="J341" t="e">
        <f>IF(D341&lt;&gt;Lookup!$G$7,0,IF(INDEX(cards[icon],MATCH(E341,cards[object_id order],0))&lt;&gt;"",0,1))</f>
        <v>#N/A</v>
      </c>
      <c r="K341" t="e">
        <f>IF(D341=Lookup!$G$6,INDEX(cards[object_id],MATCH('card-code'!E341,cards[object_id order],0)),"")</f>
        <v>#N/A</v>
      </c>
      <c r="L341" t="e">
        <f>IF(D341=Lookup!$G$7,INDEX(cards[name],MATCH('card-code'!E341,cards[object_id order],0)),"")</f>
        <v>#N/A</v>
      </c>
      <c r="M341" t="e">
        <f>IF($D341=Lookup!$L$9,INDEX(cards[icon],MATCH($E341,cards[object_id order],0)),"")</f>
        <v>#N/A</v>
      </c>
      <c r="N341" t="e">
        <f>IF(OR(D341=Lookup!$G$10,D341=Lookup!$G$11),INDEX(cards[[1]:[25]],MATCH($E341,cards[object_id order],0),'card-code'!G341),"")</f>
        <v>#N/A</v>
      </c>
      <c r="O341" t="str">
        <f t="shared" si="16"/>
        <v/>
      </c>
      <c r="P341" s="8" t="e">
        <f>INDEX(Lookup!$H$5:$H$11,MATCH(D341,Lookup!$G$5:$G$11,0))&amp;
K341&amp;L341&amp;M341&amp;N341&amp;
INDEX(Lookup!$I$5:$I$11,MATCH(D341,Lookup!$G$5:$G$11,0))</f>
        <v>#N/A</v>
      </c>
    </row>
    <row r="342" spans="2:16" x14ac:dyDescent="0.45">
      <c r="B342">
        <f t="shared" si="15"/>
        <v>340</v>
      </c>
      <c r="C342" t="e">
        <f t="shared" si="17"/>
        <v>#N/A</v>
      </c>
      <c r="D342" t="e">
        <f>VLOOKUP(C342,Lookup!$F$5:$G$11,2,FALSE)</f>
        <v>#N/A</v>
      </c>
      <c r="E342" t="e">
        <f>IF(D342=Lookup!$G$5,E341+1,E341)</f>
        <v>#N/A</v>
      </c>
      <c r="F342" s="3" t="e">
        <f>INDEX(cards[Entities count],MATCH('card-code'!E342,cards[object_id order],0))</f>
        <v>#N/A</v>
      </c>
      <c r="G342" t="e">
        <f>IF(D341=Lookup!$G$9,1,IF(D341=Lookup!$G$10,G341+1,""))</f>
        <v>#N/A</v>
      </c>
      <c r="H342" t="e">
        <f>IF(F342=1,  IF(D342=Lookup!$G$9,2,1),  IF(G342&lt;F342-1,0,1)  )</f>
        <v>#N/A</v>
      </c>
      <c r="I342" t="e">
        <f>IF(D342&lt;&gt;Lookup!$G$7,0,IF(INDEX(cards[name],MATCH(E342,cards[object_id order],0))&lt;&gt;"",0,1))</f>
        <v>#N/A</v>
      </c>
      <c r="J342" t="e">
        <f>IF(D342&lt;&gt;Lookup!$G$7,0,IF(INDEX(cards[icon],MATCH(E342,cards[object_id order],0))&lt;&gt;"",0,1))</f>
        <v>#N/A</v>
      </c>
      <c r="K342" t="e">
        <f>IF(D342=Lookup!$G$6,INDEX(cards[object_id],MATCH('card-code'!E342,cards[object_id order],0)),"")</f>
        <v>#N/A</v>
      </c>
      <c r="L342" t="e">
        <f>IF(D342=Lookup!$G$7,INDEX(cards[name],MATCH('card-code'!E342,cards[object_id order],0)),"")</f>
        <v>#N/A</v>
      </c>
      <c r="M342" t="e">
        <f>IF($D342=Lookup!$L$9,INDEX(cards[icon],MATCH($E342,cards[object_id order],0)),"")</f>
        <v>#N/A</v>
      </c>
      <c r="N342" t="e">
        <f>IF(OR(D342=Lookup!$G$10,D342=Lookup!$G$11),INDEX(cards[[1]:[25]],MATCH($E342,cards[object_id order],0),'card-code'!G342),"")</f>
        <v>#N/A</v>
      </c>
      <c r="O342" t="str">
        <f t="shared" si="16"/>
        <v/>
      </c>
      <c r="P342" s="8" t="e">
        <f>INDEX(Lookup!$H$5:$H$11,MATCH(D342,Lookup!$G$5:$G$11,0))&amp;
K342&amp;L342&amp;M342&amp;N342&amp;
INDEX(Lookup!$I$5:$I$11,MATCH(D342,Lookup!$G$5:$G$11,0))</f>
        <v>#N/A</v>
      </c>
    </row>
    <row r="343" spans="2:16" x14ac:dyDescent="0.45">
      <c r="B343">
        <f t="shared" si="15"/>
        <v>341</v>
      </c>
      <c r="C343" t="e">
        <f t="shared" si="17"/>
        <v>#N/A</v>
      </c>
      <c r="D343" t="e">
        <f>VLOOKUP(C343,Lookup!$F$5:$G$11,2,FALSE)</f>
        <v>#N/A</v>
      </c>
      <c r="E343" t="e">
        <f>IF(D343=Lookup!$G$5,E342+1,E342)</f>
        <v>#N/A</v>
      </c>
      <c r="F343" s="3" t="e">
        <f>INDEX(cards[Entities count],MATCH('card-code'!E343,cards[object_id order],0))</f>
        <v>#N/A</v>
      </c>
      <c r="G343" t="e">
        <f>IF(D342=Lookup!$G$9,1,IF(D342=Lookup!$G$10,G342+1,""))</f>
        <v>#N/A</v>
      </c>
      <c r="H343" t="e">
        <f>IF(F343=1,  IF(D343=Lookup!$G$9,2,1),  IF(G343&lt;F343-1,0,1)  )</f>
        <v>#N/A</v>
      </c>
      <c r="I343" t="e">
        <f>IF(D343&lt;&gt;Lookup!$G$7,0,IF(INDEX(cards[name],MATCH(E343,cards[object_id order],0))&lt;&gt;"",0,1))</f>
        <v>#N/A</v>
      </c>
      <c r="J343" t="e">
        <f>IF(D343&lt;&gt;Lookup!$G$7,0,IF(INDEX(cards[icon],MATCH(E343,cards[object_id order],0))&lt;&gt;"",0,1))</f>
        <v>#N/A</v>
      </c>
      <c r="K343" t="e">
        <f>IF(D343=Lookup!$G$6,INDEX(cards[object_id],MATCH('card-code'!E343,cards[object_id order],0)),"")</f>
        <v>#N/A</v>
      </c>
      <c r="L343" t="e">
        <f>IF(D343=Lookup!$G$7,INDEX(cards[name],MATCH('card-code'!E343,cards[object_id order],0)),"")</f>
        <v>#N/A</v>
      </c>
      <c r="M343" t="e">
        <f>IF($D343=Lookup!$L$9,INDEX(cards[icon],MATCH($E343,cards[object_id order],0)),"")</f>
        <v>#N/A</v>
      </c>
      <c r="N343" t="e">
        <f>IF(OR(D343=Lookup!$G$10,D343=Lookup!$G$11),INDEX(cards[[1]:[25]],MATCH($E343,cards[object_id order],0),'card-code'!G343),"")</f>
        <v>#N/A</v>
      </c>
      <c r="O343" t="str">
        <f t="shared" si="16"/>
        <v/>
      </c>
      <c r="P343" s="8" t="e">
        <f>INDEX(Lookup!$H$5:$H$11,MATCH(D343,Lookup!$G$5:$G$11,0))&amp;
K343&amp;L343&amp;M343&amp;N343&amp;
INDEX(Lookup!$I$5:$I$11,MATCH(D343,Lookup!$G$5:$G$11,0))</f>
        <v>#N/A</v>
      </c>
    </row>
    <row r="344" spans="2:16" x14ac:dyDescent="0.45">
      <c r="B344">
        <f t="shared" si="15"/>
        <v>342</v>
      </c>
      <c r="C344" t="e">
        <f t="shared" si="17"/>
        <v>#N/A</v>
      </c>
      <c r="D344" t="e">
        <f>VLOOKUP(C344,Lookup!$F$5:$G$11,2,FALSE)</f>
        <v>#N/A</v>
      </c>
      <c r="E344" t="e">
        <f>IF(D344=Lookup!$G$5,E343+1,E343)</f>
        <v>#N/A</v>
      </c>
      <c r="F344" s="3" t="e">
        <f>INDEX(cards[Entities count],MATCH('card-code'!E344,cards[object_id order],0))</f>
        <v>#N/A</v>
      </c>
      <c r="G344" t="e">
        <f>IF(D343=Lookup!$G$9,1,IF(D343=Lookup!$G$10,G343+1,""))</f>
        <v>#N/A</v>
      </c>
      <c r="H344" t="e">
        <f>IF(F344=1,  IF(D344=Lookup!$G$9,2,1),  IF(G344&lt;F344-1,0,1)  )</f>
        <v>#N/A</v>
      </c>
      <c r="I344" t="e">
        <f>IF(D344&lt;&gt;Lookup!$G$7,0,IF(INDEX(cards[name],MATCH(E344,cards[object_id order],0))&lt;&gt;"",0,1))</f>
        <v>#N/A</v>
      </c>
      <c r="J344" t="e">
        <f>IF(D344&lt;&gt;Lookup!$G$7,0,IF(INDEX(cards[icon],MATCH(E344,cards[object_id order],0))&lt;&gt;"",0,1))</f>
        <v>#N/A</v>
      </c>
      <c r="K344" t="e">
        <f>IF(D344=Lookup!$G$6,INDEX(cards[object_id],MATCH('card-code'!E344,cards[object_id order],0)),"")</f>
        <v>#N/A</v>
      </c>
      <c r="L344" t="e">
        <f>IF(D344=Lookup!$G$7,INDEX(cards[name],MATCH('card-code'!E344,cards[object_id order],0)),"")</f>
        <v>#N/A</v>
      </c>
      <c r="M344" t="e">
        <f>IF($D344=Lookup!$L$9,INDEX(cards[icon],MATCH($E344,cards[object_id order],0)),"")</f>
        <v>#N/A</v>
      </c>
      <c r="N344" t="e">
        <f>IF(OR(D344=Lookup!$G$10,D344=Lookup!$G$11),INDEX(cards[[1]:[25]],MATCH($E344,cards[object_id order],0),'card-code'!G344),"")</f>
        <v>#N/A</v>
      </c>
      <c r="O344" t="str">
        <f t="shared" si="16"/>
        <v/>
      </c>
      <c r="P344" s="8" t="e">
        <f>INDEX(Lookup!$H$5:$H$11,MATCH(D344,Lookup!$G$5:$G$11,0))&amp;
K344&amp;L344&amp;M344&amp;N344&amp;
INDEX(Lookup!$I$5:$I$11,MATCH(D344,Lookup!$G$5:$G$11,0))</f>
        <v>#N/A</v>
      </c>
    </row>
    <row r="345" spans="2:16" x14ac:dyDescent="0.45">
      <c r="B345">
        <f t="shared" si="15"/>
        <v>343</v>
      </c>
      <c r="C345" t="e">
        <f t="shared" si="17"/>
        <v>#N/A</v>
      </c>
      <c r="D345" t="e">
        <f>VLOOKUP(C345,Lookup!$F$5:$G$11,2,FALSE)</f>
        <v>#N/A</v>
      </c>
      <c r="E345" t="e">
        <f>IF(D345=Lookup!$G$5,E344+1,E344)</f>
        <v>#N/A</v>
      </c>
      <c r="F345" s="3" t="e">
        <f>INDEX(cards[Entities count],MATCH('card-code'!E345,cards[object_id order],0))</f>
        <v>#N/A</v>
      </c>
      <c r="G345" t="e">
        <f>IF(D344=Lookup!$G$9,1,IF(D344=Lookup!$G$10,G344+1,""))</f>
        <v>#N/A</v>
      </c>
      <c r="H345" t="e">
        <f>IF(F345=1,  IF(D345=Lookup!$G$9,2,1),  IF(G345&lt;F345-1,0,1)  )</f>
        <v>#N/A</v>
      </c>
      <c r="I345" t="e">
        <f>IF(D345&lt;&gt;Lookup!$G$7,0,IF(INDEX(cards[name],MATCH(E345,cards[object_id order],0))&lt;&gt;"",0,1))</f>
        <v>#N/A</v>
      </c>
      <c r="J345" t="e">
        <f>IF(D345&lt;&gt;Lookup!$G$7,0,IF(INDEX(cards[icon],MATCH(E345,cards[object_id order],0))&lt;&gt;"",0,1))</f>
        <v>#N/A</v>
      </c>
      <c r="K345" t="e">
        <f>IF(D345=Lookup!$G$6,INDEX(cards[object_id],MATCH('card-code'!E345,cards[object_id order],0)),"")</f>
        <v>#N/A</v>
      </c>
      <c r="L345" t="e">
        <f>IF(D345=Lookup!$G$7,INDEX(cards[name],MATCH('card-code'!E345,cards[object_id order],0)),"")</f>
        <v>#N/A</v>
      </c>
      <c r="M345" t="e">
        <f>IF($D345=Lookup!$L$9,INDEX(cards[icon],MATCH($E345,cards[object_id order],0)),"")</f>
        <v>#N/A</v>
      </c>
      <c r="N345" t="e">
        <f>IF(OR(D345=Lookup!$G$10,D345=Lookup!$G$11),INDEX(cards[[1]:[25]],MATCH($E345,cards[object_id order],0),'card-code'!G345),"")</f>
        <v>#N/A</v>
      </c>
      <c r="O345" t="str">
        <f t="shared" si="16"/>
        <v/>
      </c>
      <c r="P345" s="8" t="e">
        <f>INDEX(Lookup!$H$5:$H$11,MATCH(D345,Lookup!$G$5:$G$11,0))&amp;
K345&amp;L345&amp;M345&amp;N345&amp;
INDEX(Lookup!$I$5:$I$11,MATCH(D345,Lookup!$G$5:$G$11,0))</f>
        <v>#N/A</v>
      </c>
    </row>
    <row r="346" spans="2:16" x14ac:dyDescent="0.45">
      <c r="B346">
        <f t="shared" si="15"/>
        <v>344</v>
      </c>
      <c r="C346" t="e">
        <f t="shared" si="17"/>
        <v>#N/A</v>
      </c>
      <c r="D346" t="e">
        <f>VLOOKUP(C346,Lookup!$F$5:$G$11,2,FALSE)</f>
        <v>#N/A</v>
      </c>
      <c r="E346" t="e">
        <f>IF(D346=Lookup!$G$5,E345+1,E345)</f>
        <v>#N/A</v>
      </c>
      <c r="F346" s="3" t="e">
        <f>INDEX(cards[Entities count],MATCH('card-code'!E346,cards[object_id order],0))</f>
        <v>#N/A</v>
      </c>
      <c r="G346" t="e">
        <f>IF(D345=Lookup!$G$9,1,IF(D345=Lookup!$G$10,G345+1,""))</f>
        <v>#N/A</v>
      </c>
      <c r="H346" t="e">
        <f>IF(F346=1,  IF(D346=Lookup!$G$9,2,1),  IF(G346&lt;F346-1,0,1)  )</f>
        <v>#N/A</v>
      </c>
      <c r="I346" t="e">
        <f>IF(D346&lt;&gt;Lookup!$G$7,0,IF(INDEX(cards[name],MATCH(E346,cards[object_id order],0))&lt;&gt;"",0,1))</f>
        <v>#N/A</v>
      </c>
      <c r="J346" t="e">
        <f>IF(D346&lt;&gt;Lookup!$G$7,0,IF(INDEX(cards[icon],MATCH(E346,cards[object_id order],0))&lt;&gt;"",0,1))</f>
        <v>#N/A</v>
      </c>
      <c r="K346" t="e">
        <f>IF(D346=Lookup!$G$6,INDEX(cards[object_id],MATCH('card-code'!E346,cards[object_id order],0)),"")</f>
        <v>#N/A</v>
      </c>
      <c r="L346" t="e">
        <f>IF(D346=Lookup!$G$7,INDEX(cards[name],MATCH('card-code'!E346,cards[object_id order],0)),"")</f>
        <v>#N/A</v>
      </c>
      <c r="M346" t="e">
        <f>IF($D346=Lookup!$L$9,INDEX(cards[icon],MATCH($E346,cards[object_id order],0)),"")</f>
        <v>#N/A</v>
      </c>
      <c r="N346" t="e">
        <f>IF(OR(D346=Lookup!$G$10,D346=Lookup!$G$11),INDEX(cards[[1]:[25]],MATCH($E346,cards[object_id order],0),'card-code'!G346),"")</f>
        <v>#N/A</v>
      </c>
      <c r="O346" t="str">
        <f t="shared" si="16"/>
        <v/>
      </c>
      <c r="P346" s="8" t="e">
        <f>INDEX(Lookup!$H$5:$H$11,MATCH(D346,Lookup!$G$5:$G$11,0))&amp;
K346&amp;L346&amp;M346&amp;N346&amp;
INDEX(Lookup!$I$5:$I$11,MATCH(D346,Lookup!$G$5:$G$11,0))</f>
        <v>#N/A</v>
      </c>
    </row>
    <row r="347" spans="2:16" x14ac:dyDescent="0.45">
      <c r="B347">
        <f t="shared" si="15"/>
        <v>345</v>
      </c>
      <c r="C347" t="e">
        <f t="shared" si="17"/>
        <v>#N/A</v>
      </c>
      <c r="D347" t="e">
        <f>VLOOKUP(C347,Lookup!$F$5:$G$11,2,FALSE)</f>
        <v>#N/A</v>
      </c>
      <c r="E347" t="e">
        <f>IF(D347=Lookup!$G$5,E346+1,E346)</f>
        <v>#N/A</v>
      </c>
      <c r="F347" s="3" t="e">
        <f>INDEX(cards[Entities count],MATCH('card-code'!E347,cards[object_id order],0))</f>
        <v>#N/A</v>
      </c>
      <c r="G347" t="e">
        <f>IF(D346=Lookup!$G$9,1,IF(D346=Lookup!$G$10,G346+1,""))</f>
        <v>#N/A</v>
      </c>
      <c r="H347" t="e">
        <f>IF(F347=1,  IF(D347=Lookup!$G$9,2,1),  IF(G347&lt;F347-1,0,1)  )</f>
        <v>#N/A</v>
      </c>
      <c r="I347" t="e">
        <f>IF(D347&lt;&gt;Lookup!$G$7,0,IF(INDEX(cards[name],MATCH(E347,cards[object_id order],0))&lt;&gt;"",0,1))</f>
        <v>#N/A</v>
      </c>
      <c r="J347" t="e">
        <f>IF(D347&lt;&gt;Lookup!$G$7,0,IF(INDEX(cards[icon],MATCH(E347,cards[object_id order],0))&lt;&gt;"",0,1))</f>
        <v>#N/A</v>
      </c>
      <c r="K347" t="e">
        <f>IF(D347=Lookup!$G$6,INDEX(cards[object_id],MATCH('card-code'!E347,cards[object_id order],0)),"")</f>
        <v>#N/A</v>
      </c>
      <c r="L347" t="e">
        <f>IF(D347=Lookup!$G$7,INDEX(cards[name],MATCH('card-code'!E347,cards[object_id order],0)),"")</f>
        <v>#N/A</v>
      </c>
      <c r="M347" t="e">
        <f>IF($D347=Lookup!$L$9,INDEX(cards[icon],MATCH($E347,cards[object_id order],0)),"")</f>
        <v>#N/A</v>
      </c>
      <c r="N347" t="e">
        <f>IF(OR(D347=Lookup!$G$10,D347=Lookup!$G$11),INDEX(cards[[1]:[25]],MATCH($E347,cards[object_id order],0),'card-code'!G347),"")</f>
        <v>#N/A</v>
      </c>
      <c r="O347" t="str">
        <f t="shared" si="16"/>
        <v/>
      </c>
      <c r="P347" s="8" t="e">
        <f>INDEX(Lookup!$H$5:$H$11,MATCH(D347,Lookup!$G$5:$G$11,0))&amp;
K347&amp;L347&amp;M347&amp;N347&amp;
INDEX(Lookup!$I$5:$I$11,MATCH(D347,Lookup!$G$5:$G$11,0))</f>
        <v>#N/A</v>
      </c>
    </row>
    <row r="348" spans="2:16" x14ac:dyDescent="0.45">
      <c r="B348">
        <f t="shared" si="15"/>
        <v>346</v>
      </c>
      <c r="C348" t="e">
        <f t="shared" si="17"/>
        <v>#N/A</v>
      </c>
      <c r="D348" t="e">
        <f>VLOOKUP(C348,Lookup!$F$5:$G$11,2,FALSE)</f>
        <v>#N/A</v>
      </c>
      <c r="E348" t="e">
        <f>IF(D348=Lookup!$G$5,E347+1,E347)</f>
        <v>#N/A</v>
      </c>
      <c r="F348" s="3" t="e">
        <f>INDEX(cards[Entities count],MATCH('card-code'!E348,cards[object_id order],0))</f>
        <v>#N/A</v>
      </c>
      <c r="G348" t="e">
        <f>IF(D347=Lookup!$G$9,1,IF(D347=Lookup!$G$10,G347+1,""))</f>
        <v>#N/A</v>
      </c>
      <c r="H348" t="e">
        <f>IF(F348=1,  IF(D348=Lookup!$G$9,2,1),  IF(G348&lt;F348-1,0,1)  )</f>
        <v>#N/A</v>
      </c>
      <c r="I348" t="e">
        <f>IF(D348&lt;&gt;Lookup!$G$7,0,IF(INDEX(cards[name],MATCH(E348,cards[object_id order],0))&lt;&gt;"",0,1))</f>
        <v>#N/A</v>
      </c>
      <c r="J348" t="e">
        <f>IF(D348&lt;&gt;Lookup!$G$7,0,IF(INDEX(cards[icon],MATCH(E348,cards[object_id order],0))&lt;&gt;"",0,1))</f>
        <v>#N/A</v>
      </c>
      <c r="K348" t="e">
        <f>IF(D348=Lookup!$G$6,INDEX(cards[object_id],MATCH('card-code'!E348,cards[object_id order],0)),"")</f>
        <v>#N/A</v>
      </c>
      <c r="L348" t="e">
        <f>IF(D348=Lookup!$G$7,INDEX(cards[name],MATCH('card-code'!E348,cards[object_id order],0)),"")</f>
        <v>#N/A</v>
      </c>
      <c r="M348" t="e">
        <f>IF($D348=Lookup!$L$9,INDEX(cards[icon],MATCH($E348,cards[object_id order],0)),"")</f>
        <v>#N/A</v>
      </c>
      <c r="N348" t="e">
        <f>IF(OR(D348=Lookup!$G$10,D348=Lookup!$G$11),INDEX(cards[[1]:[25]],MATCH($E348,cards[object_id order],0),'card-code'!G348),"")</f>
        <v>#N/A</v>
      </c>
      <c r="O348" t="str">
        <f t="shared" si="16"/>
        <v/>
      </c>
      <c r="P348" s="8" t="e">
        <f>INDEX(Lookup!$H$5:$H$11,MATCH(D348,Lookup!$G$5:$G$11,0))&amp;
K348&amp;L348&amp;M348&amp;N348&amp;
INDEX(Lookup!$I$5:$I$11,MATCH(D348,Lookup!$G$5:$G$11,0))</f>
        <v>#N/A</v>
      </c>
    </row>
    <row r="349" spans="2:16" x14ac:dyDescent="0.45">
      <c r="B349">
        <f t="shared" si="15"/>
        <v>347</v>
      </c>
      <c r="C349" t="e">
        <f t="shared" si="17"/>
        <v>#N/A</v>
      </c>
      <c r="D349" t="e">
        <f>VLOOKUP(C349,Lookup!$F$5:$G$11,2,FALSE)</f>
        <v>#N/A</v>
      </c>
      <c r="E349" t="e">
        <f>IF(D349=Lookup!$G$5,E348+1,E348)</f>
        <v>#N/A</v>
      </c>
      <c r="F349" s="3" t="e">
        <f>INDEX(cards[Entities count],MATCH('card-code'!E349,cards[object_id order],0))</f>
        <v>#N/A</v>
      </c>
      <c r="G349" t="e">
        <f>IF(D348=Lookup!$G$9,1,IF(D348=Lookup!$G$10,G348+1,""))</f>
        <v>#N/A</v>
      </c>
      <c r="H349" t="e">
        <f>IF(F349=1,  IF(D349=Lookup!$G$9,2,1),  IF(G349&lt;F349-1,0,1)  )</f>
        <v>#N/A</v>
      </c>
      <c r="I349" t="e">
        <f>IF(D349&lt;&gt;Lookup!$G$7,0,IF(INDEX(cards[name],MATCH(E349,cards[object_id order],0))&lt;&gt;"",0,1))</f>
        <v>#N/A</v>
      </c>
      <c r="J349" t="e">
        <f>IF(D349&lt;&gt;Lookup!$G$7,0,IF(INDEX(cards[icon],MATCH(E349,cards[object_id order],0))&lt;&gt;"",0,1))</f>
        <v>#N/A</v>
      </c>
      <c r="K349" t="e">
        <f>IF(D349=Lookup!$G$6,INDEX(cards[object_id],MATCH('card-code'!E349,cards[object_id order],0)),"")</f>
        <v>#N/A</v>
      </c>
      <c r="L349" t="e">
        <f>IF(D349=Lookup!$G$7,INDEX(cards[name],MATCH('card-code'!E349,cards[object_id order],0)),"")</f>
        <v>#N/A</v>
      </c>
      <c r="M349" t="e">
        <f>IF($D349=Lookup!$L$9,INDEX(cards[icon],MATCH($E349,cards[object_id order],0)),"")</f>
        <v>#N/A</v>
      </c>
      <c r="N349" t="e">
        <f>IF(OR(D349=Lookup!$G$10,D349=Lookup!$G$11),INDEX(cards[[1]:[25]],MATCH($E349,cards[object_id order],0),'card-code'!G349),"")</f>
        <v>#N/A</v>
      </c>
      <c r="O349" t="str">
        <f t="shared" si="16"/>
        <v/>
      </c>
      <c r="P349" s="8" t="e">
        <f>INDEX(Lookup!$H$5:$H$11,MATCH(D349,Lookup!$G$5:$G$11,0))&amp;
K349&amp;L349&amp;M349&amp;N349&amp;
INDEX(Lookup!$I$5:$I$11,MATCH(D349,Lookup!$G$5:$G$11,0))</f>
        <v>#N/A</v>
      </c>
    </row>
    <row r="350" spans="2:16" x14ac:dyDescent="0.45">
      <c r="B350">
        <f t="shared" si="15"/>
        <v>348</v>
      </c>
      <c r="C350" t="e">
        <f t="shared" si="17"/>
        <v>#N/A</v>
      </c>
      <c r="D350" t="e">
        <f>VLOOKUP(C350,Lookup!$F$5:$G$11,2,FALSE)</f>
        <v>#N/A</v>
      </c>
      <c r="E350" t="e">
        <f>IF(D350=Lookup!$G$5,E349+1,E349)</f>
        <v>#N/A</v>
      </c>
      <c r="F350" s="3" t="e">
        <f>INDEX(cards[Entities count],MATCH('card-code'!E350,cards[object_id order],0))</f>
        <v>#N/A</v>
      </c>
      <c r="G350" t="e">
        <f>IF(D349=Lookup!$G$9,1,IF(D349=Lookup!$G$10,G349+1,""))</f>
        <v>#N/A</v>
      </c>
      <c r="H350" t="e">
        <f>IF(F350=1,  IF(D350=Lookup!$G$9,2,1),  IF(G350&lt;F350-1,0,1)  )</f>
        <v>#N/A</v>
      </c>
      <c r="I350" t="e">
        <f>IF(D350&lt;&gt;Lookup!$G$7,0,IF(INDEX(cards[name],MATCH(E350,cards[object_id order],0))&lt;&gt;"",0,1))</f>
        <v>#N/A</v>
      </c>
      <c r="J350" t="e">
        <f>IF(D350&lt;&gt;Lookup!$G$7,0,IF(INDEX(cards[icon],MATCH(E350,cards[object_id order],0))&lt;&gt;"",0,1))</f>
        <v>#N/A</v>
      </c>
      <c r="K350" t="e">
        <f>IF(D350=Lookup!$G$6,INDEX(cards[object_id],MATCH('card-code'!E350,cards[object_id order],0)),"")</f>
        <v>#N/A</v>
      </c>
      <c r="L350" t="e">
        <f>IF(D350=Lookup!$G$7,INDEX(cards[name],MATCH('card-code'!E350,cards[object_id order],0)),"")</f>
        <v>#N/A</v>
      </c>
      <c r="M350" t="e">
        <f>IF($D350=Lookup!$L$9,INDEX(cards[icon],MATCH($E350,cards[object_id order],0)),"")</f>
        <v>#N/A</v>
      </c>
      <c r="N350" t="e">
        <f>IF(OR(D350=Lookup!$G$10,D350=Lookup!$G$11),INDEX(cards[[1]:[25]],MATCH($E350,cards[object_id order],0),'card-code'!G350),"")</f>
        <v>#N/A</v>
      </c>
      <c r="O350" t="str">
        <f t="shared" si="16"/>
        <v/>
      </c>
      <c r="P350" s="8" t="e">
        <f>INDEX(Lookup!$H$5:$H$11,MATCH(D350,Lookup!$G$5:$G$11,0))&amp;
K350&amp;L350&amp;M350&amp;N350&amp;
INDEX(Lookup!$I$5:$I$11,MATCH(D350,Lookup!$G$5:$G$11,0))</f>
        <v>#N/A</v>
      </c>
    </row>
    <row r="351" spans="2:16" x14ac:dyDescent="0.45">
      <c r="B351">
        <f t="shared" si="15"/>
        <v>349</v>
      </c>
      <c r="C351" t="e">
        <f t="shared" si="17"/>
        <v>#N/A</v>
      </c>
      <c r="D351" t="e">
        <f>VLOOKUP(C351,Lookup!$F$5:$G$11,2,FALSE)</f>
        <v>#N/A</v>
      </c>
      <c r="E351" t="e">
        <f>IF(D351=Lookup!$G$5,E350+1,E350)</f>
        <v>#N/A</v>
      </c>
      <c r="F351" s="3" t="e">
        <f>INDEX(cards[Entities count],MATCH('card-code'!E351,cards[object_id order],0))</f>
        <v>#N/A</v>
      </c>
      <c r="G351" t="e">
        <f>IF(D350=Lookup!$G$9,1,IF(D350=Lookup!$G$10,G350+1,""))</f>
        <v>#N/A</v>
      </c>
      <c r="H351" t="e">
        <f>IF(F351=1,  IF(D351=Lookup!$G$9,2,1),  IF(G351&lt;F351-1,0,1)  )</f>
        <v>#N/A</v>
      </c>
      <c r="I351" t="e">
        <f>IF(D351&lt;&gt;Lookup!$G$7,0,IF(INDEX(cards[name],MATCH(E351,cards[object_id order],0))&lt;&gt;"",0,1))</f>
        <v>#N/A</v>
      </c>
      <c r="J351" t="e">
        <f>IF(D351&lt;&gt;Lookup!$G$7,0,IF(INDEX(cards[icon],MATCH(E351,cards[object_id order],0))&lt;&gt;"",0,1))</f>
        <v>#N/A</v>
      </c>
      <c r="K351" t="e">
        <f>IF(D351=Lookup!$G$6,INDEX(cards[object_id],MATCH('card-code'!E351,cards[object_id order],0)),"")</f>
        <v>#N/A</v>
      </c>
      <c r="L351" t="e">
        <f>IF(D351=Lookup!$G$7,INDEX(cards[name],MATCH('card-code'!E351,cards[object_id order],0)),"")</f>
        <v>#N/A</v>
      </c>
      <c r="M351" t="e">
        <f>IF($D351=Lookup!$L$9,INDEX(cards[icon],MATCH($E351,cards[object_id order],0)),"")</f>
        <v>#N/A</v>
      </c>
      <c r="N351" t="e">
        <f>IF(OR(D351=Lookup!$G$10,D351=Lookup!$G$11),INDEX(cards[[1]:[25]],MATCH($E351,cards[object_id order],0),'card-code'!G351),"")</f>
        <v>#N/A</v>
      </c>
      <c r="O351" t="str">
        <f t="shared" si="16"/>
        <v/>
      </c>
      <c r="P351" s="8" t="e">
        <f>INDEX(Lookup!$H$5:$H$11,MATCH(D351,Lookup!$G$5:$G$11,0))&amp;
K351&amp;L351&amp;M351&amp;N351&amp;
INDEX(Lookup!$I$5:$I$11,MATCH(D351,Lookup!$G$5:$G$11,0))</f>
        <v>#N/A</v>
      </c>
    </row>
    <row r="352" spans="2:16" x14ac:dyDescent="0.45">
      <c r="B352">
        <f t="shared" si="15"/>
        <v>350</v>
      </c>
      <c r="C352" t="e">
        <f t="shared" si="17"/>
        <v>#N/A</v>
      </c>
      <c r="D352" t="e">
        <f>VLOOKUP(C352,Lookup!$F$5:$G$11,2,FALSE)</f>
        <v>#N/A</v>
      </c>
      <c r="E352" t="e">
        <f>IF(D352=Lookup!$G$5,E351+1,E351)</f>
        <v>#N/A</v>
      </c>
      <c r="F352" s="3" t="e">
        <f>INDEX(cards[Entities count],MATCH('card-code'!E352,cards[object_id order],0))</f>
        <v>#N/A</v>
      </c>
      <c r="G352" t="e">
        <f>IF(D351=Lookup!$G$9,1,IF(D351=Lookup!$G$10,G351+1,""))</f>
        <v>#N/A</v>
      </c>
      <c r="H352" t="e">
        <f>IF(F352=1,  IF(D352=Lookup!$G$9,2,1),  IF(G352&lt;F352-1,0,1)  )</f>
        <v>#N/A</v>
      </c>
      <c r="I352" t="e">
        <f>IF(D352&lt;&gt;Lookup!$G$7,0,IF(INDEX(cards[name],MATCH(E352,cards[object_id order],0))&lt;&gt;"",0,1))</f>
        <v>#N/A</v>
      </c>
      <c r="J352" t="e">
        <f>IF(D352&lt;&gt;Lookup!$G$7,0,IF(INDEX(cards[icon],MATCH(E352,cards[object_id order],0))&lt;&gt;"",0,1))</f>
        <v>#N/A</v>
      </c>
      <c r="K352" t="e">
        <f>IF(D352=Lookup!$G$6,INDEX(cards[object_id],MATCH('card-code'!E352,cards[object_id order],0)),"")</f>
        <v>#N/A</v>
      </c>
      <c r="L352" t="e">
        <f>IF(D352=Lookup!$G$7,INDEX(cards[name],MATCH('card-code'!E352,cards[object_id order],0)),"")</f>
        <v>#N/A</v>
      </c>
      <c r="M352" t="e">
        <f>IF($D352=Lookup!$L$9,INDEX(cards[icon],MATCH($E352,cards[object_id order],0)),"")</f>
        <v>#N/A</v>
      </c>
      <c r="N352" t="e">
        <f>IF(OR(D352=Lookup!$G$10,D352=Lookup!$G$11),INDEX(cards[[1]:[25]],MATCH($E352,cards[object_id order],0),'card-code'!G352),"")</f>
        <v>#N/A</v>
      </c>
      <c r="O352" t="str">
        <f t="shared" si="16"/>
        <v/>
      </c>
      <c r="P352" s="8" t="e">
        <f>INDEX(Lookup!$H$5:$H$11,MATCH(D352,Lookup!$G$5:$G$11,0))&amp;
K352&amp;L352&amp;M352&amp;N352&amp;
INDEX(Lookup!$I$5:$I$11,MATCH(D352,Lookup!$G$5:$G$11,0))</f>
        <v>#N/A</v>
      </c>
    </row>
    <row r="353" spans="2:16" x14ac:dyDescent="0.45">
      <c r="B353">
        <f t="shared" si="15"/>
        <v>351</v>
      </c>
      <c r="C353" t="e">
        <f t="shared" si="17"/>
        <v>#N/A</v>
      </c>
      <c r="D353" t="e">
        <f>VLOOKUP(C353,Lookup!$F$5:$G$11,2,FALSE)</f>
        <v>#N/A</v>
      </c>
      <c r="E353" t="e">
        <f>IF(D353=Lookup!$G$5,E352+1,E352)</f>
        <v>#N/A</v>
      </c>
      <c r="F353" s="3" t="e">
        <f>INDEX(cards[Entities count],MATCH('card-code'!E353,cards[object_id order],0))</f>
        <v>#N/A</v>
      </c>
      <c r="G353" t="e">
        <f>IF(D352=Lookup!$G$9,1,IF(D352=Lookup!$G$10,G352+1,""))</f>
        <v>#N/A</v>
      </c>
      <c r="H353" t="e">
        <f>IF(F353=1,  IF(D353=Lookup!$G$9,2,1),  IF(G353&lt;F353-1,0,1)  )</f>
        <v>#N/A</v>
      </c>
      <c r="I353" t="e">
        <f>IF(D353&lt;&gt;Lookup!$G$7,0,IF(INDEX(cards[name],MATCH(E353,cards[object_id order],0))&lt;&gt;"",0,1))</f>
        <v>#N/A</v>
      </c>
      <c r="J353" t="e">
        <f>IF(D353&lt;&gt;Lookup!$G$7,0,IF(INDEX(cards[icon],MATCH(E353,cards[object_id order],0))&lt;&gt;"",0,1))</f>
        <v>#N/A</v>
      </c>
      <c r="K353" t="e">
        <f>IF(D353=Lookup!$G$6,INDEX(cards[object_id],MATCH('card-code'!E353,cards[object_id order],0)),"")</f>
        <v>#N/A</v>
      </c>
      <c r="L353" t="e">
        <f>IF(D353=Lookup!$G$7,INDEX(cards[name],MATCH('card-code'!E353,cards[object_id order],0)),"")</f>
        <v>#N/A</v>
      </c>
      <c r="M353" t="e">
        <f>IF($D353=Lookup!$L$9,INDEX(cards[icon],MATCH($E353,cards[object_id order],0)),"")</f>
        <v>#N/A</v>
      </c>
      <c r="N353" t="e">
        <f>IF(OR(D353=Lookup!$G$10,D353=Lookup!$G$11),INDEX(cards[[1]:[25]],MATCH($E353,cards[object_id order],0),'card-code'!G353),"")</f>
        <v>#N/A</v>
      </c>
      <c r="O353" t="str">
        <f t="shared" si="16"/>
        <v/>
      </c>
      <c r="P353" s="8" t="e">
        <f>INDEX(Lookup!$H$5:$H$11,MATCH(D353,Lookup!$G$5:$G$11,0))&amp;
K353&amp;L353&amp;M353&amp;N353&amp;
INDEX(Lookup!$I$5:$I$11,MATCH(D353,Lookup!$G$5:$G$11,0))</f>
        <v>#N/A</v>
      </c>
    </row>
    <row r="354" spans="2:16" x14ac:dyDescent="0.45">
      <c r="B354">
        <f t="shared" si="15"/>
        <v>352</v>
      </c>
      <c r="C354" t="e">
        <f t="shared" si="17"/>
        <v>#N/A</v>
      </c>
      <c r="D354" t="e">
        <f>VLOOKUP(C354,Lookup!$F$5:$G$11,2,FALSE)</f>
        <v>#N/A</v>
      </c>
      <c r="E354" t="e">
        <f>IF(D354=Lookup!$G$5,E353+1,E353)</f>
        <v>#N/A</v>
      </c>
      <c r="F354" s="3" t="e">
        <f>INDEX(cards[Entities count],MATCH('card-code'!E354,cards[object_id order],0))</f>
        <v>#N/A</v>
      </c>
      <c r="G354" t="e">
        <f>IF(D353=Lookup!$G$9,1,IF(D353=Lookup!$G$10,G353+1,""))</f>
        <v>#N/A</v>
      </c>
      <c r="H354" t="e">
        <f>IF(F354=1,  IF(D354=Lookup!$G$9,2,1),  IF(G354&lt;F354-1,0,1)  )</f>
        <v>#N/A</v>
      </c>
      <c r="I354" t="e">
        <f>IF(D354&lt;&gt;Lookup!$G$7,0,IF(INDEX(cards[name],MATCH(E354,cards[object_id order],0))&lt;&gt;"",0,1))</f>
        <v>#N/A</v>
      </c>
      <c r="J354" t="e">
        <f>IF(D354&lt;&gt;Lookup!$G$7,0,IF(INDEX(cards[icon],MATCH(E354,cards[object_id order],0))&lt;&gt;"",0,1))</f>
        <v>#N/A</v>
      </c>
      <c r="K354" t="e">
        <f>IF(D354=Lookup!$G$6,INDEX(cards[object_id],MATCH('card-code'!E354,cards[object_id order],0)),"")</f>
        <v>#N/A</v>
      </c>
      <c r="L354" t="e">
        <f>IF(D354=Lookup!$G$7,INDEX(cards[name],MATCH('card-code'!E354,cards[object_id order],0)),"")</f>
        <v>#N/A</v>
      </c>
      <c r="M354" t="e">
        <f>IF($D354=Lookup!$L$9,INDEX(cards[icon],MATCH($E354,cards[object_id order],0)),"")</f>
        <v>#N/A</v>
      </c>
      <c r="N354" t="e">
        <f>IF(OR(D354=Lookup!$G$10,D354=Lookup!$G$11),INDEX(cards[[1]:[25]],MATCH($E354,cards[object_id order],0),'card-code'!G354),"")</f>
        <v>#N/A</v>
      </c>
      <c r="O354" t="str">
        <f t="shared" si="16"/>
        <v/>
      </c>
      <c r="P354" s="8" t="e">
        <f>INDEX(Lookup!$H$5:$H$11,MATCH(D354,Lookup!$G$5:$G$11,0))&amp;
K354&amp;L354&amp;M354&amp;N354&amp;
INDEX(Lookup!$I$5:$I$11,MATCH(D354,Lookup!$G$5:$G$11,0))</f>
        <v>#N/A</v>
      </c>
    </row>
    <row r="355" spans="2:16" x14ac:dyDescent="0.45">
      <c r="B355">
        <f t="shared" si="15"/>
        <v>353</v>
      </c>
      <c r="C355" t="e">
        <f t="shared" si="17"/>
        <v>#N/A</v>
      </c>
      <c r="D355" t="e">
        <f>VLOOKUP(C355,Lookup!$F$5:$G$11,2,FALSE)</f>
        <v>#N/A</v>
      </c>
      <c r="E355" t="e">
        <f>IF(D355=Lookup!$G$5,E354+1,E354)</f>
        <v>#N/A</v>
      </c>
      <c r="F355" s="3" t="e">
        <f>INDEX(cards[Entities count],MATCH('card-code'!E355,cards[object_id order],0))</f>
        <v>#N/A</v>
      </c>
      <c r="G355" t="e">
        <f>IF(D354=Lookup!$G$9,1,IF(D354=Lookup!$G$10,G354+1,""))</f>
        <v>#N/A</v>
      </c>
      <c r="H355" t="e">
        <f>IF(F355=1,  IF(D355=Lookup!$G$9,2,1),  IF(G355&lt;F355-1,0,1)  )</f>
        <v>#N/A</v>
      </c>
      <c r="I355" t="e">
        <f>IF(D355&lt;&gt;Lookup!$G$7,0,IF(INDEX(cards[name],MATCH(E355,cards[object_id order],0))&lt;&gt;"",0,1))</f>
        <v>#N/A</v>
      </c>
      <c r="J355" t="e">
        <f>IF(D355&lt;&gt;Lookup!$G$7,0,IF(INDEX(cards[icon],MATCH(E355,cards[object_id order],0))&lt;&gt;"",0,1))</f>
        <v>#N/A</v>
      </c>
      <c r="K355" t="e">
        <f>IF(D355=Lookup!$G$6,INDEX(cards[object_id],MATCH('card-code'!E355,cards[object_id order],0)),"")</f>
        <v>#N/A</v>
      </c>
      <c r="L355" t="e">
        <f>IF(D355=Lookup!$G$7,INDEX(cards[name],MATCH('card-code'!E355,cards[object_id order],0)),"")</f>
        <v>#N/A</v>
      </c>
      <c r="M355" t="e">
        <f>IF($D355=Lookup!$L$9,INDEX(cards[icon],MATCH($E355,cards[object_id order],0)),"")</f>
        <v>#N/A</v>
      </c>
      <c r="N355" t="e">
        <f>IF(OR(D355=Lookup!$G$10,D355=Lookup!$G$11),INDEX(cards[[1]:[25]],MATCH($E355,cards[object_id order],0),'card-code'!G355),"")</f>
        <v>#N/A</v>
      </c>
      <c r="O355" t="str">
        <f t="shared" si="16"/>
        <v/>
      </c>
      <c r="P355" s="8" t="e">
        <f>INDEX(Lookup!$H$5:$H$11,MATCH(D355,Lookup!$G$5:$G$11,0))&amp;
K355&amp;L355&amp;M355&amp;N355&amp;
INDEX(Lookup!$I$5:$I$11,MATCH(D355,Lookup!$G$5:$G$11,0))</f>
        <v>#N/A</v>
      </c>
    </row>
    <row r="356" spans="2:16" x14ac:dyDescent="0.45">
      <c r="B356">
        <f t="shared" si="15"/>
        <v>354</v>
      </c>
      <c r="C356" t="e">
        <f t="shared" si="17"/>
        <v>#N/A</v>
      </c>
      <c r="D356" t="e">
        <f>VLOOKUP(C356,Lookup!$F$5:$G$11,2,FALSE)</f>
        <v>#N/A</v>
      </c>
      <c r="E356" t="e">
        <f>IF(D356=Lookup!$G$5,E355+1,E355)</f>
        <v>#N/A</v>
      </c>
      <c r="F356" s="3" t="e">
        <f>INDEX(cards[Entities count],MATCH('card-code'!E356,cards[object_id order],0))</f>
        <v>#N/A</v>
      </c>
      <c r="G356" t="e">
        <f>IF(D355=Lookup!$G$9,1,IF(D355=Lookup!$G$10,G355+1,""))</f>
        <v>#N/A</v>
      </c>
      <c r="H356" t="e">
        <f>IF(F356=1,  IF(D356=Lookup!$G$9,2,1),  IF(G356&lt;F356-1,0,1)  )</f>
        <v>#N/A</v>
      </c>
      <c r="I356" t="e">
        <f>IF(D356&lt;&gt;Lookup!$G$7,0,IF(INDEX(cards[name],MATCH(E356,cards[object_id order],0))&lt;&gt;"",0,1))</f>
        <v>#N/A</v>
      </c>
      <c r="J356" t="e">
        <f>IF(D356&lt;&gt;Lookup!$G$7,0,IF(INDEX(cards[icon],MATCH(E356,cards[object_id order],0))&lt;&gt;"",0,1))</f>
        <v>#N/A</v>
      </c>
      <c r="K356" t="e">
        <f>IF(D356=Lookup!$G$6,INDEX(cards[object_id],MATCH('card-code'!E356,cards[object_id order],0)),"")</f>
        <v>#N/A</v>
      </c>
      <c r="L356" t="e">
        <f>IF(D356=Lookup!$G$7,INDEX(cards[name],MATCH('card-code'!E356,cards[object_id order],0)),"")</f>
        <v>#N/A</v>
      </c>
      <c r="M356" t="e">
        <f>IF($D356=Lookup!$L$9,INDEX(cards[icon],MATCH($E356,cards[object_id order],0)),"")</f>
        <v>#N/A</v>
      </c>
      <c r="N356" t="e">
        <f>IF(OR(D356=Lookup!$G$10,D356=Lookup!$G$11),INDEX(cards[[1]:[25]],MATCH($E356,cards[object_id order],0),'card-code'!G356),"")</f>
        <v>#N/A</v>
      </c>
      <c r="O356" t="str">
        <f t="shared" si="16"/>
        <v/>
      </c>
      <c r="P356" s="8" t="e">
        <f>INDEX(Lookup!$H$5:$H$11,MATCH(D356,Lookup!$G$5:$G$11,0))&amp;
K356&amp;L356&amp;M356&amp;N356&amp;
INDEX(Lookup!$I$5:$I$11,MATCH(D356,Lookup!$G$5:$G$11,0))</f>
        <v>#N/A</v>
      </c>
    </row>
    <row r="357" spans="2:16" x14ac:dyDescent="0.45">
      <c r="B357">
        <f t="shared" si="15"/>
        <v>355</v>
      </c>
      <c r="C357" t="e">
        <f t="shared" si="17"/>
        <v>#N/A</v>
      </c>
      <c r="D357" t="e">
        <f>VLOOKUP(C357,Lookup!$F$5:$G$11,2,FALSE)</f>
        <v>#N/A</v>
      </c>
      <c r="E357" t="e">
        <f>IF(D357=Lookup!$G$5,E356+1,E356)</f>
        <v>#N/A</v>
      </c>
      <c r="F357" s="3" t="e">
        <f>INDEX(cards[Entities count],MATCH('card-code'!E357,cards[object_id order],0))</f>
        <v>#N/A</v>
      </c>
      <c r="G357" t="e">
        <f>IF(D356=Lookup!$G$9,1,IF(D356=Lookup!$G$10,G356+1,""))</f>
        <v>#N/A</v>
      </c>
      <c r="H357" t="e">
        <f>IF(F357=1,  IF(D357=Lookup!$G$9,2,1),  IF(G357&lt;F357-1,0,1)  )</f>
        <v>#N/A</v>
      </c>
      <c r="I357" t="e">
        <f>IF(D357&lt;&gt;Lookup!$G$7,0,IF(INDEX(cards[name],MATCH(E357,cards[object_id order],0))&lt;&gt;"",0,1))</f>
        <v>#N/A</v>
      </c>
      <c r="J357" t="e">
        <f>IF(D357&lt;&gt;Lookup!$G$7,0,IF(INDEX(cards[icon],MATCH(E357,cards[object_id order],0))&lt;&gt;"",0,1))</f>
        <v>#N/A</v>
      </c>
      <c r="K357" t="e">
        <f>IF(D357=Lookup!$G$6,INDEX(cards[object_id],MATCH('card-code'!E357,cards[object_id order],0)),"")</f>
        <v>#N/A</v>
      </c>
      <c r="L357" t="e">
        <f>IF(D357=Lookup!$G$7,INDEX(cards[name],MATCH('card-code'!E357,cards[object_id order],0)),"")</f>
        <v>#N/A</v>
      </c>
      <c r="M357" t="e">
        <f>IF($D357=Lookup!$L$9,INDEX(cards[icon],MATCH($E357,cards[object_id order],0)),"")</f>
        <v>#N/A</v>
      </c>
      <c r="N357" t="e">
        <f>IF(OR(D357=Lookup!$G$10,D357=Lookup!$G$11),INDEX(cards[[1]:[25]],MATCH($E357,cards[object_id order],0),'card-code'!G357),"")</f>
        <v>#N/A</v>
      </c>
      <c r="O357" t="str">
        <f t="shared" si="16"/>
        <v/>
      </c>
      <c r="P357" s="8" t="e">
        <f>INDEX(Lookup!$H$5:$H$11,MATCH(D357,Lookup!$G$5:$G$11,0))&amp;
K357&amp;L357&amp;M357&amp;N357&amp;
INDEX(Lookup!$I$5:$I$11,MATCH(D357,Lookup!$G$5:$G$11,0))</f>
        <v>#N/A</v>
      </c>
    </row>
    <row r="358" spans="2:16" x14ac:dyDescent="0.45">
      <c r="B358">
        <f t="shared" si="15"/>
        <v>356</v>
      </c>
      <c r="C358" t="e">
        <f t="shared" si="17"/>
        <v>#N/A</v>
      </c>
      <c r="D358" t="e">
        <f>VLOOKUP(C358,Lookup!$F$5:$G$11,2,FALSE)</f>
        <v>#N/A</v>
      </c>
      <c r="E358" t="e">
        <f>IF(D358=Lookup!$G$5,E357+1,E357)</f>
        <v>#N/A</v>
      </c>
      <c r="F358" s="3" t="e">
        <f>INDEX(cards[Entities count],MATCH('card-code'!E358,cards[object_id order],0))</f>
        <v>#N/A</v>
      </c>
      <c r="G358" t="e">
        <f>IF(D357=Lookup!$G$9,1,IF(D357=Lookup!$G$10,G357+1,""))</f>
        <v>#N/A</v>
      </c>
      <c r="H358" t="e">
        <f>IF(F358=1,  IF(D358=Lookup!$G$9,2,1),  IF(G358&lt;F358-1,0,1)  )</f>
        <v>#N/A</v>
      </c>
      <c r="I358" t="e">
        <f>IF(D358&lt;&gt;Lookup!$G$7,0,IF(INDEX(cards[name],MATCH(E358,cards[object_id order],0))&lt;&gt;"",0,1))</f>
        <v>#N/A</v>
      </c>
      <c r="J358" t="e">
        <f>IF(D358&lt;&gt;Lookup!$G$7,0,IF(INDEX(cards[icon],MATCH(E358,cards[object_id order],0))&lt;&gt;"",0,1))</f>
        <v>#N/A</v>
      </c>
      <c r="K358" t="e">
        <f>IF(D358=Lookup!$G$6,INDEX(cards[object_id],MATCH('card-code'!E358,cards[object_id order],0)),"")</f>
        <v>#N/A</v>
      </c>
      <c r="L358" t="e">
        <f>IF(D358=Lookup!$G$7,INDEX(cards[name],MATCH('card-code'!E358,cards[object_id order],0)),"")</f>
        <v>#N/A</v>
      </c>
      <c r="M358" t="e">
        <f>IF($D358=Lookup!$L$9,INDEX(cards[icon],MATCH($E358,cards[object_id order],0)),"")</f>
        <v>#N/A</v>
      </c>
      <c r="N358" t="e">
        <f>IF(OR(D358=Lookup!$G$10,D358=Lookup!$G$11),INDEX(cards[[1]:[25]],MATCH($E358,cards[object_id order],0),'card-code'!G358),"")</f>
        <v>#N/A</v>
      </c>
      <c r="O358" t="str">
        <f t="shared" si="16"/>
        <v/>
      </c>
      <c r="P358" s="8" t="e">
        <f>INDEX(Lookup!$H$5:$H$11,MATCH(D358,Lookup!$G$5:$G$11,0))&amp;
K358&amp;L358&amp;M358&amp;N358&amp;
INDEX(Lookup!$I$5:$I$11,MATCH(D358,Lookup!$G$5:$G$11,0))</f>
        <v>#N/A</v>
      </c>
    </row>
    <row r="359" spans="2:16" x14ac:dyDescent="0.45">
      <c r="B359">
        <f t="shared" si="15"/>
        <v>357</v>
      </c>
      <c r="C359" t="e">
        <f t="shared" si="17"/>
        <v>#N/A</v>
      </c>
      <c r="D359" t="e">
        <f>VLOOKUP(C359,Lookup!$F$5:$G$11,2,FALSE)</f>
        <v>#N/A</v>
      </c>
      <c r="E359" t="e">
        <f>IF(D359=Lookup!$G$5,E358+1,E358)</f>
        <v>#N/A</v>
      </c>
      <c r="F359" s="3" t="e">
        <f>INDEX(cards[Entities count],MATCH('card-code'!E359,cards[object_id order],0))</f>
        <v>#N/A</v>
      </c>
      <c r="G359" t="e">
        <f>IF(D358=Lookup!$G$9,1,IF(D358=Lookup!$G$10,G358+1,""))</f>
        <v>#N/A</v>
      </c>
      <c r="H359" t="e">
        <f>IF(F359=1,  IF(D359=Lookup!$G$9,2,1),  IF(G359&lt;F359-1,0,1)  )</f>
        <v>#N/A</v>
      </c>
      <c r="I359" t="e">
        <f>IF(D359&lt;&gt;Lookup!$G$7,0,IF(INDEX(cards[name],MATCH(E359,cards[object_id order],0))&lt;&gt;"",0,1))</f>
        <v>#N/A</v>
      </c>
      <c r="J359" t="e">
        <f>IF(D359&lt;&gt;Lookup!$G$7,0,IF(INDEX(cards[icon],MATCH(E359,cards[object_id order],0))&lt;&gt;"",0,1))</f>
        <v>#N/A</v>
      </c>
      <c r="K359" t="e">
        <f>IF(D359=Lookup!$G$6,INDEX(cards[object_id],MATCH('card-code'!E359,cards[object_id order],0)),"")</f>
        <v>#N/A</v>
      </c>
      <c r="L359" t="e">
        <f>IF(D359=Lookup!$G$7,INDEX(cards[name],MATCH('card-code'!E359,cards[object_id order],0)),"")</f>
        <v>#N/A</v>
      </c>
      <c r="M359" t="e">
        <f>IF($D359=Lookup!$L$9,INDEX(cards[icon],MATCH($E359,cards[object_id order],0)),"")</f>
        <v>#N/A</v>
      </c>
      <c r="N359" t="e">
        <f>IF(OR(D359=Lookup!$G$10,D359=Lookup!$G$11),INDEX(cards[[1]:[25]],MATCH($E359,cards[object_id order],0),'card-code'!G359),"")</f>
        <v>#N/A</v>
      </c>
      <c r="O359" t="str">
        <f t="shared" si="16"/>
        <v/>
      </c>
      <c r="P359" s="8" t="e">
        <f>INDEX(Lookup!$H$5:$H$11,MATCH(D359,Lookup!$G$5:$G$11,0))&amp;
K359&amp;L359&amp;M359&amp;N359&amp;
INDEX(Lookup!$I$5:$I$11,MATCH(D359,Lookup!$G$5:$G$11,0))</f>
        <v>#N/A</v>
      </c>
    </row>
    <row r="360" spans="2:16" x14ac:dyDescent="0.45">
      <c r="B360">
        <f t="shared" si="15"/>
        <v>358</v>
      </c>
      <c r="C360" t="e">
        <f t="shared" si="17"/>
        <v>#N/A</v>
      </c>
      <c r="D360" t="e">
        <f>VLOOKUP(C360,Lookup!$F$5:$G$11,2,FALSE)</f>
        <v>#N/A</v>
      </c>
      <c r="E360" t="e">
        <f>IF(D360=Lookup!$G$5,E359+1,E359)</f>
        <v>#N/A</v>
      </c>
      <c r="F360" s="3" t="e">
        <f>INDEX(cards[Entities count],MATCH('card-code'!E360,cards[object_id order],0))</f>
        <v>#N/A</v>
      </c>
      <c r="G360" t="e">
        <f>IF(D359=Lookup!$G$9,1,IF(D359=Lookup!$G$10,G359+1,""))</f>
        <v>#N/A</v>
      </c>
      <c r="H360" t="e">
        <f>IF(F360=1,  IF(D360=Lookup!$G$9,2,1),  IF(G360&lt;F360-1,0,1)  )</f>
        <v>#N/A</v>
      </c>
      <c r="I360" t="e">
        <f>IF(D360&lt;&gt;Lookup!$G$7,0,IF(INDEX(cards[name],MATCH(E360,cards[object_id order],0))&lt;&gt;"",0,1))</f>
        <v>#N/A</v>
      </c>
      <c r="J360" t="e">
        <f>IF(D360&lt;&gt;Lookup!$G$7,0,IF(INDEX(cards[icon],MATCH(E360,cards[object_id order],0))&lt;&gt;"",0,1))</f>
        <v>#N/A</v>
      </c>
      <c r="K360" t="e">
        <f>IF(D360=Lookup!$G$6,INDEX(cards[object_id],MATCH('card-code'!E360,cards[object_id order],0)),"")</f>
        <v>#N/A</v>
      </c>
      <c r="L360" t="e">
        <f>IF(D360=Lookup!$G$7,INDEX(cards[name],MATCH('card-code'!E360,cards[object_id order],0)),"")</f>
        <v>#N/A</v>
      </c>
      <c r="M360" t="e">
        <f>IF($D360=Lookup!$L$9,INDEX(cards[icon],MATCH($E360,cards[object_id order],0)),"")</f>
        <v>#N/A</v>
      </c>
      <c r="N360" t="e">
        <f>IF(OR(D360=Lookup!$G$10,D360=Lookup!$G$11),INDEX(cards[[1]:[25]],MATCH($E360,cards[object_id order],0),'card-code'!G360),"")</f>
        <v>#N/A</v>
      </c>
      <c r="O360" t="str">
        <f t="shared" si="16"/>
        <v/>
      </c>
      <c r="P360" s="8" t="e">
        <f>INDEX(Lookup!$H$5:$H$11,MATCH(D360,Lookup!$G$5:$G$11,0))&amp;
K360&amp;L360&amp;M360&amp;N360&amp;
INDEX(Lookup!$I$5:$I$11,MATCH(D360,Lookup!$G$5:$G$11,0))</f>
        <v>#N/A</v>
      </c>
    </row>
    <row r="361" spans="2:16" x14ac:dyDescent="0.45">
      <c r="B361">
        <f t="shared" si="15"/>
        <v>359</v>
      </c>
      <c r="C361" t="e">
        <f t="shared" si="17"/>
        <v>#N/A</v>
      </c>
      <c r="D361" t="e">
        <f>VLOOKUP(C361,Lookup!$F$5:$G$11,2,FALSE)</f>
        <v>#N/A</v>
      </c>
      <c r="E361" t="e">
        <f>IF(D361=Lookup!$G$5,E360+1,E360)</f>
        <v>#N/A</v>
      </c>
      <c r="F361" s="3" t="e">
        <f>INDEX(cards[Entities count],MATCH('card-code'!E361,cards[object_id order],0))</f>
        <v>#N/A</v>
      </c>
      <c r="G361" t="e">
        <f>IF(D360=Lookup!$G$9,1,IF(D360=Lookup!$G$10,G360+1,""))</f>
        <v>#N/A</v>
      </c>
      <c r="H361" t="e">
        <f>IF(F361=1,  IF(D361=Lookup!$G$9,2,1),  IF(G361&lt;F361-1,0,1)  )</f>
        <v>#N/A</v>
      </c>
      <c r="I361" t="e">
        <f>IF(D361&lt;&gt;Lookup!$G$7,0,IF(INDEX(cards[name],MATCH(E361,cards[object_id order],0))&lt;&gt;"",0,1))</f>
        <v>#N/A</v>
      </c>
      <c r="J361" t="e">
        <f>IF(D361&lt;&gt;Lookup!$G$7,0,IF(INDEX(cards[icon],MATCH(E361,cards[object_id order],0))&lt;&gt;"",0,1))</f>
        <v>#N/A</v>
      </c>
      <c r="K361" t="e">
        <f>IF(D361=Lookup!$G$6,INDEX(cards[object_id],MATCH('card-code'!E361,cards[object_id order],0)),"")</f>
        <v>#N/A</v>
      </c>
      <c r="L361" t="e">
        <f>IF(D361=Lookup!$G$7,INDEX(cards[name],MATCH('card-code'!E361,cards[object_id order],0)),"")</f>
        <v>#N/A</v>
      </c>
      <c r="M361" t="e">
        <f>IF($D361=Lookup!$L$9,INDEX(cards[icon],MATCH($E361,cards[object_id order],0)),"")</f>
        <v>#N/A</v>
      </c>
      <c r="N361" t="e">
        <f>IF(OR(D361=Lookup!$G$10,D361=Lookup!$G$11),INDEX(cards[[1]:[25]],MATCH($E361,cards[object_id order],0),'card-code'!G361),"")</f>
        <v>#N/A</v>
      </c>
      <c r="O361" t="str">
        <f t="shared" si="16"/>
        <v/>
      </c>
      <c r="P361" s="8" t="e">
        <f>INDEX(Lookup!$H$5:$H$11,MATCH(D361,Lookup!$G$5:$G$11,0))&amp;
K361&amp;L361&amp;M361&amp;N361&amp;
INDEX(Lookup!$I$5:$I$11,MATCH(D361,Lookup!$G$5:$G$11,0))</f>
        <v>#N/A</v>
      </c>
    </row>
    <row r="362" spans="2:16" x14ac:dyDescent="0.45">
      <c r="B362">
        <f t="shared" si="15"/>
        <v>360</v>
      </c>
      <c r="C362" t="e">
        <f t="shared" si="17"/>
        <v>#N/A</v>
      </c>
      <c r="D362" t="e">
        <f>VLOOKUP(C362,Lookup!$F$5:$G$11,2,FALSE)</f>
        <v>#N/A</v>
      </c>
      <c r="E362" t="e">
        <f>IF(D362=Lookup!$G$5,E361+1,E361)</f>
        <v>#N/A</v>
      </c>
      <c r="F362" s="3" t="e">
        <f>INDEX(cards[Entities count],MATCH('card-code'!E362,cards[object_id order],0))</f>
        <v>#N/A</v>
      </c>
      <c r="G362" t="e">
        <f>IF(D361=Lookup!$G$9,1,IF(D361=Lookup!$G$10,G361+1,""))</f>
        <v>#N/A</v>
      </c>
      <c r="H362" t="e">
        <f>IF(F362=1,  IF(D362=Lookup!$G$9,2,1),  IF(G362&lt;F362-1,0,1)  )</f>
        <v>#N/A</v>
      </c>
      <c r="I362" t="e">
        <f>IF(D362&lt;&gt;Lookup!$G$7,0,IF(INDEX(cards[name],MATCH(E362,cards[object_id order],0))&lt;&gt;"",0,1))</f>
        <v>#N/A</v>
      </c>
      <c r="J362" t="e">
        <f>IF(D362&lt;&gt;Lookup!$G$7,0,IF(INDEX(cards[icon],MATCH(E362,cards[object_id order],0))&lt;&gt;"",0,1))</f>
        <v>#N/A</v>
      </c>
      <c r="K362" t="e">
        <f>IF(D362=Lookup!$G$6,INDEX(cards[object_id],MATCH('card-code'!E362,cards[object_id order],0)),"")</f>
        <v>#N/A</v>
      </c>
      <c r="L362" t="e">
        <f>IF(D362=Lookup!$G$7,INDEX(cards[name],MATCH('card-code'!E362,cards[object_id order],0)),"")</f>
        <v>#N/A</v>
      </c>
      <c r="M362" t="e">
        <f>IF($D362=Lookup!$L$9,INDEX(cards[icon],MATCH($E362,cards[object_id order],0)),"")</f>
        <v>#N/A</v>
      </c>
      <c r="N362" t="e">
        <f>IF(OR(D362=Lookup!$G$10,D362=Lookup!$G$11),INDEX(cards[[1]:[25]],MATCH($E362,cards[object_id order],0),'card-code'!G362),"")</f>
        <v>#N/A</v>
      </c>
      <c r="O362" t="str">
        <f t="shared" si="16"/>
        <v/>
      </c>
      <c r="P362" s="8" t="e">
        <f>INDEX(Lookup!$H$5:$H$11,MATCH(D362,Lookup!$G$5:$G$11,0))&amp;
K362&amp;L362&amp;M362&amp;N362&amp;
INDEX(Lookup!$I$5:$I$11,MATCH(D362,Lookup!$G$5:$G$11,0))</f>
        <v>#N/A</v>
      </c>
    </row>
    <row r="363" spans="2:16" x14ac:dyDescent="0.45">
      <c r="B363">
        <f t="shared" si="15"/>
        <v>361</v>
      </c>
      <c r="C363" t="e">
        <f t="shared" si="17"/>
        <v>#N/A</v>
      </c>
      <c r="D363" t="e">
        <f>VLOOKUP(C363,Lookup!$F$5:$G$11,2,FALSE)</f>
        <v>#N/A</v>
      </c>
      <c r="E363" t="e">
        <f>IF(D363=Lookup!$G$5,E362+1,E362)</f>
        <v>#N/A</v>
      </c>
      <c r="F363" s="3" t="e">
        <f>INDEX(cards[Entities count],MATCH('card-code'!E363,cards[object_id order],0))</f>
        <v>#N/A</v>
      </c>
      <c r="G363" t="e">
        <f>IF(D362=Lookup!$G$9,1,IF(D362=Lookup!$G$10,G362+1,""))</f>
        <v>#N/A</v>
      </c>
      <c r="H363" t="e">
        <f>IF(F363=1,  IF(D363=Lookup!$G$9,2,1),  IF(G363&lt;F363-1,0,1)  )</f>
        <v>#N/A</v>
      </c>
      <c r="I363" t="e">
        <f>IF(D363&lt;&gt;Lookup!$G$7,0,IF(INDEX(cards[name],MATCH(E363,cards[object_id order],0))&lt;&gt;"",0,1))</f>
        <v>#N/A</v>
      </c>
      <c r="J363" t="e">
        <f>IF(D363&lt;&gt;Lookup!$G$7,0,IF(INDEX(cards[icon],MATCH(E363,cards[object_id order],0))&lt;&gt;"",0,1))</f>
        <v>#N/A</v>
      </c>
      <c r="K363" t="e">
        <f>IF(D363=Lookup!$G$6,INDEX(cards[object_id],MATCH('card-code'!E363,cards[object_id order],0)),"")</f>
        <v>#N/A</v>
      </c>
      <c r="L363" t="e">
        <f>IF(D363=Lookup!$G$7,INDEX(cards[name],MATCH('card-code'!E363,cards[object_id order],0)),"")</f>
        <v>#N/A</v>
      </c>
      <c r="M363" t="e">
        <f>IF($D363=Lookup!$L$9,INDEX(cards[icon],MATCH($E363,cards[object_id order],0)),"")</f>
        <v>#N/A</v>
      </c>
      <c r="N363" t="e">
        <f>IF(OR(D363=Lookup!$G$10,D363=Lookup!$G$11),INDEX(cards[[1]:[25]],MATCH($E363,cards[object_id order],0),'card-code'!G363),"")</f>
        <v>#N/A</v>
      </c>
      <c r="O363" t="str">
        <f t="shared" si="16"/>
        <v/>
      </c>
      <c r="P363" s="8" t="e">
        <f>INDEX(Lookup!$H$5:$H$11,MATCH(D363,Lookup!$G$5:$G$11,0))&amp;
K363&amp;L363&amp;M363&amp;N363&amp;
INDEX(Lookup!$I$5:$I$11,MATCH(D363,Lookup!$G$5:$G$11,0))</f>
        <v>#N/A</v>
      </c>
    </row>
    <row r="364" spans="2:16" x14ac:dyDescent="0.45">
      <c r="B364">
        <f t="shared" si="15"/>
        <v>362</v>
      </c>
      <c r="C364" t="e">
        <f t="shared" si="17"/>
        <v>#N/A</v>
      </c>
      <c r="D364" t="e">
        <f>VLOOKUP(C364,Lookup!$F$5:$G$11,2,FALSE)</f>
        <v>#N/A</v>
      </c>
      <c r="E364" t="e">
        <f>IF(D364=Lookup!$G$5,E363+1,E363)</f>
        <v>#N/A</v>
      </c>
      <c r="F364" s="3" t="e">
        <f>INDEX(cards[Entities count],MATCH('card-code'!E364,cards[object_id order],0))</f>
        <v>#N/A</v>
      </c>
      <c r="G364" t="e">
        <f>IF(D363=Lookup!$G$9,1,IF(D363=Lookup!$G$10,G363+1,""))</f>
        <v>#N/A</v>
      </c>
      <c r="H364" t="e">
        <f>IF(F364=1,  IF(D364=Lookup!$G$9,2,1),  IF(G364&lt;F364-1,0,1)  )</f>
        <v>#N/A</v>
      </c>
      <c r="I364" t="e">
        <f>IF(D364&lt;&gt;Lookup!$G$7,0,IF(INDEX(cards[name],MATCH(E364,cards[object_id order],0))&lt;&gt;"",0,1))</f>
        <v>#N/A</v>
      </c>
      <c r="J364" t="e">
        <f>IF(D364&lt;&gt;Lookup!$G$7,0,IF(INDEX(cards[icon],MATCH(E364,cards[object_id order],0))&lt;&gt;"",0,1))</f>
        <v>#N/A</v>
      </c>
      <c r="K364" t="e">
        <f>IF(D364=Lookup!$G$6,INDEX(cards[object_id],MATCH('card-code'!E364,cards[object_id order],0)),"")</f>
        <v>#N/A</v>
      </c>
      <c r="L364" t="e">
        <f>IF(D364=Lookup!$G$7,INDEX(cards[name],MATCH('card-code'!E364,cards[object_id order],0)),"")</f>
        <v>#N/A</v>
      </c>
      <c r="M364" t="e">
        <f>IF($D364=Lookup!$L$9,INDEX(cards[icon],MATCH($E364,cards[object_id order],0)),"")</f>
        <v>#N/A</v>
      </c>
      <c r="N364" t="e">
        <f>IF(OR(D364=Lookup!$G$10,D364=Lookup!$G$11),INDEX(cards[[1]:[25]],MATCH($E364,cards[object_id order],0),'card-code'!G364),"")</f>
        <v>#N/A</v>
      </c>
      <c r="O364" t="str">
        <f t="shared" si="16"/>
        <v/>
      </c>
      <c r="P364" s="8" t="e">
        <f>INDEX(Lookup!$H$5:$H$11,MATCH(D364,Lookup!$G$5:$G$11,0))&amp;
K364&amp;L364&amp;M364&amp;N364&amp;
INDEX(Lookup!$I$5:$I$11,MATCH(D364,Lookup!$G$5:$G$11,0))</f>
        <v>#N/A</v>
      </c>
    </row>
    <row r="365" spans="2:16" x14ac:dyDescent="0.45">
      <c r="B365">
        <f t="shared" si="15"/>
        <v>363</v>
      </c>
      <c r="C365" t="e">
        <f t="shared" si="17"/>
        <v>#N/A</v>
      </c>
      <c r="D365" t="e">
        <f>VLOOKUP(C365,Lookup!$F$5:$G$11,2,FALSE)</f>
        <v>#N/A</v>
      </c>
      <c r="E365" t="e">
        <f>IF(D365=Lookup!$G$5,E364+1,E364)</f>
        <v>#N/A</v>
      </c>
      <c r="F365" s="3" t="e">
        <f>INDEX(cards[Entities count],MATCH('card-code'!E365,cards[object_id order],0))</f>
        <v>#N/A</v>
      </c>
      <c r="G365" t="e">
        <f>IF(D364=Lookup!$G$9,1,IF(D364=Lookup!$G$10,G364+1,""))</f>
        <v>#N/A</v>
      </c>
      <c r="H365" t="e">
        <f>IF(F365=1,  IF(D365=Lookup!$G$9,2,1),  IF(G365&lt;F365-1,0,1)  )</f>
        <v>#N/A</v>
      </c>
      <c r="I365" t="e">
        <f>IF(D365&lt;&gt;Lookup!$G$7,0,IF(INDEX(cards[name],MATCH(E365,cards[object_id order],0))&lt;&gt;"",0,1))</f>
        <v>#N/A</v>
      </c>
      <c r="J365" t="e">
        <f>IF(D365&lt;&gt;Lookup!$G$7,0,IF(INDEX(cards[icon],MATCH(E365,cards[object_id order],0))&lt;&gt;"",0,1))</f>
        <v>#N/A</v>
      </c>
      <c r="K365" t="e">
        <f>IF(D365=Lookup!$G$6,INDEX(cards[object_id],MATCH('card-code'!E365,cards[object_id order],0)),"")</f>
        <v>#N/A</v>
      </c>
      <c r="L365" t="e">
        <f>IF(D365=Lookup!$G$7,INDEX(cards[name],MATCH('card-code'!E365,cards[object_id order],0)),"")</f>
        <v>#N/A</v>
      </c>
      <c r="M365" t="e">
        <f>IF($D365=Lookup!$L$9,INDEX(cards[icon],MATCH($E365,cards[object_id order],0)),"")</f>
        <v>#N/A</v>
      </c>
      <c r="N365" t="e">
        <f>IF(OR(D365=Lookup!$G$10,D365=Lookup!$G$11),INDEX(cards[[1]:[25]],MATCH($E365,cards[object_id order],0),'card-code'!G365),"")</f>
        <v>#N/A</v>
      </c>
      <c r="O365" t="str">
        <f t="shared" si="16"/>
        <v/>
      </c>
      <c r="P365" s="8" t="e">
        <f>INDEX(Lookup!$H$5:$H$11,MATCH(D365,Lookup!$G$5:$G$11,0))&amp;
K365&amp;L365&amp;M365&amp;N365&amp;
INDEX(Lookup!$I$5:$I$11,MATCH(D365,Lookup!$G$5:$G$11,0))</f>
        <v>#N/A</v>
      </c>
    </row>
    <row r="366" spans="2:16" x14ac:dyDescent="0.45">
      <c r="B366">
        <f t="shared" si="15"/>
        <v>364</v>
      </c>
      <c r="C366" t="e">
        <f t="shared" si="17"/>
        <v>#N/A</v>
      </c>
      <c r="D366" t="e">
        <f>VLOOKUP(C366,Lookup!$F$5:$G$11,2,FALSE)</f>
        <v>#N/A</v>
      </c>
      <c r="E366" t="e">
        <f>IF(D366=Lookup!$G$5,E365+1,E365)</f>
        <v>#N/A</v>
      </c>
      <c r="F366" s="3" t="e">
        <f>INDEX(cards[Entities count],MATCH('card-code'!E366,cards[object_id order],0))</f>
        <v>#N/A</v>
      </c>
      <c r="G366" t="e">
        <f>IF(D365=Lookup!$G$9,1,IF(D365=Lookup!$G$10,G365+1,""))</f>
        <v>#N/A</v>
      </c>
      <c r="H366" t="e">
        <f>IF(F366=1,  IF(D366=Lookup!$G$9,2,1),  IF(G366&lt;F366-1,0,1)  )</f>
        <v>#N/A</v>
      </c>
      <c r="I366" t="e">
        <f>IF(D366&lt;&gt;Lookup!$G$7,0,IF(INDEX(cards[name],MATCH(E366,cards[object_id order],0))&lt;&gt;"",0,1))</f>
        <v>#N/A</v>
      </c>
      <c r="J366" t="e">
        <f>IF(D366&lt;&gt;Lookup!$G$7,0,IF(INDEX(cards[icon],MATCH(E366,cards[object_id order],0))&lt;&gt;"",0,1))</f>
        <v>#N/A</v>
      </c>
      <c r="K366" t="e">
        <f>IF(D366=Lookup!$G$6,INDEX(cards[object_id],MATCH('card-code'!E366,cards[object_id order],0)),"")</f>
        <v>#N/A</v>
      </c>
      <c r="L366" t="e">
        <f>IF(D366=Lookup!$G$7,INDEX(cards[name],MATCH('card-code'!E366,cards[object_id order],0)),"")</f>
        <v>#N/A</v>
      </c>
      <c r="M366" t="e">
        <f>IF($D366=Lookup!$L$9,INDEX(cards[icon],MATCH($E366,cards[object_id order],0)),"")</f>
        <v>#N/A</v>
      </c>
      <c r="N366" t="e">
        <f>IF(OR(D366=Lookup!$G$10,D366=Lookup!$G$11),INDEX(cards[[1]:[25]],MATCH($E366,cards[object_id order],0),'card-code'!G366),"")</f>
        <v>#N/A</v>
      </c>
      <c r="O366" t="str">
        <f t="shared" si="16"/>
        <v/>
      </c>
      <c r="P366" s="8" t="e">
        <f>INDEX(Lookup!$H$5:$H$11,MATCH(D366,Lookup!$G$5:$G$11,0))&amp;
K366&amp;L366&amp;M366&amp;N366&amp;
INDEX(Lookup!$I$5:$I$11,MATCH(D366,Lookup!$G$5:$G$11,0))</f>
        <v>#N/A</v>
      </c>
    </row>
    <row r="367" spans="2:16" x14ac:dyDescent="0.45">
      <c r="B367">
        <f t="shared" si="15"/>
        <v>365</v>
      </c>
      <c r="C367" t="e">
        <f t="shared" si="17"/>
        <v>#N/A</v>
      </c>
      <c r="D367" t="e">
        <f>VLOOKUP(C367,Lookup!$F$5:$G$11,2,FALSE)</f>
        <v>#N/A</v>
      </c>
      <c r="E367" t="e">
        <f>IF(D367=Lookup!$G$5,E366+1,E366)</f>
        <v>#N/A</v>
      </c>
      <c r="F367" s="3" t="e">
        <f>INDEX(cards[Entities count],MATCH('card-code'!E367,cards[object_id order],0))</f>
        <v>#N/A</v>
      </c>
      <c r="G367" t="e">
        <f>IF(D366=Lookup!$G$9,1,IF(D366=Lookup!$G$10,G366+1,""))</f>
        <v>#N/A</v>
      </c>
      <c r="H367" t="e">
        <f>IF(F367=1,  IF(D367=Lookup!$G$9,2,1),  IF(G367&lt;F367-1,0,1)  )</f>
        <v>#N/A</v>
      </c>
      <c r="I367" t="e">
        <f>IF(D367&lt;&gt;Lookup!$G$7,0,IF(INDEX(cards[name],MATCH(E367,cards[object_id order],0))&lt;&gt;"",0,1))</f>
        <v>#N/A</v>
      </c>
      <c r="J367" t="e">
        <f>IF(D367&lt;&gt;Lookup!$G$7,0,IF(INDEX(cards[icon],MATCH(E367,cards[object_id order],0))&lt;&gt;"",0,1))</f>
        <v>#N/A</v>
      </c>
      <c r="K367" t="e">
        <f>IF(D367=Lookup!$G$6,INDEX(cards[object_id],MATCH('card-code'!E367,cards[object_id order],0)),"")</f>
        <v>#N/A</v>
      </c>
      <c r="L367" t="e">
        <f>IF(D367=Lookup!$G$7,INDEX(cards[name],MATCH('card-code'!E367,cards[object_id order],0)),"")</f>
        <v>#N/A</v>
      </c>
      <c r="M367" t="e">
        <f>IF($D367=Lookup!$L$9,INDEX(cards[icon],MATCH($E367,cards[object_id order],0)),"")</f>
        <v>#N/A</v>
      </c>
      <c r="N367" t="e">
        <f>IF(OR(D367=Lookup!$G$10,D367=Lookup!$G$11),INDEX(cards[[1]:[25]],MATCH($E367,cards[object_id order],0),'card-code'!G367),"")</f>
        <v>#N/A</v>
      </c>
      <c r="O367" t="str">
        <f t="shared" si="16"/>
        <v/>
      </c>
      <c r="P367" s="8" t="e">
        <f>INDEX(Lookup!$H$5:$H$11,MATCH(D367,Lookup!$G$5:$G$11,0))&amp;
K367&amp;L367&amp;M367&amp;N367&amp;
INDEX(Lookup!$I$5:$I$11,MATCH(D367,Lookup!$G$5:$G$11,0))</f>
        <v>#N/A</v>
      </c>
    </row>
    <row r="368" spans="2:16" x14ac:dyDescent="0.45">
      <c r="B368">
        <f t="shared" si="15"/>
        <v>366</v>
      </c>
      <c r="C368" t="e">
        <f t="shared" si="17"/>
        <v>#N/A</v>
      </c>
      <c r="D368" t="e">
        <f>VLOOKUP(C368,Lookup!$F$5:$G$11,2,FALSE)</f>
        <v>#N/A</v>
      </c>
      <c r="E368" t="e">
        <f>IF(D368=Lookup!$G$5,E367+1,E367)</f>
        <v>#N/A</v>
      </c>
      <c r="F368" s="3" t="e">
        <f>INDEX(cards[Entities count],MATCH('card-code'!E368,cards[object_id order],0))</f>
        <v>#N/A</v>
      </c>
      <c r="G368" t="e">
        <f>IF(D367=Lookup!$G$9,1,IF(D367=Lookup!$G$10,G367+1,""))</f>
        <v>#N/A</v>
      </c>
      <c r="H368" t="e">
        <f>IF(F368=1,  IF(D368=Lookup!$G$9,2,1),  IF(G368&lt;F368-1,0,1)  )</f>
        <v>#N/A</v>
      </c>
      <c r="I368" t="e">
        <f>IF(D368&lt;&gt;Lookup!$G$7,0,IF(INDEX(cards[name],MATCH(E368,cards[object_id order],0))&lt;&gt;"",0,1))</f>
        <v>#N/A</v>
      </c>
      <c r="J368" t="e">
        <f>IF(D368&lt;&gt;Lookup!$G$7,0,IF(INDEX(cards[icon],MATCH(E368,cards[object_id order],0))&lt;&gt;"",0,1))</f>
        <v>#N/A</v>
      </c>
      <c r="K368" t="e">
        <f>IF(D368=Lookup!$G$6,INDEX(cards[object_id],MATCH('card-code'!E368,cards[object_id order],0)),"")</f>
        <v>#N/A</v>
      </c>
      <c r="L368" t="e">
        <f>IF(D368=Lookup!$G$7,INDEX(cards[name],MATCH('card-code'!E368,cards[object_id order],0)),"")</f>
        <v>#N/A</v>
      </c>
      <c r="M368" t="e">
        <f>IF($D368=Lookup!$L$9,INDEX(cards[icon],MATCH($E368,cards[object_id order],0)),"")</f>
        <v>#N/A</v>
      </c>
      <c r="N368" t="e">
        <f>IF(OR(D368=Lookup!$G$10,D368=Lookup!$G$11),INDEX(cards[[1]:[25]],MATCH($E368,cards[object_id order],0),'card-code'!G368),"")</f>
        <v>#N/A</v>
      </c>
      <c r="O368" t="str">
        <f t="shared" si="16"/>
        <v/>
      </c>
      <c r="P368" s="8" t="e">
        <f>INDEX(Lookup!$H$5:$H$11,MATCH(D368,Lookup!$G$5:$G$11,0))&amp;
K368&amp;L368&amp;M368&amp;N368&amp;
INDEX(Lookup!$I$5:$I$11,MATCH(D368,Lookup!$G$5:$G$11,0))</f>
        <v>#N/A</v>
      </c>
    </row>
    <row r="369" spans="2:16" x14ac:dyDescent="0.45">
      <c r="B369">
        <f t="shared" si="15"/>
        <v>367</v>
      </c>
      <c r="C369" t="e">
        <f t="shared" si="17"/>
        <v>#N/A</v>
      </c>
      <c r="D369" t="e">
        <f>VLOOKUP(C369,Lookup!$F$5:$G$11,2,FALSE)</f>
        <v>#N/A</v>
      </c>
      <c r="E369" t="e">
        <f>IF(D369=Lookup!$G$5,E368+1,E368)</f>
        <v>#N/A</v>
      </c>
      <c r="F369" s="3" t="e">
        <f>INDEX(cards[Entities count],MATCH('card-code'!E369,cards[object_id order],0))</f>
        <v>#N/A</v>
      </c>
      <c r="G369" t="e">
        <f>IF(D368=Lookup!$G$9,1,IF(D368=Lookup!$G$10,G368+1,""))</f>
        <v>#N/A</v>
      </c>
      <c r="H369" t="e">
        <f>IF(F369=1,  IF(D369=Lookup!$G$9,2,1),  IF(G369&lt;F369-1,0,1)  )</f>
        <v>#N/A</v>
      </c>
      <c r="I369" t="e">
        <f>IF(D369&lt;&gt;Lookup!$G$7,0,IF(INDEX(cards[name],MATCH(E369,cards[object_id order],0))&lt;&gt;"",0,1))</f>
        <v>#N/A</v>
      </c>
      <c r="J369" t="e">
        <f>IF(D369&lt;&gt;Lookup!$G$7,0,IF(INDEX(cards[icon],MATCH(E369,cards[object_id order],0))&lt;&gt;"",0,1))</f>
        <v>#N/A</v>
      </c>
      <c r="K369" t="e">
        <f>IF(D369=Lookup!$G$6,INDEX(cards[object_id],MATCH('card-code'!E369,cards[object_id order],0)),"")</f>
        <v>#N/A</v>
      </c>
      <c r="L369" t="e">
        <f>IF(D369=Lookup!$G$7,INDEX(cards[name],MATCH('card-code'!E369,cards[object_id order],0)),"")</f>
        <v>#N/A</v>
      </c>
      <c r="M369" t="e">
        <f>IF($D369=Lookup!$L$9,INDEX(cards[icon],MATCH($E369,cards[object_id order],0)),"")</f>
        <v>#N/A</v>
      </c>
      <c r="N369" t="e">
        <f>IF(OR(D369=Lookup!$G$10,D369=Lookup!$G$11),INDEX(cards[[1]:[25]],MATCH($E369,cards[object_id order],0),'card-code'!G369),"")</f>
        <v>#N/A</v>
      </c>
      <c r="O369" t="str">
        <f t="shared" si="16"/>
        <v/>
      </c>
      <c r="P369" s="8" t="e">
        <f>INDEX(Lookup!$H$5:$H$11,MATCH(D369,Lookup!$G$5:$G$11,0))&amp;
K369&amp;L369&amp;M369&amp;N369&amp;
INDEX(Lookup!$I$5:$I$11,MATCH(D369,Lookup!$G$5:$G$11,0))</f>
        <v>#N/A</v>
      </c>
    </row>
    <row r="370" spans="2:16" x14ac:dyDescent="0.45">
      <c r="B370">
        <f t="shared" si="15"/>
        <v>368</v>
      </c>
      <c r="C370" t="e">
        <f t="shared" si="17"/>
        <v>#N/A</v>
      </c>
      <c r="D370" t="e">
        <f>VLOOKUP(C370,Lookup!$F$5:$G$11,2,FALSE)</f>
        <v>#N/A</v>
      </c>
      <c r="E370" t="e">
        <f>IF(D370=Lookup!$G$5,E369+1,E369)</f>
        <v>#N/A</v>
      </c>
      <c r="F370" s="3" t="e">
        <f>INDEX(cards[Entities count],MATCH('card-code'!E370,cards[object_id order],0))</f>
        <v>#N/A</v>
      </c>
      <c r="G370" t="e">
        <f>IF(D369=Lookup!$G$9,1,IF(D369=Lookup!$G$10,G369+1,""))</f>
        <v>#N/A</v>
      </c>
      <c r="H370" t="e">
        <f>IF(F370=1,  IF(D370=Lookup!$G$9,2,1),  IF(G370&lt;F370-1,0,1)  )</f>
        <v>#N/A</v>
      </c>
      <c r="I370" t="e">
        <f>IF(D370&lt;&gt;Lookup!$G$7,0,IF(INDEX(cards[name],MATCH(E370,cards[object_id order],0))&lt;&gt;"",0,1))</f>
        <v>#N/A</v>
      </c>
      <c r="J370" t="e">
        <f>IF(D370&lt;&gt;Lookup!$G$7,0,IF(INDEX(cards[icon],MATCH(E370,cards[object_id order],0))&lt;&gt;"",0,1))</f>
        <v>#N/A</v>
      </c>
      <c r="K370" t="e">
        <f>IF(D370=Lookup!$G$6,INDEX(cards[object_id],MATCH('card-code'!E370,cards[object_id order],0)),"")</f>
        <v>#N/A</v>
      </c>
      <c r="L370" t="e">
        <f>IF(D370=Lookup!$G$7,INDEX(cards[name],MATCH('card-code'!E370,cards[object_id order],0)),"")</f>
        <v>#N/A</v>
      </c>
      <c r="M370" t="e">
        <f>IF($D370=Lookup!$L$9,INDEX(cards[icon],MATCH($E370,cards[object_id order],0)),"")</f>
        <v>#N/A</v>
      </c>
      <c r="N370" t="e">
        <f>IF(OR(D370=Lookup!$G$10,D370=Lookup!$G$11),INDEX(cards[[1]:[25]],MATCH($E370,cards[object_id order],0),'card-code'!G370),"")</f>
        <v>#N/A</v>
      </c>
      <c r="O370" t="str">
        <f t="shared" si="16"/>
        <v/>
      </c>
      <c r="P370" s="8" t="e">
        <f>INDEX(Lookup!$H$5:$H$11,MATCH(D370,Lookup!$G$5:$G$11,0))&amp;
K370&amp;L370&amp;M370&amp;N370&amp;
INDEX(Lookup!$I$5:$I$11,MATCH(D370,Lookup!$G$5:$G$11,0))</f>
        <v>#N/A</v>
      </c>
    </row>
    <row r="371" spans="2:16" x14ac:dyDescent="0.45">
      <c r="B371">
        <f t="shared" si="15"/>
        <v>369</v>
      </c>
      <c r="C371" t="e">
        <f t="shared" si="17"/>
        <v>#N/A</v>
      </c>
      <c r="D371" t="e">
        <f>VLOOKUP(C371,Lookup!$F$5:$G$11,2,FALSE)</f>
        <v>#N/A</v>
      </c>
      <c r="E371" t="e">
        <f>IF(D371=Lookup!$G$5,E370+1,E370)</f>
        <v>#N/A</v>
      </c>
      <c r="F371" s="3" t="e">
        <f>INDEX(cards[Entities count],MATCH('card-code'!E371,cards[object_id order],0))</f>
        <v>#N/A</v>
      </c>
      <c r="G371" t="e">
        <f>IF(D370=Lookup!$G$9,1,IF(D370=Lookup!$G$10,G370+1,""))</f>
        <v>#N/A</v>
      </c>
      <c r="H371" t="e">
        <f>IF(F371=1,  IF(D371=Lookup!$G$9,2,1),  IF(G371&lt;F371-1,0,1)  )</f>
        <v>#N/A</v>
      </c>
      <c r="I371" t="e">
        <f>IF(D371&lt;&gt;Lookup!$G$7,0,IF(INDEX(cards[name],MATCH(E371,cards[object_id order],0))&lt;&gt;"",0,1))</f>
        <v>#N/A</v>
      </c>
      <c r="J371" t="e">
        <f>IF(D371&lt;&gt;Lookup!$G$7,0,IF(INDEX(cards[icon],MATCH(E371,cards[object_id order],0))&lt;&gt;"",0,1))</f>
        <v>#N/A</v>
      </c>
      <c r="K371" t="e">
        <f>IF(D371=Lookup!$G$6,INDEX(cards[object_id],MATCH('card-code'!E371,cards[object_id order],0)),"")</f>
        <v>#N/A</v>
      </c>
      <c r="L371" t="e">
        <f>IF(D371=Lookup!$G$7,INDEX(cards[name],MATCH('card-code'!E371,cards[object_id order],0)),"")</f>
        <v>#N/A</v>
      </c>
      <c r="M371" t="e">
        <f>IF($D371=Lookup!$L$9,INDEX(cards[icon],MATCH($E371,cards[object_id order],0)),"")</f>
        <v>#N/A</v>
      </c>
      <c r="N371" t="e">
        <f>IF(OR(D371=Lookup!$G$10,D371=Lookup!$G$11),INDEX(cards[[1]:[25]],MATCH($E371,cards[object_id order],0),'card-code'!G371),"")</f>
        <v>#N/A</v>
      </c>
      <c r="O371" t="str">
        <f t="shared" si="16"/>
        <v/>
      </c>
      <c r="P371" s="8" t="e">
        <f>INDEX(Lookup!$H$5:$H$11,MATCH(D371,Lookup!$G$5:$G$11,0))&amp;
K371&amp;L371&amp;M371&amp;N371&amp;
INDEX(Lookup!$I$5:$I$11,MATCH(D371,Lookup!$G$5:$G$11,0))</f>
        <v>#N/A</v>
      </c>
    </row>
    <row r="372" spans="2:16" x14ac:dyDescent="0.45">
      <c r="B372">
        <f t="shared" si="15"/>
        <v>370</v>
      </c>
      <c r="C372" t="e">
        <f t="shared" si="17"/>
        <v>#N/A</v>
      </c>
      <c r="D372" t="e">
        <f>VLOOKUP(C372,Lookup!$F$5:$G$11,2,FALSE)</f>
        <v>#N/A</v>
      </c>
      <c r="E372" t="e">
        <f>IF(D372=Lookup!$G$5,E371+1,E371)</f>
        <v>#N/A</v>
      </c>
      <c r="F372" s="3" t="e">
        <f>INDEX(cards[Entities count],MATCH('card-code'!E372,cards[object_id order],0))</f>
        <v>#N/A</v>
      </c>
      <c r="G372" t="e">
        <f>IF(D371=Lookup!$G$9,1,IF(D371=Lookup!$G$10,G371+1,""))</f>
        <v>#N/A</v>
      </c>
      <c r="H372" t="e">
        <f>IF(F372=1,  IF(D372=Lookup!$G$9,2,1),  IF(G372&lt;F372-1,0,1)  )</f>
        <v>#N/A</v>
      </c>
      <c r="I372" t="e">
        <f>IF(D372&lt;&gt;Lookup!$G$7,0,IF(INDEX(cards[name],MATCH(E372,cards[object_id order],0))&lt;&gt;"",0,1))</f>
        <v>#N/A</v>
      </c>
      <c r="J372" t="e">
        <f>IF(D372&lt;&gt;Lookup!$G$7,0,IF(INDEX(cards[icon],MATCH(E372,cards[object_id order],0))&lt;&gt;"",0,1))</f>
        <v>#N/A</v>
      </c>
      <c r="K372" t="e">
        <f>IF(D372=Lookup!$G$6,INDEX(cards[object_id],MATCH('card-code'!E372,cards[object_id order],0)),"")</f>
        <v>#N/A</v>
      </c>
      <c r="L372" t="e">
        <f>IF(D372=Lookup!$G$7,INDEX(cards[name],MATCH('card-code'!E372,cards[object_id order],0)),"")</f>
        <v>#N/A</v>
      </c>
      <c r="M372" t="e">
        <f>IF($D372=Lookup!$L$9,INDEX(cards[icon],MATCH($E372,cards[object_id order],0)),"")</f>
        <v>#N/A</v>
      </c>
      <c r="N372" t="e">
        <f>IF(OR(D372=Lookup!$G$10,D372=Lookup!$G$11),INDEX(cards[[1]:[25]],MATCH($E372,cards[object_id order],0),'card-code'!G372),"")</f>
        <v>#N/A</v>
      </c>
      <c r="O372" t="str">
        <f t="shared" si="16"/>
        <v/>
      </c>
      <c r="P372" s="8" t="e">
        <f>INDEX(Lookup!$H$5:$H$11,MATCH(D372,Lookup!$G$5:$G$11,0))&amp;
K372&amp;L372&amp;M372&amp;N372&amp;
INDEX(Lookup!$I$5:$I$11,MATCH(D372,Lookup!$G$5:$G$11,0))</f>
        <v>#N/A</v>
      </c>
    </row>
    <row r="373" spans="2:16" x14ac:dyDescent="0.45">
      <c r="B373">
        <f t="shared" si="15"/>
        <v>371</v>
      </c>
      <c r="C373" t="e">
        <f t="shared" si="17"/>
        <v>#N/A</v>
      </c>
      <c r="D373" t="e">
        <f>VLOOKUP(C373,Lookup!$F$5:$G$11,2,FALSE)</f>
        <v>#N/A</v>
      </c>
      <c r="E373" t="e">
        <f>IF(D373=Lookup!$G$5,E372+1,E372)</f>
        <v>#N/A</v>
      </c>
      <c r="F373" s="3" t="e">
        <f>INDEX(cards[Entities count],MATCH('card-code'!E373,cards[object_id order],0))</f>
        <v>#N/A</v>
      </c>
      <c r="G373" t="e">
        <f>IF(D372=Lookup!$G$9,1,IF(D372=Lookup!$G$10,G372+1,""))</f>
        <v>#N/A</v>
      </c>
      <c r="H373" t="e">
        <f>IF(F373=1,  IF(D373=Lookup!$G$9,2,1),  IF(G373&lt;F373-1,0,1)  )</f>
        <v>#N/A</v>
      </c>
      <c r="I373" t="e">
        <f>IF(D373&lt;&gt;Lookup!$G$7,0,IF(INDEX(cards[name],MATCH(E373,cards[object_id order],0))&lt;&gt;"",0,1))</f>
        <v>#N/A</v>
      </c>
      <c r="J373" t="e">
        <f>IF(D373&lt;&gt;Lookup!$G$7,0,IF(INDEX(cards[icon],MATCH(E373,cards[object_id order],0))&lt;&gt;"",0,1))</f>
        <v>#N/A</v>
      </c>
      <c r="K373" t="e">
        <f>IF(D373=Lookup!$G$6,INDEX(cards[object_id],MATCH('card-code'!E373,cards[object_id order],0)),"")</f>
        <v>#N/A</v>
      </c>
      <c r="L373" t="e">
        <f>IF(D373=Lookup!$G$7,INDEX(cards[name],MATCH('card-code'!E373,cards[object_id order],0)),"")</f>
        <v>#N/A</v>
      </c>
      <c r="M373" t="e">
        <f>IF($D373=Lookup!$L$9,INDEX(cards[icon],MATCH($E373,cards[object_id order],0)),"")</f>
        <v>#N/A</v>
      </c>
      <c r="N373" t="e">
        <f>IF(OR(D373=Lookup!$G$10,D373=Lookup!$G$11),INDEX(cards[[1]:[25]],MATCH($E373,cards[object_id order],0),'card-code'!G373),"")</f>
        <v>#N/A</v>
      </c>
      <c r="O373" t="str">
        <f t="shared" si="16"/>
        <v/>
      </c>
      <c r="P373" s="8" t="e">
        <f>INDEX(Lookup!$H$5:$H$11,MATCH(D373,Lookup!$G$5:$G$11,0))&amp;
K373&amp;L373&amp;M373&amp;N373&amp;
INDEX(Lookup!$I$5:$I$11,MATCH(D373,Lookup!$G$5:$G$11,0))</f>
        <v>#N/A</v>
      </c>
    </row>
    <row r="374" spans="2:16" x14ac:dyDescent="0.45">
      <c r="B374">
        <f t="shared" si="15"/>
        <v>372</v>
      </c>
      <c r="C374" t="e">
        <f t="shared" si="17"/>
        <v>#N/A</v>
      </c>
      <c r="D374" t="e">
        <f>VLOOKUP(C374,Lookup!$F$5:$G$11,2,FALSE)</f>
        <v>#N/A</v>
      </c>
      <c r="E374" t="e">
        <f>IF(D374=Lookup!$G$5,E373+1,E373)</f>
        <v>#N/A</v>
      </c>
      <c r="F374" s="3" t="e">
        <f>INDEX(cards[Entities count],MATCH('card-code'!E374,cards[object_id order],0))</f>
        <v>#N/A</v>
      </c>
      <c r="G374" t="e">
        <f>IF(D373=Lookup!$G$9,1,IF(D373=Lookup!$G$10,G373+1,""))</f>
        <v>#N/A</v>
      </c>
      <c r="H374" t="e">
        <f>IF(F374=1,  IF(D374=Lookup!$G$9,2,1),  IF(G374&lt;F374-1,0,1)  )</f>
        <v>#N/A</v>
      </c>
      <c r="I374" t="e">
        <f>IF(D374&lt;&gt;Lookup!$G$7,0,IF(INDEX(cards[name],MATCH(E374,cards[object_id order],0))&lt;&gt;"",0,1))</f>
        <v>#N/A</v>
      </c>
      <c r="J374" t="e">
        <f>IF(D374&lt;&gt;Lookup!$G$7,0,IF(INDEX(cards[icon],MATCH(E374,cards[object_id order],0))&lt;&gt;"",0,1))</f>
        <v>#N/A</v>
      </c>
      <c r="K374" t="e">
        <f>IF(D374=Lookup!$G$6,INDEX(cards[object_id],MATCH('card-code'!E374,cards[object_id order],0)),"")</f>
        <v>#N/A</v>
      </c>
      <c r="L374" t="e">
        <f>IF(D374=Lookup!$G$7,INDEX(cards[name],MATCH('card-code'!E374,cards[object_id order],0)),"")</f>
        <v>#N/A</v>
      </c>
      <c r="M374" t="e">
        <f>IF($D374=Lookup!$L$9,INDEX(cards[icon],MATCH($E374,cards[object_id order],0)),"")</f>
        <v>#N/A</v>
      </c>
      <c r="N374" t="e">
        <f>IF(OR(D374=Lookup!$G$10,D374=Lookup!$G$11),INDEX(cards[[1]:[25]],MATCH($E374,cards[object_id order],0),'card-code'!G374),"")</f>
        <v>#N/A</v>
      </c>
      <c r="O374" t="str">
        <f t="shared" si="16"/>
        <v/>
      </c>
      <c r="P374" s="8" t="e">
        <f>INDEX(Lookup!$H$5:$H$11,MATCH(D374,Lookup!$G$5:$G$11,0))&amp;
K374&amp;L374&amp;M374&amp;N374&amp;
INDEX(Lookup!$I$5:$I$11,MATCH(D374,Lookup!$G$5:$G$11,0))</f>
        <v>#N/A</v>
      </c>
    </row>
    <row r="375" spans="2:16" x14ac:dyDescent="0.45">
      <c r="B375">
        <f t="shared" si="15"/>
        <v>373</v>
      </c>
      <c r="C375" t="e">
        <f t="shared" si="17"/>
        <v>#N/A</v>
      </c>
      <c r="D375" t="e">
        <f>VLOOKUP(C375,Lookup!$F$5:$G$11,2,FALSE)</f>
        <v>#N/A</v>
      </c>
      <c r="E375" t="e">
        <f>IF(D375=Lookup!$G$5,E374+1,E374)</f>
        <v>#N/A</v>
      </c>
      <c r="F375" s="3" t="e">
        <f>INDEX(cards[Entities count],MATCH('card-code'!E375,cards[object_id order],0))</f>
        <v>#N/A</v>
      </c>
      <c r="G375" t="e">
        <f>IF(D374=Lookup!$G$9,1,IF(D374=Lookup!$G$10,G374+1,""))</f>
        <v>#N/A</v>
      </c>
      <c r="H375" t="e">
        <f>IF(F375=1,  IF(D375=Lookup!$G$9,2,1),  IF(G375&lt;F375-1,0,1)  )</f>
        <v>#N/A</v>
      </c>
      <c r="I375" t="e">
        <f>IF(D375&lt;&gt;Lookup!$G$7,0,IF(INDEX(cards[name],MATCH(E375,cards[object_id order],0))&lt;&gt;"",0,1))</f>
        <v>#N/A</v>
      </c>
      <c r="J375" t="e">
        <f>IF(D375&lt;&gt;Lookup!$G$7,0,IF(INDEX(cards[icon],MATCH(E375,cards[object_id order],0))&lt;&gt;"",0,1))</f>
        <v>#N/A</v>
      </c>
      <c r="K375" t="e">
        <f>IF(D375=Lookup!$G$6,INDEX(cards[object_id],MATCH('card-code'!E375,cards[object_id order],0)),"")</f>
        <v>#N/A</v>
      </c>
      <c r="L375" t="e">
        <f>IF(D375=Lookup!$G$7,INDEX(cards[name],MATCH('card-code'!E375,cards[object_id order],0)),"")</f>
        <v>#N/A</v>
      </c>
      <c r="M375" t="e">
        <f>IF($D375=Lookup!$L$9,INDEX(cards[icon],MATCH($E375,cards[object_id order],0)),"")</f>
        <v>#N/A</v>
      </c>
      <c r="N375" t="e">
        <f>IF(OR(D375=Lookup!$G$10,D375=Lookup!$G$11),INDEX(cards[[1]:[25]],MATCH($E375,cards[object_id order],0),'card-code'!G375),"")</f>
        <v>#N/A</v>
      </c>
      <c r="O375" t="str">
        <f t="shared" si="16"/>
        <v/>
      </c>
      <c r="P375" s="8" t="e">
        <f>INDEX(Lookup!$H$5:$H$11,MATCH(D375,Lookup!$G$5:$G$11,0))&amp;
K375&amp;L375&amp;M375&amp;N375&amp;
INDEX(Lookup!$I$5:$I$11,MATCH(D375,Lookup!$G$5:$G$11,0))</f>
        <v>#N/A</v>
      </c>
    </row>
    <row r="376" spans="2:16" x14ac:dyDescent="0.45">
      <c r="B376">
        <f t="shared" si="15"/>
        <v>374</v>
      </c>
      <c r="C376" t="e">
        <f t="shared" si="17"/>
        <v>#N/A</v>
      </c>
      <c r="D376" t="e">
        <f>VLOOKUP(C376,Lookup!$F$5:$G$11,2,FALSE)</f>
        <v>#N/A</v>
      </c>
      <c r="E376" t="e">
        <f>IF(D376=Lookup!$G$5,E375+1,E375)</f>
        <v>#N/A</v>
      </c>
      <c r="F376" s="3" t="e">
        <f>INDEX(cards[Entities count],MATCH('card-code'!E376,cards[object_id order],0))</f>
        <v>#N/A</v>
      </c>
      <c r="G376" t="e">
        <f>IF(D375=Lookup!$G$9,1,IF(D375=Lookup!$G$10,G375+1,""))</f>
        <v>#N/A</v>
      </c>
      <c r="H376" t="e">
        <f>IF(F376=1,  IF(D376=Lookup!$G$9,2,1),  IF(G376&lt;F376-1,0,1)  )</f>
        <v>#N/A</v>
      </c>
      <c r="I376" t="e">
        <f>IF(D376&lt;&gt;Lookup!$G$7,0,IF(INDEX(cards[name],MATCH(E376,cards[object_id order],0))&lt;&gt;"",0,1))</f>
        <v>#N/A</v>
      </c>
      <c r="J376" t="e">
        <f>IF(D376&lt;&gt;Lookup!$G$7,0,IF(INDEX(cards[icon],MATCH(E376,cards[object_id order],0))&lt;&gt;"",0,1))</f>
        <v>#N/A</v>
      </c>
      <c r="K376" t="e">
        <f>IF(D376=Lookup!$G$6,INDEX(cards[object_id],MATCH('card-code'!E376,cards[object_id order],0)),"")</f>
        <v>#N/A</v>
      </c>
      <c r="L376" t="e">
        <f>IF(D376=Lookup!$G$7,INDEX(cards[name],MATCH('card-code'!E376,cards[object_id order],0)),"")</f>
        <v>#N/A</v>
      </c>
      <c r="M376" t="e">
        <f>IF($D376=Lookup!$L$9,INDEX(cards[icon],MATCH($E376,cards[object_id order],0)),"")</f>
        <v>#N/A</v>
      </c>
      <c r="N376" t="e">
        <f>IF(OR(D376=Lookup!$G$10,D376=Lookup!$G$11),INDEX(cards[[1]:[25]],MATCH($E376,cards[object_id order],0),'card-code'!G376),"")</f>
        <v>#N/A</v>
      </c>
      <c r="O376" t="str">
        <f t="shared" si="16"/>
        <v/>
      </c>
      <c r="P376" s="8" t="e">
        <f>INDEX(Lookup!$H$5:$H$11,MATCH(D376,Lookup!$G$5:$G$11,0))&amp;
K376&amp;L376&amp;M376&amp;N376&amp;
INDEX(Lookup!$I$5:$I$11,MATCH(D376,Lookup!$G$5:$G$11,0))</f>
        <v>#N/A</v>
      </c>
    </row>
    <row r="377" spans="2:16" x14ac:dyDescent="0.45">
      <c r="B377">
        <f t="shared" si="15"/>
        <v>375</v>
      </c>
      <c r="C377" t="e">
        <f t="shared" si="17"/>
        <v>#N/A</v>
      </c>
      <c r="D377" t="e">
        <f>VLOOKUP(C377,Lookup!$F$5:$G$11,2,FALSE)</f>
        <v>#N/A</v>
      </c>
      <c r="E377" t="e">
        <f>IF(D377=Lookup!$G$5,E376+1,E376)</f>
        <v>#N/A</v>
      </c>
      <c r="F377" s="3" t="e">
        <f>INDEX(cards[Entities count],MATCH('card-code'!E377,cards[object_id order],0))</f>
        <v>#N/A</v>
      </c>
      <c r="G377" t="e">
        <f>IF(D376=Lookup!$G$9,1,IF(D376=Lookup!$G$10,G376+1,""))</f>
        <v>#N/A</v>
      </c>
      <c r="H377" t="e">
        <f>IF(F377=1,  IF(D377=Lookup!$G$9,2,1),  IF(G377&lt;F377-1,0,1)  )</f>
        <v>#N/A</v>
      </c>
      <c r="I377" t="e">
        <f>IF(D377&lt;&gt;Lookup!$G$7,0,IF(INDEX(cards[name],MATCH(E377,cards[object_id order],0))&lt;&gt;"",0,1))</f>
        <v>#N/A</v>
      </c>
      <c r="J377" t="e">
        <f>IF(D377&lt;&gt;Lookup!$G$7,0,IF(INDEX(cards[icon],MATCH(E377,cards[object_id order],0))&lt;&gt;"",0,1))</f>
        <v>#N/A</v>
      </c>
      <c r="K377" t="e">
        <f>IF(D377=Lookup!$G$6,INDEX(cards[object_id],MATCH('card-code'!E377,cards[object_id order],0)),"")</f>
        <v>#N/A</v>
      </c>
      <c r="L377" t="e">
        <f>IF(D377=Lookup!$G$7,INDEX(cards[name],MATCH('card-code'!E377,cards[object_id order],0)),"")</f>
        <v>#N/A</v>
      </c>
      <c r="M377" t="e">
        <f>IF($D377=Lookup!$L$9,INDEX(cards[icon],MATCH($E377,cards[object_id order],0)),"")</f>
        <v>#N/A</v>
      </c>
      <c r="N377" t="e">
        <f>IF(OR(D377=Lookup!$G$10,D377=Lookup!$G$11),INDEX(cards[[1]:[25]],MATCH($E377,cards[object_id order],0),'card-code'!G377),"")</f>
        <v>#N/A</v>
      </c>
      <c r="O377" t="str">
        <f t="shared" si="16"/>
        <v/>
      </c>
      <c r="P377" s="8" t="e">
        <f>INDEX(Lookup!$H$5:$H$11,MATCH(D377,Lookup!$G$5:$G$11,0))&amp;
K377&amp;L377&amp;M377&amp;N377&amp;
INDEX(Lookup!$I$5:$I$11,MATCH(D377,Lookup!$G$5:$G$11,0))</f>
        <v>#N/A</v>
      </c>
    </row>
    <row r="378" spans="2:16" x14ac:dyDescent="0.45">
      <c r="B378">
        <f t="shared" si="15"/>
        <v>376</v>
      </c>
      <c r="C378" t="e">
        <f t="shared" si="17"/>
        <v>#N/A</v>
      </c>
      <c r="D378" t="e">
        <f>VLOOKUP(C378,Lookup!$F$5:$G$11,2,FALSE)</f>
        <v>#N/A</v>
      </c>
      <c r="E378" t="e">
        <f>IF(D378=Lookup!$G$5,E377+1,E377)</f>
        <v>#N/A</v>
      </c>
      <c r="F378" s="3" t="e">
        <f>INDEX(cards[Entities count],MATCH('card-code'!E378,cards[object_id order],0))</f>
        <v>#N/A</v>
      </c>
      <c r="G378" t="e">
        <f>IF(D377=Lookup!$G$9,1,IF(D377=Lookup!$G$10,G377+1,""))</f>
        <v>#N/A</v>
      </c>
      <c r="H378" t="e">
        <f>IF(F378=1,  IF(D378=Lookup!$G$9,2,1),  IF(G378&lt;F378-1,0,1)  )</f>
        <v>#N/A</v>
      </c>
      <c r="I378" t="e">
        <f>IF(D378&lt;&gt;Lookup!$G$7,0,IF(INDEX(cards[name],MATCH(E378,cards[object_id order],0))&lt;&gt;"",0,1))</f>
        <v>#N/A</v>
      </c>
      <c r="J378" t="e">
        <f>IF(D378&lt;&gt;Lookup!$G$7,0,IF(INDEX(cards[icon],MATCH(E378,cards[object_id order],0))&lt;&gt;"",0,1))</f>
        <v>#N/A</v>
      </c>
      <c r="K378" t="e">
        <f>IF(D378=Lookup!$G$6,INDEX(cards[object_id],MATCH('card-code'!E378,cards[object_id order],0)),"")</f>
        <v>#N/A</v>
      </c>
      <c r="L378" t="e">
        <f>IF(D378=Lookup!$G$7,INDEX(cards[name],MATCH('card-code'!E378,cards[object_id order],0)),"")</f>
        <v>#N/A</v>
      </c>
      <c r="M378" t="e">
        <f>IF($D378=Lookup!$L$9,INDEX(cards[icon],MATCH($E378,cards[object_id order],0)),"")</f>
        <v>#N/A</v>
      </c>
      <c r="N378" t="e">
        <f>IF(OR(D378=Lookup!$G$10,D378=Lookup!$G$11),INDEX(cards[[1]:[25]],MATCH($E378,cards[object_id order],0),'card-code'!G378),"")</f>
        <v>#N/A</v>
      </c>
      <c r="O378" t="str">
        <f t="shared" si="16"/>
        <v/>
      </c>
      <c r="P378" s="8" t="e">
        <f>INDEX(Lookup!$H$5:$H$11,MATCH(D378,Lookup!$G$5:$G$11,0))&amp;
K378&amp;L378&amp;M378&amp;N378&amp;
INDEX(Lookup!$I$5:$I$11,MATCH(D378,Lookup!$G$5:$G$11,0))</f>
        <v>#N/A</v>
      </c>
    </row>
    <row r="379" spans="2:16" x14ac:dyDescent="0.45">
      <c r="B379">
        <f t="shared" si="15"/>
        <v>377</v>
      </c>
      <c r="C379" t="e">
        <f t="shared" si="17"/>
        <v>#N/A</v>
      </c>
      <c r="D379" t="e">
        <f>VLOOKUP(C379,Lookup!$F$5:$G$11,2,FALSE)</f>
        <v>#N/A</v>
      </c>
      <c r="E379" t="e">
        <f>IF(D379=Lookup!$G$5,E378+1,E378)</f>
        <v>#N/A</v>
      </c>
      <c r="F379" s="3" t="e">
        <f>INDEX(cards[Entities count],MATCH('card-code'!E379,cards[object_id order],0))</f>
        <v>#N/A</v>
      </c>
      <c r="G379" t="e">
        <f>IF(D378=Lookup!$G$9,1,IF(D378=Lookup!$G$10,G378+1,""))</f>
        <v>#N/A</v>
      </c>
      <c r="H379" t="e">
        <f>IF(F379=1,  IF(D379=Lookup!$G$9,2,1),  IF(G379&lt;F379-1,0,1)  )</f>
        <v>#N/A</v>
      </c>
      <c r="I379" t="e">
        <f>IF(D379&lt;&gt;Lookup!$G$7,0,IF(INDEX(cards[name],MATCH(E379,cards[object_id order],0))&lt;&gt;"",0,1))</f>
        <v>#N/A</v>
      </c>
      <c r="J379" t="e">
        <f>IF(D379&lt;&gt;Lookup!$G$7,0,IF(INDEX(cards[icon],MATCH(E379,cards[object_id order],0))&lt;&gt;"",0,1))</f>
        <v>#N/A</v>
      </c>
      <c r="K379" t="e">
        <f>IF(D379=Lookup!$G$6,INDEX(cards[object_id],MATCH('card-code'!E379,cards[object_id order],0)),"")</f>
        <v>#N/A</v>
      </c>
      <c r="L379" t="e">
        <f>IF(D379=Lookup!$G$7,INDEX(cards[name],MATCH('card-code'!E379,cards[object_id order],0)),"")</f>
        <v>#N/A</v>
      </c>
      <c r="M379" t="e">
        <f>IF($D379=Lookup!$L$9,INDEX(cards[icon],MATCH($E379,cards[object_id order],0)),"")</f>
        <v>#N/A</v>
      </c>
      <c r="N379" t="e">
        <f>IF(OR(D379=Lookup!$G$10,D379=Lookup!$G$11),INDEX(cards[[1]:[25]],MATCH($E379,cards[object_id order],0),'card-code'!G379),"")</f>
        <v>#N/A</v>
      </c>
      <c r="O379" t="str">
        <f t="shared" si="16"/>
        <v/>
      </c>
      <c r="P379" s="8" t="e">
        <f>INDEX(Lookup!$H$5:$H$11,MATCH(D379,Lookup!$G$5:$G$11,0))&amp;
K379&amp;L379&amp;M379&amp;N379&amp;
INDEX(Lookup!$I$5:$I$11,MATCH(D379,Lookup!$G$5:$G$11,0))</f>
        <v>#N/A</v>
      </c>
    </row>
    <row r="380" spans="2:16" x14ac:dyDescent="0.45">
      <c r="B380">
        <f t="shared" si="15"/>
        <v>378</v>
      </c>
      <c r="C380" t="e">
        <f t="shared" si="17"/>
        <v>#N/A</v>
      </c>
      <c r="D380" t="e">
        <f>VLOOKUP(C380,Lookup!$F$5:$G$11,2,FALSE)</f>
        <v>#N/A</v>
      </c>
      <c r="E380" t="e">
        <f>IF(D380=Lookup!$G$5,E379+1,E379)</f>
        <v>#N/A</v>
      </c>
      <c r="F380" s="3" t="e">
        <f>INDEX(cards[Entities count],MATCH('card-code'!E380,cards[object_id order],0))</f>
        <v>#N/A</v>
      </c>
      <c r="G380" t="e">
        <f>IF(D379=Lookup!$G$9,1,IF(D379=Lookup!$G$10,G379+1,""))</f>
        <v>#N/A</v>
      </c>
      <c r="H380" t="e">
        <f>IF(F380=1,  IF(D380=Lookup!$G$9,2,1),  IF(G380&lt;F380-1,0,1)  )</f>
        <v>#N/A</v>
      </c>
      <c r="I380" t="e">
        <f>IF(D380&lt;&gt;Lookup!$G$7,0,IF(INDEX(cards[name],MATCH(E380,cards[object_id order],0))&lt;&gt;"",0,1))</f>
        <v>#N/A</v>
      </c>
      <c r="J380" t="e">
        <f>IF(D380&lt;&gt;Lookup!$G$7,0,IF(INDEX(cards[icon],MATCH(E380,cards[object_id order],0))&lt;&gt;"",0,1))</f>
        <v>#N/A</v>
      </c>
      <c r="K380" t="e">
        <f>IF(D380=Lookup!$G$6,INDEX(cards[object_id],MATCH('card-code'!E380,cards[object_id order],0)),"")</f>
        <v>#N/A</v>
      </c>
      <c r="L380" t="e">
        <f>IF(D380=Lookup!$G$7,INDEX(cards[name],MATCH('card-code'!E380,cards[object_id order],0)),"")</f>
        <v>#N/A</v>
      </c>
      <c r="M380" t="e">
        <f>IF($D380=Lookup!$L$9,INDEX(cards[icon],MATCH($E380,cards[object_id order],0)),"")</f>
        <v>#N/A</v>
      </c>
      <c r="N380" t="e">
        <f>IF(OR(D380=Lookup!$G$10,D380=Lookup!$G$11),INDEX(cards[[1]:[25]],MATCH($E380,cards[object_id order],0),'card-code'!G380),"")</f>
        <v>#N/A</v>
      </c>
      <c r="O380" t="str">
        <f t="shared" si="16"/>
        <v/>
      </c>
      <c r="P380" s="8" t="e">
        <f>INDEX(Lookup!$H$5:$H$11,MATCH(D380,Lookup!$G$5:$G$11,0))&amp;
K380&amp;L380&amp;M380&amp;N380&amp;
INDEX(Lookup!$I$5:$I$11,MATCH(D380,Lookup!$G$5:$G$11,0))</f>
        <v>#N/A</v>
      </c>
    </row>
    <row r="381" spans="2:16" x14ac:dyDescent="0.45">
      <c r="B381">
        <f t="shared" si="15"/>
        <v>379</v>
      </c>
      <c r="C381" t="e">
        <f t="shared" si="17"/>
        <v>#N/A</v>
      </c>
      <c r="D381" t="e">
        <f>VLOOKUP(C381,Lookup!$F$5:$G$11,2,FALSE)</f>
        <v>#N/A</v>
      </c>
      <c r="E381" t="e">
        <f>IF(D381=Lookup!$G$5,E380+1,E380)</f>
        <v>#N/A</v>
      </c>
      <c r="F381" s="3" t="e">
        <f>INDEX(cards[Entities count],MATCH('card-code'!E381,cards[object_id order],0))</f>
        <v>#N/A</v>
      </c>
      <c r="G381" t="e">
        <f>IF(D380=Lookup!$G$9,1,IF(D380=Lookup!$G$10,G380+1,""))</f>
        <v>#N/A</v>
      </c>
      <c r="H381" t="e">
        <f>IF(F381=1,  IF(D381=Lookup!$G$9,2,1),  IF(G381&lt;F381-1,0,1)  )</f>
        <v>#N/A</v>
      </c>
      <c r="I381" t="e">
        <f>IF(D381&lt;&gt;Lookup!$G$7,0,IF(INDEX(cards[name],MATCH(E381,cards[object_id order],0))&lt;&gt;"",0,1))</f>
        <v>#N/A</v>
      </c>
      <c r="J381" t="e">
        <f>IF(D381&lt;&gt;Lookup!$G$7,0,IF(INDEX(cards[icon],MATCH(E381,cards[object_id order],0))&lt;&gt;"",0,1))</f>
        <v>#N/A</v>
      </c>
      <c r="K381" t="e">
        <f>IF(D381=Lookup!$G$6,INDEX(cards[object_id],MATCH('card-code'!E381,cards[object_id order],0)),"")</f>
        <v>#N/A</v>
      </c>
      <c r="L381" t="e">
        <f>IF(D381=Lookup!$G$7,INDEX(cards[name],MATCH('card-code'!E381,cards[object_id order],0)),"")</f>
        <v>#N/A</v>
      </c>
      <c r="M381" t="e">
        <f>IF($D381=Lookup!$L$9,INDEX(cards[icon],MATCH($E381,cards[object_id order],0)),"")</f>
        <v>#N/A</v>
      </c>
      <c r="N381" t="e">
        <f>IF(OR(D381=Lookup!$G$10,D381=Lookup!$G$11),INDEX(cards[[1]:[25]],MATCH($E381,cards[object_id order],0),'card-code'!G381),"")</f>
        <v>#N/A</v>
      </c>
      <c r="O381" t="str">
        <f t="shared" si="16"/>
        <v/>
      </c>
      <c r="P381" s="8" t="e">
        <f>INDEX(Lookup!$H$5:$H$11,MATCH(D381,Lookup!$G$5:$G$11,0))&amp;
K381&amp;L381&amp;M381&amp;N381&amp;
INDEX(Lookup!$I$5:$I$11,MATCH(D381,Lookup!$G$5:$G$11,0))</f>
        <v>#N/A</v>
      </c>
    </row>
    <row r="382" spans="2:16" x14ac:dyDescent="0.45">
      <c r="B382">
        <f t="shared" si="15"/>
        <v>380</v>
      </c>
      <c r="C382" t="e">
        <f t="shared" si="17"/>
        <v>#N/A</v>
      </c>
      <c r="D382" t="e">
        <f>VLOOKUP(C382,Lookup!$F$5:$G$11,2,FALSE)</f>
        <v>#N/A</v>
      </c>
      <c r="E382" t="e">
        <f>IF(D382=Lookup!$G$5,E381+1,E381)</f>
        <v>#N/A</v>
      </c>
      <c r="F382" s="3" t="e">
        <f>INDEX(cards[Entities count],MATCH('card-code'!E382,cards[object_id order],0))</f>
        <v>#N/A</v>
      </c>
      <c r="G382" t="e">
        <f>IF(D381=Lookup!$G$9,1,IF(D381=Lookup!$G$10,G381+1,""))</f>
        <v>#N/A</v>
      </c>
      <c r="H382" t="e">
        <f>IF(F382=1,  IF(D382=Lookup!$G$9,2,1),  IF(G382&lt;F382-1,0,1)  )</f>
        <v>#N/A</v>
      </c>
      <c r="I382" t="e">
        <f>IF(D382&lt;&gt;Lookup!$G$7,0,IF(INDEX(cards[name],MATCH(E382,cards[object_id order],0))&lt;&gt;"",0,1))</f>
        <v>#N/A</v>
      </c>
      <c r="J382" t="e">
        <f>IF(D382&lt;&gt;Lookup!$G$7,0,IF(INDEX(cards[icon],MATCH(E382,cards[object_id order],0))&lt;&gt;"",0,1))</f>
        <v>#N/A</v>
      </c>
      <c r="K382" t="e">
        <f>IF(D382=Lookup!$G$6,INDEX(cards[object_id],MATCH('card-code'!E382,cards[object_id order],0)),"")</f>
        <v>#N/A</v>
      </c>
      <c r="L382" t="e">
        <f>IF(D382=Lookup!$G$7,INDEX(cards[name],MATCH('card-code'!E382,cards[object_id order],0)),"")</f>
        <v>#N/A</v>
      </c>
      <c r="M382" t="e">
        <f>IF($D382=Lookup!$L$9,INDEX(cards[icon],MATCH($E382,cards[object_id order],0)),"")</f>
        <v>#N/A</v>
      </c>
      <c r="N382" t="e">
        <f>IF(OR(D382=Lookup!$G$10,D382=Lookup!$G$11),INDEX(cards[[1]:[25]],MATCH($E382,cards[object_id order],0),'card-code'!G382),"")</f>
        <v>#N/A</v>
      </c>
      <c r="O382" t="str">
        <f t="shared" si="16"/>
        <v/>
      </c>
      <c r="P382" s="8" t="e">
        <f>INDEX(Lookup!$H$5:$H$11,MATCH(D382,Lookup!$G$5:$G$11,0))&amp;
K382&amp;L382&amp;M382&amp;N382&amp;
INDEX(Lookup!$I$5:$I$11,MATCH(D382,Lookup!$G$5:$G$11,0))</f>
        <v>#N/A</v>
      </c>
    </row>
    <row r="383" spans="2:16" x14ac:dyDescent="0.45">
      <c r="B383">
        <f t="shared" si="15"/>
        <v>381</v>
      </c>
      <c r="C383" t="e">
        <f t="shared" si="17"/>
        <v>#N/A</v>
      </c>
      <c r="D383" t="e">
        <f>VLOOKUP(C383,Lookup!$F$5:$G$11,2,FALSE)</f>
        <v>#N/A</v>
      </c>
      <c r="E383" t="e">
        <f>IF(D383=Lookup!$G$5,E382+1,E382)</f>
        <v>#N/A</v>
      </c>
      <c r="F383" s="3" t="e">
        <f>INDEX(cards[Entities count],MATCH('card-code'!E383,cards[object_id order],0))</f>
        <v>#N/A</v>
      </c>
      <c r="G383" t="e">
        <f>IF(D382=Lookup!$G$9,1,IF(D382=Lookup!$G$10,G382+1,""))</f>
        <v>#N/A</v>
      </c>
      <c r="H383" t="e">
        <f>IF(F383=1,  IF(D383=Lookup!$G$9,2,1),  IF(G383&lt;F383-1,0,1)  )</f>
        <v>#N/A</v>
      </c>
      <c r="I383" t="e">
        <f>IF(D383&lt;&gt;Lookup!$G$7,0,IF(INDEX(cards[name],MATCH(E383,cards[object_id order],0))&lt;&gt;"",0,1))</f>
        <v>#N/A</v>
      </c>
      <c r="J383" t="e">
        <f>IF(D383&lt;&gt;Lookup!$G$7,0,IF(INDEX(cards[icon],MATCH(E383,cards[object_id order],0))&lt;&gt;"",0,1))</f>
        <v>#N/A</v>
      </c>
      <c r="K383" t="e">
        <f>IF(D383=Lookup!$G$6,INDEX(cards[object_id],MATCH('card-code'!E383,cards[object_id order],0)),"")</f>
        <v>#N/A</v>
      </c>
      <c r="L383" t="e">
        <f>IF(D383=Lookup!$G$7,INDEX(cards[name],MATCH('card-code'!E383,cards[object_id order],0)),"")</f>
        <v>#N/A</v>
      </c>
      <c r="M383" t="e">
        <f>IF($D383=Lookup!$L$9,INDEX(cards[icon],MATCH($E383,cards[object_id order],0)),"")</f>
        <v>#N/A</v>
      </c>
      <c r="N383" t="e">
        <f>IF(OR(D383=Lookup!$G$10,D383=Lookup!$G$11),INDEX(cards[[1]:[25]],MATCH($E383,cards[object_id order],0),'card-code'!G383),"")</f>
        <v>#N/A</v>
      </c>
      <c r="O383" t="str">
        <f t="shared" si="16"/>
        <v/>
      </c>
      <c r="P383" s="8" t="e">
        <f>INDEX(Lookup!$H$5:$H$11,MATCH(D383,Lookup!$G$5:$G$11,0))&amp;
K383&amp;L383&amp;M383&amp;N383&amp;
INDEX(Lookup!$I$5:$I$11,MATCH(D383,Lookup!$G$5:$G$11,0))</f>
        <v>#N/A</v>
      </c>
    </row>
    <row r="384" spans="2:16" x14ac:dyDescent="0.45">
      <c r="B384">
        <f t="shared" si="15"/>
        <v>382</v>
      </c>
      <c r="C384" t="e">
        <f t="shared" si="17"/>
        <v>#N/A</v>
      </c>
      <c r="D384" t="e">
        <f>VLOOKUP(C384,Lookup!$F$5:$G$11,2,FALSE)</f>
        <v>#N/A</v>
      </c>
      <c r="E384" t="e">
        <f>IF(D384=Lookup!$G$5,E383+1,E383)</f>
        <v>#N/A</v>
      </c>
      <c r="F384" s="3" t="e">
        <f>INDEX(cards[Entities count],MATCH('card-code'!E384,cards[object_id order],0))</f>
        <v>#N/A</v>
      </c>
      <c r="G384" t="e">
        <f>IF(D383=Lookup!$G$9,1,IF(D383=Lookup!$G$10,G383+1,""))</f>
        <v>#N/A</v>
      </c>
      <c r="H384" t="e">
        <f>IF(F384=1,  IF(D384=Lookup!$G$9,2,1),  IF(G384&lt;F384-1,0,1)  )</f>
        <v>#N/A</v>
      </c>
      <c r="I384" t="e">
        <f>IF(D384&lt;&gt;Lookup!$G$7,0,IF(INDEX(cards[name],MATCH(E384,cards[object_id order],0))&lt;&gt;"",0,1))</f>
        <v>#N/A</v>
      </c>
      <c r="J384" t="e">
        <f>IF(D384&lt;&gt;Lookup!$G$7,0,IF(INDEX(cards[icon],MATCH(E384,cards[object_id order],0))&lt;&gt;"",0,1))</f>
        <v>#N/A</v>
      </c>
      <c r="K384" t="e">
        <f>IF(D384=Lookup!$G$6,INDEX(cards[object_id],MATCH('card-code'!E384,cards[object_id order],0)),"")</f>
        <v>#N/A</v>
      </c>
      <c r="L384" t="e">
        <f>IF(D384=Lookup!$G$7,INDEX(cards[name],MATCH('card-code'!E384,cards[object_id order],0)),"")</f>
        <v>#N/A</v>
      </c>
      <c r="M384" t="e">
        <f>IF($D384=Lookup!$L$9,INDEX(cards[icon],MATCH($E384,cards[object_id order],0)),"")</f>
        <v>#N/A</v>
      </c>
      <c r="N384" t="e">
        <f>IF(OR(D384=Lookup!$G$10,D384=Lookup!$G$11),INDEX(cards[[1]:[25]],MATCH($E384,cards[object_id order],0),'card-code'!G384),"")</f>
        <v>#N/A</v>
      </c>
      <c r="O384" t="str">
        <f t="shared" si="16"/>
        <v/>
      </c>
      <c r="P384" s="8" t="e">
        <f>INDEX(Lookup!$H$5:$H$11,MATCH(D384,Lookup!$G$5:$G$11,0))&amp;
K384&amp;L384&amp;M384&amp;N384&amp;
INDEX(Lookup!$I$5:$I$11,MATCH(D384,Lookup!$G$5:$G$11,0))</f>
        <v>#N/A</v>
      </c>
    </row>
    <row r="385" spans="2:16" x14ac:dyDescent="0.45">
      <c r="B385">
        <f t="shared" si="15"/>
        <v>383</v>
      </c>
      <c r="C385" t="e">
        <f t="shared" si="17"/>
        <v>#N/A</v>
      </c>
      <c r="D385" t="e">
        <f>VLOOKUP(C385,Lookup!$F$5:$G$11,2,FALSE)</f>
        <v>#N/A</v>
      </c>
      <c r="E385" t="e">
        <f>IF(D385=Lookup!$G$5,E384+1,E384)</f>
        <v>#N/A</v>
      </c>
      <c r="F385" s="3" t="e">
        <f>INDEX(cards[Entities count],MATCH('card-code'!E385,cards[object_id order],0))</f>
        <v>#N/A</v>
      </c>
      <c r="G385" t="e">
        <f>IF(D384=Lookup!$G$9,1,IF(D384=Lookup!$G$10,G384+1,""))</f>
        <v>#N/A</v>
      </c>
      <c r="H385" t="e">
        <f>IF(F385=1,  IF(D385=Lookup!$G$9,2,1),  IF(G385&lt;F385-1,0,1)  )</f>
        <v>#N/A</v>
      </c>
      <c r="I385" t="e">
        <f>IF(D385&lt;&gt;Lookup!$G$7,0,IF(INDEX(cards[name],MATCH(E385,cards[object_id order],0))&lt;&gt;"",0,1))</f>
        <v>#N/A</v>
      </c>
      <c r="J385" t="e">
        <f>IF(D385&lt;&gt;Lookup!$G$7,0,IF(INDEX(cards[icon],MATCH(E385,cards[object_id order],0))&lt;&gt;"",0,1))</f>
        <v>#N/A</v>
      </c>
      <c r="K385" t="e">
        <f>IF(D385=Lookup!$G$6,INDEX(cards[object_id],MATCH('card-code'!E385,cards[object_id order],0)),"")</f>
        <v>#N/A</v>
      </c>
      <c r="L385" t="e">
        <f>IF(D385=Lookup!$G$7,INDEX(cards[name],MATCH('card-code'!E385,cards[object_id order],0)),"")</f>
        <v>#N/A</v>
      </c>
      <c r="M385" t="e">
        <f>IF($D385=Lookup!$L$9,INDEX(cards[icon],MATCH($E385,cards[object_id order],0)),"")</f>
        <v>#N/A</v>
      </c>
      <c r="N385" t="e">
        <f>IF(OR(D385=Lookup!$G$10,D385=Lookup!$G$11),INDEX(cards[[1]:[25]],MATCH($E385,cards[object_id order],0),'card-code'!G385),"")</f>
        <v>#N/A</v>
      </c>
      <c r="O385" t="str">
        <f t="shared" si="16"/>
        <v/>
      </c>
      <c r="P385" s="8" t="e">
        <f>INDEX(Lookup!$H$5:$H$11,MATCH(D385,Lookup!$G$5:$G$11,0))&amp;
K385&amp;L385&amp;M385&amp;N385&amp;
INDEX(Lookup!$I$5:$I$11,MATCH(D385,Lookup!$G$5:$G$11,0))</f>
        <v>#N/A</v>
      </c>
    </row>
    <row r="386" spans="2:16" x14ac:dyDescent="0.45">
      <c r="B386">
        <f t="shared" si="15"/>
        <v>384</v>
      </c>
      <c r="C386" t="e">
        <f t="shared" si="17"/>
        <v>#N/A</v>
      </c>
      <c r="D386" t="e">
        <f>VLOOKUP(C386,Lookup!$F$5:$G$11,2,FALSE)</f>
        <v>#N/A</v>
      </c>
      <c r="E386" t="e">
        <f>IF(D386=Lookup!$G$5,E385+1,E385)</f>
        <v>#N/A</v>
      </c>
      <c r="F386" s="3" t="e">
        <f>INDEX(cards[Entities count],MATCH('card-code'!E386,cards[object_id order],0))</f>
        <v>#N/A</v>
      </c>
      <c r="G386" t="e">
        <f>IF(D385=Lookup!$G$9,1,IF(D385=Lookup!$G$10,G385+1,""))</f>
        <v>#N/A</v>
      </c>
      <c r="H386" t="e">
        <f>IF(F386=1,  IF(D386=Lookup!$G$9,2,1),  IF(G386&lt;F386-1,0,1)  )</f>
        <v>#N/A</v>
      </c>
      <c r="I386" t="e">
        <f>IF(D386&lt;&gt;Lookup!$G$7,0,IF(INDEX(cards[name],MATCH(E386,cards[object_id order],0))&lt;&gt;"",0,1))</f>
        <v>#N/A</v>
      </c>
      <c r="J386" t="e">
        <f>IF(D386&lt;&gt;Lookup!$G$7,0,IF(INDEX(cards[icon],MATCH(E386,cards[object_id order],0))&lt;&gt;"",0,1))</f>
        <v>#N/A</v>
      </c>
      <c r="K386" t="e">
        <f>IF(D386=Lookup!$G$6,INDEX(cards[object_id],MATCH('card-code'!E386,cards[object_id order],0)),"")</f>
        <v>#N/A</v>
      </c>
      <c r="L386" t="e">
        <f>IF(D386=Lookup!$G$7,INDEX(cards[name],MATCH('card-code'!E386,cards[object_id order],0)),"")</f>
        <v>#N/A</v>
      </c>
      <c r="M386" t="e">
        <f>IF($D386=Lookup!$L$9,INDEX(cards[icon],MATCH($E386,cards[object_id order],0)),"")</f>
        <v>#N/A</v>
      </c>
      <c r="N386" t="e">
        <f>IF(OR(D386=Lookup!$G$10,D386=Lookup!$G$11),INDEX(cards[[1]:[25]],MATCH($E386,cards[object_id order],0),'card-code'!G386),"")</f>
        <v>#N/A</v>
      </c>
      <c r="O386" t="str">
        <f t="shared" si="16"/>
        <v/>
      </c>
      <c r="P386" s="8" t="e">
        <f>INDEX(Lookup!$H$5:$H$11,MATCH(D386,Lookup!$G$5:$G$11,0))&amp;
K386&amp;L386&amp;M386&amp;N386&amp;
INDEX(Lookup!$I$5:$I$11,MATCH(D386,Lookup!$G$5:$G$11,0))</f>
        <v>#N/A</v>
      </c>
    </row>
    <row r="387" spans="2:16" x14ac:dyDescent="0.45">
      <c r="B387">
        <f t="shared" si="15"/>
        <v>385</v>
      </c>
      <c r="C387" t="e">
        <f t="shared" si="17"/>
        <v>#N/A</v>
      </c>
      <c r="D387" t="e">
        <f>VLOOKUP(C387,Lookup!$F$5:$G$11,2,FALSE)</f>
        <v>#N/A</v>
      </c>
      <c r="E387" t="e">
        <f>IF(D387=Lookup!$G$5,E386+1,E386)</f>
        <v>#N/A</v>
      </c>
      <c r="F387" s="3" t="e">
        <f>INDEX(cards[Entities count],MATCH('card-code'!E387,cards[object_id order],0))</f>
        <v>#N/A</v>
      </c>
      <c r="G387" t="e">
        <f>IF(D386=Lookup!$G$9,1,IF(D386=Lookup!$G$10,G386+1,""))</f>
        <v>#N/A</v>
      </c>
      <c r="H387" t="e">
        <f>IF(F387=1,  IF(D387=Lookup!$G$9,2,1),  IF(G387&lt;F387-1,0,1)  )</f>
        <v>#N/A</v>
      </c>
      <c r="I387" t="e">
        <f>IF(D387&lt;&gt;Lookup!$G$7,0,IF(INDEX(cards[name],MATCH(E387,cards[object_id order],0))&lt;&gt;"",0,1))</f>
        <v>#N/A</v>
      </c>
      <c r="J387" t="e">
        <f>IF(D387&lt;&gt;Lookup!$G$7,0,IF(INDEX(cards[icon],MATCH(E387,cards[object_id order],0))&lt;&gt;"",0,1))</f>
        <v>#N/A</v>
      </c>
      <c r="K387" t="e">
        <f>IF(D387=Lookup!$G$6,INDEX(cards[object_id],MATCH('card-code'!E387,cards[object_id order],0)),"")</f>
        <v>#N/A</v>
      </c>
      <c r="L387" t="e">
        <f>IF(D387=Lookup!$G$7,INDEX(cards[name],MATCH('card-code'!E387,cards[object_id order],0)),"")</f>
        <v>#N/A</v>
      </c>
      <c r="M387" t="e">
        <f>IF($D387=Lookup!$L$9,INDEX(cards[icon],MATCH($E387,cards[object_id order],0)),"")</f>
        <v>#N/A</v>
      </c>
      <c r="N387" t="e">
        <f>IF(OR(D387=Lookup!$G$10,D387=Lookup!$G$11),INDEX(cards[[1]:[25]],MATCH($E387,cards[object_id order],0),'card-code'!G387),"")</f>
        <v>#N/A</v>
      </c>
      <c r="O387" t="str">
        <f t="shared" si="16"/>
        <v/>
      </c>
      <c r="P387" s="8" t="e">
        <f>INDEX(Lookup!$H$5:$H$11,MATCH(D387,Lookup!$G$5:$G$11,0))&amp;
K387&amp;L387&amp;M387&amp;N387&amp;
INDEX(Lookup!$I$5:$I$11,MATCH(D387,Lookup!$G$5:$G$11,0))</f>
        <v>#N/A</v>
      </c>
    </row>
    <row r="388" spans="2:16" x14ac:dyDescent="0.45">
      <c r="B388">
        <f t="shared" si="15"/>
        <v>386</v>
      </c>
      <c r="C388" t="e">
        <f t="shared" si="17"/>
        <v>#N/A</v>
      </c>
      <c r="D388" t="e">
        <f>VLOOKUP(C388,Lookup!$F$5:$G$11,2,FALSE)</f>
        <v>#N/A</v>
      </c>
      <c r="E388" t="e">
        <f>IF(D388=Lookup!$G$5,E387+1,E387)</f>
        <v>#N/A</v>
      </c>
      <c r="F388" s="3" t="e">
        <f>INDEX(cards[Entities count],MATCH('card-code'!E388,cards[object_id order],0))</f>
        <v>#N/A</v>
      </c>
      <c r="G388" t="e">
        <f>IF(D387=Lookup!$G$9,1,IF(D387=Lookup!$G$10,G387+1,""))</f>
        <v>#N/A</v>
      </c>
      <c r="H388" t="e">
        <f>IF(F388=1,  IF(D388=Lookup!$G$9,2,1),  IF(G388&lt;F388-1,0,1)  )</f>
        <v>#N/A</v>
      </c>
      <c r="I388" t="e">
        <f>IF(D388&lt;&gt;Lookup!$G$7,0,IF(INDEX(cards[name],MATCH(E388,cards[object_id order],0))&lt;&gt;"",0,1))</f>
        <v>#N/A</v>
      </c>
      <c r="J388" t="e">
        <f>IF(D388&lt;&gt;Lookup!$G$7,0,IF(INDEX(cards[icon],MATCH(E388,cards[object_id order],0))&lt;&gt;"",0,1))</f>
        <v>#N/A</v>
      </c>
      <c r="K388" t="e">
        <f>IF(D388=Lookup!$G$6,INDEX(cards[object_id],MATCH('card-code'!E388,cards[object_id order],0)),"")</f>
        <v>#N/A</v>
      </c>
      <c r="L388" t="e">
        <f>IF(D388=Lookup!$G$7,INDEX(cards[name],MATCH('card-code'!E388,cards[object_id order],0)),"")</f>
        <v>#N/A</v>
      </c>
      <c r="M388" t="e">
        <f>IF($D388=Lookup!$L$9,INDEX(cards[icon],MATCH($E388,cards[object_id order],0)),"")</f>
        <v>#N/A</v>
      </c>
      <c r="N388" t="e">
        <f>IF(OR(D388=Lookup!$G$10,D388=Lookup!$G$11),INDEX(cards[[1]:[25]],MATCH($E388,cards[object_id order],0),'card-code'!G388),"")</f>
        <v>#N/A</v>
      </c>
      <c r="O388" t="str">
        <f t="shared" si="16"/>
        <v/>
      </c>
      <c r="P388" s="8" t="e">
        <f>INDEX(Lookup!$H$5:$H$11,MATCH(D388,Lookup!$G$5:$G$11,0))&amp;
K388&amp;L388&amp;M388&amp;N388&amp;
INDEX(Lookup!$I$5:$I$11,MATCH(D388,Lookup!$G$5:$G$11,0))</f>
        <v>#N/A</v>
      </c>
    </row>
    <row r="389" spans="2:16" x14ac:dyDescent="0.45">
      <c r="B389">
        <f t="shared" ref="B389:B452" si="18">B388+1</f>
        <v>387</v>
      </c>
      <c r="C389" t="e">
        <f t="shared" si="17"/>
        <v>#N/A</v>
      </c>
      <c r="D389" t="e">
        <f>VLOOKUP(C389,Lookup!$F$5:$G$11,2,FALSE)</f>
        <v>#N/A</v>
      </c>
      <c r="E389" t="e">
        <f>IF(D389=Lookup!$G$5,E388+1,E388)</f>
        <v>#N/A</v>
      </c>
      <c r="F389" s="3" t="e">
        <f>INDEX(cards[Entities count],MATCH('card-code'!E389,cards[object_id order],0))</f>
        <v>#N/A</v>
      </c>
      <c r="G389" t="e">
        <f>IF(D388=Lookup!$G$9,1,IF(D388=Lookup!$G$10,G388+1,""))</f>
        <v>#N/A</v>
      </c>
      <c r="H389" t="e">
        <f>IF(F389=1,  IF(D389=Lookup!$G$9,2,1),  IF(G389&lt;F389-1,0,1)  )</f>
        <v>#N/A</v>
      </c>
      <c r="I389" t="e">
        <f>IF(D389&lt;&gt;Lookup!$G$7,0,IF(INDEX(cards[name],MATCH(E389,cards[object_id order],0))&lt;&gt;"",0,1))</f>
        <v>#N/A</v>
      </c>
      <c r="J389" t="e">
        <f>IF(D389&lt;&gt;Lookup!$G$7,0,IF(INDEX(cards[icon],MATCH(E389,cards[object_id order],0))&lt;&gt;"",0,1))</f>
        <v>#N/A</v>
      </c>
      <c r="K389" t="e">
        <f>IF(D389=Lookup!$G$6,INDEX(cards[object_id],MATCH('card-code'!E389,cards[object_id order],0)),"")</f>
        <v>#N/A</v>
      </c>
      <c r="L389" t="e">
        <f>IF(D389=Lookup!$G$7,INDEX(cards[name],MATCH('card-code'!E389,cards[object_id order],0)),"")</f>
        <v>#N/A</v>
      </c>
      <c r="M389" t="e">
        <f>IF($D389=Lookup!$L$9,INDEX(cards[icon],MATCH($E389,cards[object_id order],0)),"")</f>
        <v>#N/A</v>
      </c>
      <c r="N389" t="e">
        <f>IF(OR(D389=Lookup!$G$10,D389=Lookup!$G$11),INDEX(cards[[1]:[25]],MATCH($E389,cards[object_id order],0),'card-code'!G389),"")</f>
        <v>#N/A</v>
      </c>
      <c r="O389" t="str">
        <f t="shared" ref="O389:O452" si="19">IF(AND(NOT(ISNA(F388)),ISNA(F389)),"END","")</f>
        <v/>
      </c>
      <c r="P389" s="8" t="e">
        <f>INDEX(Lookup!$H$5:$H$11,MATCH(D389,Lookup!$G$5:$G$11,0))&amp;
K389&amp;L389&amp;M389&amp;N389&amp;
INDEX(Lookup!$I$5:$I$11,MATCH(D389,Lookup!$G$5:$G$11,0))</f>
        <v>#N/A</v>
      </c>
    </row>
    <row r="390" spans="2:16" x14ac:dyDescent="0.45">
      <c r="B390">
        <f t="shared" si="18"/>
        <v>388</v>
      </c>
      <c r="C390" t="e">
        <f t="shared" si="17"/>
        <v>#N/A</v>
      </c>
      <c r="D390" t="e">
        <f>VLOOKUP(C390,Lookup!$F$5:$G$11,2,FALSE)</f>
        <v>#N/A</v>
      </c>
      <c r="E390" t="e">
        <f>IF(D390=Lookup!$G$5,E389+1,E389)</f>
        <v>#N/A</v>
      </c>
      <c r="F390" s="3" t="e">
        <f>INDEX(cards[Entities count],MATCH('card-code'!E390,cards[object_id order],0))</f>
        <v>#N/A</v>
      </c>
      <c r="G390" t="e">
        <f>IF(D389=Lookup!$G$9,1,IF(D389=Lookup!$G$10,G389+1,""))</f>
        <v>#N/A</v>
      </c>
      <c r="H390" t="e">
        <f>IF(F390=1,  IF(D390=Lookup!$G$9,2,1),  IF(G390&lt;F390-1,0,1)  )</f>
        <v>#N/A</v>
      </c>
      <c r="I390" t="e">
        <f>IF(D390&lt;&gt;Lookup!$G$7,0,IF(INDEX(cards[name],MATCH(E390,cards[object_id order],0))&lt;&gt;"",0,1))</f>
        <v>#N/A</v>
      </c>
      <c r="J390" t="e">
        <f>IF(D390&lt;&gt;Lookup!$G$7,0,IF(INDEX(cards[icon],MATCH(E390,cards[object_id order],0))&lt;&gt;"",0,1))</f>
        <v>#N/A</v>
      </c>
      <c r="K390" t="e">
        <f>IF(D390=Lookup!$G$6,INDEX(cards[object_id],MATCH('card-code'!E390,cards[object_id order],0)),"")</f>
        <v>#N/A</v>
      </c>
      <c r="L390" t="e">
        <f>IF(D390=Lookup!$G$7,INDEX(cards[name],MATCH('card-code'!E390,cards[object_id order],0)),"")</f>
        <v>#N/A</v>
      </c>
      <c r="M390" t="e">
        <f>IF($D390=Lookup!$L$9,INDEX(cards[icon],MATCH($E390,cards[object_id order],0)),"")</f>
        <v>#N/A</v>
      </c>
      <c r="N390" t="e">
        <f>IF(OR(D390=Lookup!$G$10,D390=Lookup!$G$11),INDEX(cards[[1]:[25]],MATCH($E390,cards[object_id order],0),'card-code'!G390),"")</f>
        <v>#N/A</v>
      </c>
      <c r="O390" t="str">
        <f t="shared" si="19"/>
        <v/>
      </c>
      <c r="P390" s="8" t="e">
        <f>INDEX(Lookup!$H$5:$H$11,MATCH(D390,Lookup!$G$5:$G$11,0))&amp;
K390&amp;L390&amp;M390&amp;N390&amp;
INDEX(Lookup!$I$5:$I$11,MATCH(D390,Lookup!$G$5:$G$11,0))</f>
        <v>#N/A</v>
      </c>
    </row>
    <row r="391" spans="2:16" x14ac:dyDescent="0.45">
      <c r="B391">
        <f t="shared" si="18"/>
        <v>389</v>
      </c>
      <c r="C391" t="e">
        <f t="shared" ref="C391:C454" si="20">IF(C390=7,  1,  C390+SUM(H390:J390)  )</f>
        <v>#N/A</v>
      </c>
      <c r="D391" t="e">
        <f>VLOOKUP(C391,Lookup!$F$5:$G$11,2,FALSE)</f>
        <v>#N/A</v>
      </c>
      <c r="E391" t="e">
        <f>IF(D391=Lookup!$G$5,E390+1,E390)</f>
        <v>#N/A</v>
      </c>
      <c r="F391" s="3" t="e">
        <f>INDEX(cards[Entities count],MATCH('card-code'!E391,cards[object_id order],0))</f>
        <v>#N/A</v>
      </c>
      <c r="G391" t="e">
        <f>IF(D390=Lookup!$G$9,1,IF(D390=Lookup!$G$10,G390+1,""))</f>
        <v>#N/A</v>
      </c>
      <c r="H391" t="e">
        <f>IF(F391=1,  IF(D391=Lookup!$G$9,2,1),  IF(G391&lt;F391-1,0,1)  )</f>
        <v>#N/A</v>
      </c>
      <c r="I391" t="e">
        <f>IF(D391&lt;&gt;Lookup!$G$7,0,IF(INDEX(cards[name],MATCH(E391,cards[object_id order],0))&lt;&gt;"",0,1))</f>
        <v>#N/A</v>
      </c>
      <c r="J391" t="e">
        <f>IF(D391&lt;&gt;Lookup!$G$7,0,IF(INDEX(cards[icon],MATCH(E391,cards[object_id order],0))&lt;&gt;"",0,1))</f>
        <v>#N/A</v>
      </c>
      <c r="K391" t="e">
        <f>IF(D391=Lookup!$G$6,INDEX(cards[object_id],MATCH('card-code'!E391,cards[object_id order],0)),"")</f>
        <v>#N/A</v>
      </c>
      <c r="L391" t="e">
        <f>IF(D391=Lookup!$G$7,INDEX(cards[name],MATCH('card-code'!E391,cards[object_id order],0)),"")</f>
        <v>#N/A</v>
      </c>
      <c r="M391" t="e">
        <f>IF($D391=Lookup!$L$9,INDEX(cards[icon],MATCH($E391,cards[object_id order],0)),"")</f>
        <v>#N/A</v>
      </c>
      <c r="N391" t="e">
        <f>IF(OR(D391=Lookup!$G$10,D391=Lookup!$G$11),INDEX(cards[[1]:[25]],MATCH($E391,cards[object_id order],0),'card-code'!G391),"")</f>
        <v>#N/A</v>
      </c>
      <c r="O391" t="str">
        <f t="shared" si="19"/>
        <v/>
      </c>
      <c r="P391" s="8" t="e">
        <f>INDEX(Lookup!$H$5:$H$11,MATCH(D391,Lookup!$G$5:$G$11,0))&amp;
K391&amp;L391&amp;M391&amp;N391&amp;
INDEX(Lookup!$I$5:$I$11,MATCH(D391,Lookup!$G$5:$G$11,0))</f>
        <v>#N/A</v>
      </c>
    </row>
    <row r="392" spans="2:16" x14ac:dyDescent="0.45">
      <c r="B392">
        <f t="shared" si="18"/>
        <v>390</v>
      </c>
      <c r="C392" t="e">
        <f t="shared" si="20"/>
        <v>#N/A</v>
      </c>
      <c r="D392" t="e">
        <f>VLOOKUP(C392,Lookup!$F$5:$G$11,2,FALSE)</f>
        <v>#N/A</v>
      </c>
      <c r="E392" t="e">
        <f>IF(D392=Lookup!$G$5,E391+1,E391)</f>
        <v>#N/A</v>
      </c>
      <c r="F392" s="3" t="e">
        <f>INDEX(cards[Entities count],MATCH('card-code'!E392,cards[object_id order],0))</f>
        <v>#N/A</v>
      </c>
      <c r="G392" t="e">
        <f>IF(D391=Lookup!$G$9,1,IF(D391=Lookup!$G$10,G391+1,""))</f>
        <v>#N/A</v>
      </c>
      <c r="H392" t="e">
        <f>IF(F392=1,  IF(D392=Lookup!$G$9,2,1),  IF(G392&lt;F392-1,0,1)  )</f>
        <v>#N/A</v>
      </c>
      <c r="I392" t="e">
        <f>IF(D392&lt;&gt;Lookup!$G$7,0,IF(INDEX(cards[name],MATCH(E392,cards[object_id order],0))&lt;&gt;"",0,1))</f>
        <v>#N/A</v>
      </c>
      <c r="J392" t="e">
        <f>IF(D392&lt;&gt;Lookup!$G$7,0,IF(INDEX(cards[icon],MATCH(E392,cards[object_id order],0))&lt;&gt;"",0,1))</f>
        <v>#N/A</v>
      </c>
      <c r="K392" t="e">
        <f>IF(D392=Lookup!$G$6,INDEX(cards[object_id],MATCH('card-code'!E392,cards[object_id order],0)),"")</f>
        <v>#N/A</v>
      </c>
      <c r="L392" t="e">
        <f>IF(D392=Lookup!$G$7,INDEX(cards[name],MATCH('card-code'!E392,cards[object_id order],0)),"")</f>
        <v>#N/A</v>
      </c>
      <c r="M392" t="e">
        <f>IF($D392=Lookup!$L$9,INDEX(cards[icon],MATCH($E392,cards[object_id order],0)),"")</f>
        <v>#N/A</v>
      </c>
      <c r="N392" t="e">
        <f>IF(OR(D392=Lookup!$G$10,D392=Lookup!$G$11),INDEX(cards[[1]:[25]],MATCH($E392,cards[object_id order],0),'card-code'!G392),"")</f>
        <v>#N/A</v>
      </c>
      <c r="O392" t="str">
        <f t="shared" si="19"/>
        <v/>
      </c>
      <c r="P392" s="8" t="e">
        <f>INDEX(Lookup!$H$5:$H$11,MATCH(D392,Lookup!$G$5:$G$11,0))&amp;
K392&amp;L392&amp;M392&amp;N392&amp;
INDEX(Lookup!$I$5:$I$11,MATCH(D392,Lookup!$G$5:$G$11,0))</f>
        <v>#N/A</v>
      </c>
    </row>
    <row r="393" spans="2:16" x14ac:dyDescent="0.45">
      <c r="B393">
        <f t="shared" si="18"/>
        <v>391</v>
      </c>
      <c r="C393" t="e">
        <f t="shared" si="20"/>
        <v>#N/A</v>
      </c>
      <c r="D393" t="e">
        <f>VLOOKUP(C393,Lookup!$F$5:$G$11,2,FALSE)</f>
        <v>#N/A</v>
      </c>
      <c r="E393" t="e">
        <f>IF(D393=Lookup!$G$5,E392+1,E392)</f>
        <v>#N/A</v>
      </c>
      <c r="F393" s="3" t="e">
        <f>INDEX(cards[Entities count],MATCH('card-code'!E393,cards[object_id order],0))</f>
        <v>#N/A</v>
      </c>
      <c r="G393" t="e">
        <f>IF(D392=Lookup!$G$9,1,IF(D392=Lookup!$G$10,G392+1,""))</f>
        <v>#N/A</v>
      </c>
      <c r="H393" t="e">
        <f>IF(F393=1,  IF(D393=Lookup!$G$9,2,1),  IF(G393&lt;F393-1,0,1)  )</f>
        <v>#N/A</v>
      </c>
      <c r="I393" t="e">
        <f>IF(D393&lt;&gt;Lookup!$G$7,0,IF(INDEX(cards[name],MATCH(E393,cards[object_id order],0))&lt;&gt;"",0,1))</f>
        <v>#N/A</v>
      </c>
      <c r="J393" t="e">
        <f>IF(D393&lt;&gt;Lookup!$G$7,0,IF(INDEX(cards[icon],MATCH(E393,cards[object_id order],0))&lt;&gt;"",0,1))</f>
        <v>#N/A</v>
      </c>
      <c r="K393" t="e">
        <f>IF(D393=Lookup!$G$6,INDEX(cards[object_id],MATCH('card-code'!E393,cards[object_id order],0)),"")</f>
        <v>#N/A</v>
      </c>
      <c r="L393" t="e">
        <f>IF(D393=Lookup!$G$7,INDEX(cards[name],MATCH('card-code'!E393,cards[object_id order],0)),"")</f>
        <v>#N/A</v>
      </c>
      <c r="M393" t="e">
        <f>IF($D393=Lookup!$L$9,INDEX(cards[icon],MATCH($E393,cards[object_id order],0)),"")</f>
        <v>#N/A</v>
      </c>
      <c r="N393" t="e">
        <f>IF(OR(D393=Lookup!$G$10,D393=Lookup!$G$11),INDEX(cards[[1]:[25]],MATCH($E393,cards[object_id order],0),'card-code'!G393),"")</f>
        <v>#N/A</v>
      </c>
      <c r="O393" t="str">
        <f t="shared" si="19"/>
        <v/>
      </c>
      <c r="P393" s="8" t="e">
        <f>INDEX(Lookup!$H$5:$H$11,MATCH(D393,Lookup!$G$5:$G$11,0))&amp;
K393&amp;L393&amp;M393&amp;N393&amp;
INDEX(Lookup!$I$5:$I$11,MATCH(D393,Lookup!$G$5:$G$11,0))</f>
        <v>#N/A</v>
      </c>
    </row>
    <row r="394" spans="2:16" x14ac:dyDescent="0.45">
      <c r="B394">
        <f t="shared" si="18"/>
        <v>392</v>
      </c>
      <c r="C394" t="e">
        <f t="shared" si="20"/>
        <v>#N/A</v>
      </c>
      <c r="D394" t="e">
        <f>VLOOKUP(C394,Lookup!$F$5:$G$11,2,FALSE)</f>
        <v>#N/A</v>
      </c>
      <c r="E394" t="e">
        <f>IF(D394=Lookup!$G$5,E393+1,E393)</f>
        <v>#N/A</v>
      </c>
      <c r="F394" s="3" t="e">
        <f>INDEX(cards[Entities count],MATCH('card-code'!E394,cards[object_id order],0))</f>
        <v>#N/A</v>
      </c>
      <c r="G394" t="e">
        <f>IF(D393=Lookup!$G$9,1,IF(D393=Lookup!$G$10,G393+1,""))</f>
        <v>#N/A</v>
      </c>
      <c r="H394" t="e">
        <f>IF(F394=1,  IF(D394=Lookup!$G$9,2,1),  IF(G394&lt;F394-1,0,1)  )</f>
        <v>#N/A</v>
      </c>
      <c r="I394" t="e">
        <f>IF(D394&lt;&gt;Lookup!$G$7,0,IF(INDEX(cards[name],MATCH(E394,cards[object_id order],0))&lt;&gt;"",0,1))</f>
        <v>#N/A</v>
      </c>
      <c r="J394" t="e">
        <f>IF(D394&lt;&gt;Lookup!$G$7,0,IF(INDEX(cards[icon],MATCH(E394,cards[object_id order],0))&lt;&gt;"",0,1))</f>
        <v>#N/A</v>
      </c>
      <c r="K394" t="e">
        <f>IF(D394=Lookup!$G$6,INDEX(cards[object_id],MATCH('card-code'!E394,cards[object_id order],0)),"")</f>
        <v>#N/A</v>
      </c>
      <c r="L394" t="e">
        <f>IF(D394=Lookup!$G$7,INDEX(cards[name],MATCH('card-code'!E394,cards[object_id order],0)),"")</f>
        <v>#N/A</v>
      </c>
      <c r="M394" t="e">
        <f>IF($D394=Lookup!$L$9,INDEX(cards[icon],MATCH($E394,cards[object_id order],0)),"")</f>
        <v>#N/A</v>
      </c>
      <c r="N394" t="e">
        <f>IF(OR(D394=Lookup!$G$10,D394=Lookup!$G$11),INDEX(cards[[1]:[25]],MATCH($E394,cards[object_id order],0),'card-code'!G394),"")</f>
        <v>#N/A</v>
      </c>
      <c r="O394" t="str">
        <f t="shared" si="19"/>
        <v/>
      </c>
      <c r="P394" s="8" t="e">
        <f>INDEX(Lookup!$H$5:$H$11,MATCH(D394,Lookup!$G$5:$G$11,0))&amp;
K394&amp;L394&amp;M394&amp;N394&amp;
INDEX(Lookup!$I$5:$I$11,MATCH(D394,Lookup!$G$5:$G$11,0))</f>
        <v>#N/A</v>
      </c>
    </row>
    <row r="395" spans="2:16" x14ac:dyDescent="0.45">
      <c r="B395">
        <f t="shared" si="18"/>
        <v>393</v>
      </c>
      <c r="C395" t="e">
        <f t="shared" si="20"/>
        <v>#N/A</v>
      </c>
      <c r="D395" t="e">
        <f>VLOOKUP(C395,Lookup!$F$5:$G$11,2,FALSE)</f>
        <v>#N/A</v>
      </c>
      <c r="E395" t="e">
        <f>IF(D395=Lookup!$G$5,E394+1,E394)</f>
        <v>#N/A</v>
      </c>
      <c r="F395" s="3" t="e">
        <f>INDEX(cards[Entities count],MATCH('card-code'!E395,cards[object_id order],0))</f>
        <v>#N/A</v>
      </c>
      <c r="G395" t="e">
        <f>IF(D394=Lookup!$G$9,1,IF(D394=Lookup!$G$10,G394+1,""))</f>
        <v>#N/A</v>
      </c>
      <c r="H395" t="e">
        <f>IF(F395=1,  IF(D395=Lookup!$G$9,2,1),  IF(G395&lt;F395-1,0,1)  )</f>
        <v>#N/A</v>
      </c>
      <c r="I395" t="e">
        <f>IF(D395&lt;&gt;Lookup!$G$7,0,IF(INDEX(cards[name],MATCH(E395,cards[object_id order],0))&lt;&gt;"",0,1))</f>
        <v>#N/A</v>
      </c>
      <c r="J395" t="e">
        <f>IF(D395&lt;&gt;Lookup!$G$7,0,IF(INDEX(cards[icon],MATCH(E395,cards[object_id order],0))&lt;&gt;"",0,1))</f>
        <v>#N/A</v>
      </c>
      <c r="K395" t="e">
        <f>IF(D395=Lookup!$G$6,INDEX(cards[object_id],MATCH('card-code'!E395,cards[object_id order],0)),"")</f>
        <v>#N/A</v>
      </c>
      <c r="L395" t="e">
        <f>IF(D395=Lookup!$G$7,INDEX(cards[name],MATCH('card-code'!E395,cards[object_id order],0)),"")</f>
        <v>#N/A</v>
      </c>
      <c r="M395" t="e">
        <f>IF($D395=Lookup!$L$9,INDEX(cards[icon],MATCH($E395,cards[object_id order],0)),"")</f>
        <v>#N/A</v>
      </c>
      <c r="N395" t="e">
        <f>IF(OR(D395=Lookup!$G$10,D395=Lookup!$G$11),INDEX(cards[[1]:[25]],MATCH($E395,cards[object_id order],0),'card-code'!G395),"")</f>
        <v>#N/A</v>
      </c>
      <c r="O395" t="str">
        <f t="shared" si="19"/>
        <v/>
      </c>
      <c r="P395" s="8" t="e">
        <f>INDEX(Lookup!$H$5:$H$11,MATCH(D395,Lookup!$G$5:$G$11,0))&amp;
K395&amp;L395&amp;M395&amp;N395&amp;
INDEX(Lookup!$I$5:$I$11,MATCH(D395,Lookup!$G$5:$G$11,0))</f>
        <v>#N/A</v>
      </c>
    </row>
    <row r="396" spans="2:16" x14ac:dyDescent="0.45">
      <c r="B396">
        <f t="shared" si="18"/>
        <v>394</v>
      </c>
      <c r="C396" t="e">
        <f t="shared" si="20"/>
        <v>#N/A</v>
      </c>
      <c r="D396" t="e">
        <f>VLOOKUP(C396,Lookup!$F$5:$G$11,2,FALSE)</f>
        <v>#N/A</v>
      </c>
      <c r="E396" t="e">
        <f>IF(D396=Lookup!$G$5,E395+1,E395)</f>
        <v>#N/A</v>
      </c>
      <c r="F396" s="3" t="e">
        <f>INDEX(cards[Entities count],MATCH('card-code'!E396,cards[object_id order],0))</f>
        <v>#N/A</v>
      </c>
      <c r="G396" t="e">
        <f>IF(D395=Lookup!$G$9,1,IF(D395=Lookup!$G$10,G395+1,""))</f>
        <v>#N/A</v>
      </c>
      <c r="H396" t="e">
        <f>IF(F396=1,  IF(D396=Lookup!$G$9,2,1),  IF(G396&lt;F396-1,0,1)  )</f>
        <v>#N/A</v>
      </c>
      <c r="I396" t="e">
        <f>IF(D396&lt;&gt;Lookup!$G$7,0,IF(INDEX(cards[name],MATCH(E396,cards[object_id order],0))&lt;&gt;"",0,1))</f>
        <v>#N/A</v>
      </c>
      <c r="J396" t="e">
        <f>IF(D396&lt;&gt;Lookup!$G$7,0,IF(INDEX(cards[icon],MATCH(E396,cards[object_id order],0))&lt;&gt;"",0,1))</f>
        <v>#N/A</v>
      </c>
      <c r="K396" t="e">
        <f>IF(D396=Lookup!$G$6,INDEX(cards[object_id],MATCH('card-code'!E396,cards[object_id order],0)),"")</f>
        <v>#N/A</v>
      </c>
      <c r="L396" t="e">
        <f>IF(D396=Lookup!$G$7,INDEX(cards[name],MATCH('card-code'!E396,cards[object_id order],0)),"")</f>
        <v>#N/A</v>
      </c>
      <c r="M396" t="e">
        <f>IF($D396=Lookup!$L$9,INDEX(cards[icon],MATCH($E396,cards[object_id order],0)),"")</f>
        <v>#N/A</v>
      </c>
      <c r="N396" t="e">
        <f>IF(OR(D396=Lookup!$G$10,D396=Lookup!$G$11),INDEX(cards[[1]:[25]],MATCH($E396,cards[object_id order],0),'card-code'!G396),"")</f>
        <v>#N/A</v>
      </c>
      <c r="O396" t="str">
        <f t="shared" si="19"/>
        <v/>
      </c>
      <c r="P396" s="8" t="e">
        <f>INDEX(Lookup!$H$5:$H$11,MATCH(D396,Lookup!$G$5:$G$11,0))&amp;
K396&amp;L396&amp;M396&amp;N396&amp;
INDEX(Lookup!$I$5:$I$11,MATCH(D396,Lookup!$G$5:$G$11,0))</f>
        <v>#N/A</v>
      </c>
    </row>
    <row r="397" spans="2:16" x14ac:dyDescent="0.45">
      <c r="B397">
        <f t="shared" si="18"/>
        <v>395</v>
      </c>
      <c r="C397" t="e">
        <f t="shared" si="20"/>
        <v>#N/A</v>
      </c>
      <c r="D397" t="e">
        <f>VLOOKUP(C397,Lookup!$F$5:$G$11,2,FALSE)</f>
        <v>#N/A</v>
      </c>
      <c r="E397" t="e">
        <f>IF(D397=Lookup!$G$5,E396+1,E396)</f>
        <v>#N/A</v>
      </c>
      <c r="F397" s="3" t="e">
        <f>INDEX(cards[Entities count],MATCH('card-code'!E397,cards[object_id order],0))</f>
        <v>#N/A</v>
      </c>
      <c r="G397" t="e">
        <f>IF(D396=Lookup!$G$9,1,IF(D396=Lookup!$G$10,G396+1,""))</f>
        <v>#N/A</v>
      </c>
      <c r="H397" t="e">
        <f>IF(F397=1,  IF(D397=Lookup!$G$9,2,1),  IF(G397&lt;F397-1,0,1)  )</f>
        <v>#N/A</v>
      </c>
      <c r="I397" t="e">
        <f>IF(D397&lt;&gt;Lookup!$G$7,0,IF(INDEX(cards[name],MATCH(E397,cards[object_id order],0))&lt;&gt;"",0,1))</f>
        <v>#N/A</v>
      </c>
      <c r="J397" t="e">
        <f>IF(D397&lt;&gt;Lookup!$G$7,0,IF(INDEX(cards[icon],MATCH(E397,cards[object_id order],0))&lt;&gt;"",0,1))</f>
        <v>#N/A</v>
      </c>
      <c r="K397" t="e">
        <f>IF(D397=Lookup!$G$6,INDEX(cards[object_id],MATCH('card-code'!E397,cards[object_id order],0)),"")</f>
        <v>#N/A</v>
      </c>
      <c r="L397" t="e">
        <f>IF(D397=Lookup!$G$7,INDEX(cards[name],MATCH('card-code'!E397,cards[object_id order],0)),"")</f>
        <v>#N/A</v>
      </c>
      <c r="M397" t="e">
        <f>IF($D397=Lookup!$L$9,INDEX(cards[icon],MATCH($E397,cards[object_id order],0)),"")</f>
        <v>#N/A</v>
      </c>
      <c r="N397" t="e">
        <f>IF(OR(D397=Lookup!$G$10,D397=Lookup!$G$11),INDEX(cards[[1]:[25]],MATCH($E397,cards[object_id order],0),'card-code'!G397),"")</f>
        <v>#N/A</v>
      </c>
      <c r="O397" t="str">
        <f t="shared" si="19"/>
        <v/>
      </c>
      <c r="P397" s="8" t="e">
        <f>INDEX(Lookup!$H$5:$H$11,MATCH(D397,Lookup!$G$5:$G$11,0))&amp;
K397&amp;L397&amp;M397&amp;N397&amp;
INDEX(Lookup!$I$5:$I$11,MATCH(D397,Lookup!$G$5:$G$11,0))</f>
        <v>#N/A</v>
      </c>
    </row>
    <row r="398" spans="2:16" x14ac:dyDescent="0.45">
      <c r="B398">
        <f t="shared" si="18"/>
        <v>396</v>
      </c>
      <c r="C398" t="e">
        <f t="shared" si="20"/>
        <v>#N/A</v>
      </c>
      <c r="D398" t="e">
        <f>VLOOKUP(C398,Lookup!$F$5:$G$11,2,FALSE)</f>
        <v>#N/A</v>
      </c>
      <c r="E398" t="e">
        <f>IF(D398=Lookup!$G$5,E397+1,E397)</f>
        <v>#N/A</v>
      </c>
      <c r="F398" s="3" t="e">
        <f>INDEX(cards[Entities count],MATCH('card-code'!E398,cards[object_id order],0))</f>
        <v>#N/A</v>
      </c>
      <c r="G398" t="e">
        <f>IF(D397=Lookup!$G$9,1,IF(D397=Lookup!$G$10,G397+1,""))</f>
        <v>#N/A</v>
      </c>
      <c r="H398" t="e">
        <f>IF(F398=1,  IF(D398=Lookup!$G$9,2,1),  IF(G398&lt;F398-1,0,1)  )</f>
        <v>#N/A</v>
      </c>
      <c r="I398" t="e">
        <f>IF(D398&lt;&gt;Lookup!$G$7,0,IF(INDEX(cards[name],MATCH(E398,cards[object_id order],0))&lt;&gt;"",0,1))</f>
        <v>#N/A</v>
      </c>
      <c r="J398" t="e">
        <f>IF(D398&lt;&gt;Lookup!$G$7,0,IF(INDEX(cards[icon],MATCH(E398,cards[object_id order],0))&lt;&gt;"",0,1))</f>
        <v>#N/A</v>
      </c>
      <c r="K398" t="e">
        <f>IF(D398=Lookup!$G$6,INDEX(cards[object_id],MATCH('card-code'!E398,cards[object_id order],0)),"")</f>
        <v>#N/A</v>
      </c>
      <c r="L398" t="e">
        <f>IF(D398=Lookup!$G$7,INDEX(cards[name],MATCH('card-code'!E398,cards[object_id order],0)),"")</f>
        <v>#N/A</v>
      </c>
      <c r="M398" t="e">
        <f>IF($D398=Lookup!$L$9,INDEX(cards[icon],MATCH($E398,cards[object_id order],0)),"")</f>
        <v>#N/A</v>
      </c>
      <c r="N398" t="e">
        <f>IF(OR(D398=Lookup!$G$10,D398=Lookup!$G$11),INDEX(cards[[1]:[25]],MATCH($E398,cards[object_id order],0),'card-code'!G398),"")</f>
        <v>#N/A</v>
      </c>
      <c r="O398" t="str">
        <f t="shared" si="19"/>
        <v/>
      </c>
      <c r="P398" s="8" t="e">
        <f>INDEX(Lookup!$H$5:$H$11,MATCH(D398,Lookup!$G$5:$G$11,0))&amp;
K398&amp;L398&amp;M398&amp;N398&amp;
INDEX(Lookup!$I$5:$I$11,MATCH(D398,Lookup!$G$5:$G$11,0))</f>
        <v>#N/A</v>
      </c>
    </row>
    <row r="399" spans="2:16" x14ac:dyDescent="0.45">
      <c r="B399">
        <f t="shared" si="18"/>
        <v>397</v>
      </c>
      <c r="C399" t="e">
        <f t="shared" si="20"/>
        <v>#N/A</v>
      </c>
      <c r="D399" t="e">
        <f>VLOOKUP(C399,Lookup!$F$5:$G$11,2,FALSE)</f>
        <v>#N/A</v>
      </c>
      <c r="E399" t="e">
        <f>IF(D399=Lookup!$G$5,E398+1,E398)</f>
        <v>#N/A</v>
      </c>
      <c r="F399" s="3" t="e">
        <f>INDEX(cards[Entities count],MATCH('card-code'!E399,cards[object_id order],0))</f>
        <v>#N/A</v>
      </c>
      <c r="G399" t="e">
        <f>IF(D398=Lookup!$G$9,1,IF(D398=Lookup!$G$10,G398+1,""))</f>
        <v>#N/A</v>
      </c>
      <c r="H399" t="e">
        <f>IF(F399=1,  IF(D399=Lookup!$G$9,2,1),  IF(G399&lt;F399-1,0,1)  )</f>
        <v>#N/A</v>
      </c>
      <c r="I399" t="e">
        <f>IF(D399&lt;&gt;Lookup!$G$7,0,IF(INDEX(cards[name],MATCH(E399,cards[object_id order],0))&lt;&gt;"",0,1))</f>
        <v>#N/A</v>
      </c>
      <c r="J399" t="e">
        <f>IF(D399&lt;&gt;Lookup!$G$7,0,IF(INDEX(cards[icon],MATCH(E399,cards[object_id order],0))&lt;&gt;"",0,1))</f>
        <v>#N/A</v>
      </c>
      <c r="K399" t="e">
        <f>IF(D399=Lookup!$G$6,INDEX(cards[object_id],MATCH('card-code'!E399,cards[object_id order],0)),"")</f>
        <v>#N/A</v>
      </c>
      <c r="L399" t="e">
        <f>IF(D399=Lookup!$G$7,INDEX(cards[name],MATCH('card-code'!E399,cards[object_id order],0)),"")</f>
        <v>#N/A</v>
      </c>
      <c r="M399" t="e">
        <f>IF($D399=Lookup!$L$9,INDEX(cards[icon],MATCH($E399,cards[object_id order],0)),"")</f>
        <v>#N/A</v>
      </c>
      <c r="N399" t="e">
        <f>IF(OR(D399=Lookup!$G$10,D399=Lookup!$G$11),INDEX(cards[[1]:[25]],MATCH($E399,cards[object_id order],0),'card-code'!G399),"")</f>
        <v>#N/A</v>
      </c>
      <c r="O399" t="str">
        <f t="shared" si="19"/>
        <v/>
      </c>
      <c r="P399" s="8" t="e">
        <f>INDEX(Lookup!$H$5:$H$11,MATCH(D399,Lookup!$G$5:$G$11,0))&amp;
K399&amp;L399&amp;M399&amp;N399&amp;
INDEX(Lookup!$I$5:$I$11,MATCH(D399,Lookup!$G$5:$G$11,0))</f>
        <v>#N/A</v>
      </c>
    </row>
    <row r="400" spans="2:16" x14ac:dyDescent="0.45">
      <c r="B400">
        <f t="shared" si="18"/>
        <v>398</v>
      </c>
      <c r="C400" t="e">
        <f t="shared" si="20"/>
        <v>#N/A</v>
      </c>
      <c r="D400" t="e">
        <f>VLOOKUP(C400,Lookup!$F$5:$G$11,2,FALSE)</f>
        <v>#N/A</v>
      </c>
      <c r="E400" t="e">
        <f>IF(D400=Lookup!$G$5,E399+1,E399)</f>
        <v>#N/A</v>
      </c>
      <c r="F400" s="3" t="e">
        <f>INDEX(cards[Entities count],MATCH('card-code'!E400,cards[object_id order],0))</f>
        <v>#N/A</v>
      </c>
      <c r="G400" t="e">
        <f>IF(D399=Lookup!$G$9,1,IF(D399=Lookup!$G$10,G399+1,""))</f>
        <v>#N/A</v>
      </c>
      <c r="H400" t="e">
        <f>IF(F400=1,  IF(D400=Lookup!$G$9,2,1),  IF(G400&lt;F400-1,0,1)  )</f>
        <v>#N/A</v>
      </c>
      <c r="I400" t="e">
        <f>IF(D400&lt;&gt;Lookup!$G$7,0,IF(INDEX(cards[name],MATCH(E400,cards[object_id order],0))&lt;&gt;"",0,1))</f>
        <v>#N/A</v>
      </c>
      <c r="J400" t="e">
        <f>IF(D400&lt;&gt;Lookup!$G$7,0,IF(INDEX(cards[icon],MATCH(E400,cards[object_id order],0))&lt;&gt;"",0,1))</f>
        <v>#N/A</v>
      </c>
      <c r="K400" t="e">
        <f>IF(D400=Lookup!$G$6,INDEX(cards[object_id],MATCH('card-code'!E400,cards[object_id order],0)),"")</f>
        <v>#N/A</v>
      </c>
      <c r="L400" t="e">
        <f>IF(D400=Lookup!$G$7,INDEX(cards[name],MATCH('card-code'!E400,cards[object_id order],0)),"")</f>
        <v>#N/A</v>
      </c>
      <c r="M400" t="e">
        <f>IF($D400=Lookup!$L$9,INDEX(cards[icon],MATCH($E400,cards[object_id order],0)),"")</f>
        <v>#N/A</v>
      </c>
      <c r="N400" t="e">
        <f>IF(OR(D400=Lookup!$G$10,D400=Lookup!$G$11),INDEX(cards[[1]:[25]],MATCH($E400,cards[object_id order],0),'card-code'!G400),"")</f>
        <v>#N/A</v>
      </c>
      <c r="O400" t="str">
        <f t="shared" si="19"/>
        <v/>
      </c>
      <c r="P400" s="8" t="e">
        <f>INDEX(Lookup!$H$5:$H$11,MATCH(D400,Lookup!$G$5:$G$11,0))&amp;
K400&amp;L400&amp;M400&amp;N400&amp;
INDEX(Lookup!$I$5:$I$11,MATCH(D400,Lookup!$G$5:$G$11,0))</f>
        <v>#N/A</v>
      </c>
    </row>
    <row r="401" spans="2:16" x14ac:dyDescent="0.45">
      <c r="B401">
        <f t="shared" si="18"/>
        <v>399</v>
      </c>
      <c r="C401" t="e">
        <f t="shared" si="20"/>
        <v>#N/A</v>
      </c>
      <c r="D401" t="e">
        <f>VLOOKUP(C401,Lookup!$F$5:$G$11,2,FALSE)</f>
        <v>#N/A</v>
      </c>
      <c r="E401" t="e">
        <f>IF(D401=Lookup!$G$5,E400+1,E400)</f>
        <v>#N/A</v>
      </c>
      <c r="F401" s="3" t="e">
        <f>INDEX(cards[Entities count],MATCH('card-code'!E401,cards[object_id order],0))</f>
        <v>#N/A</v>
      </c>
      <c r="G401" t="e">
        <f>IF(D400=Lookup!$G$9,1,IF(D400=Lookup!$G$10,G400+1,""))</f>
        <v>#N/A</v>
      </c>
      <c r="H401" t="e">
        <f>IF(F401=1,  IF(D401=Lookup!$G$9,2,1),  IF(G401&lt;F401-1,0,1)  )</f>
        <v>#N/A</v>
      </c>
      <c r="I401" t="e">
        <f>IF(D401&lt;&gt;Lookup!$G$7,0,IF(INDEX(cards[name],MATCH(E401,cards[object_id order],0))&lt;&gt;"",0,1))</f>
        <v>#N/A</v>
      </c>
      <c r="J401" t="e">
        <f>IF(D401&lt;&gt;Lookup!$G$7,0,IF(INDEX(cards[icon],MATCH(E401,cards[object_id order],0))&lt;&gt;"",0,1))</f>
        <v>#N/A</v>
      </c>
      <c r="K401" t="e">
        <f>IF(D401=Lookup!$G$6,INDEX(cards[object_id],MATCH('card-code'!E401,cards[object_id order],0)),"")</f>
        <v>#N/A</v>
      </c>
      <c r="L401" t="e">
        <f>IF(D401=Lookup!$G$7,INDEX(cards[name],MATCH('card-code'!E401,cards[object_id order],0)),"")</f>
        <v>#N/A</v>
      </c>
      <c r="M401" t="e">
        <f>IF($D401=Lookup!$L$9,INDEX(cards[icon],MATCH($E401,cards[object_id order],0)),"")</f>
        <v>#N/A</v>
      </c>
      <c r="N401" t="e">
        <f>IF(OR(D401=Lookup!$G$10,D401=Lookup!$G$11),INDEX(cards[[1]:[25]],MATCH($E401,cards[object_id order],0),'card-code'!G401),"")</f>
        <v>#N/A</v>
      </c>
      <c r="O401" t="str">
        <f t="shared" si="19"/>
        <v/>
      </c>
      <c r="P401" s="8" t="e">
        <f>INDEX(Lookup!$H$5:$H$11,MATCH(D401,Lookup!$G$5:$G$11,0))&amp;
K401&amp;L401&amp;M401&amp;N401&amp;
INDEX(Lookup!$I$5:$I$11,MATCH(D401,Lookup!$G$5:$G$11,0))</f>
        <v>#N/A</v>
      </c>
    </row>
    <row r="402" spans="2:16" x14ac:dyDescent="0.45">
      <c r="B402">
        <f t="shared" si="18"/>
        <v>400</v>
      </c>
      <c r="C402" t="e">
        <f t="shared" si="20"/>
        <v>#N/A</v>
      </c>
      <c r="D402" t="e">
        <f>VLOOKUP(C402,Lookup!$F$5:$G$11,2,FALSE)</f>
        <v>#N/A</v>
      </c>
      <c r="E402" t="e">
        <f>IF(D402=Lookup!$G$5,E401+1,E401)</f>
        <v>#N/A</v>
      </c>
      <c r="F402" s="3" t="e">
        <f>INDEX(cards[Entities count],MATCH('card-code'!E402,cards[object_id order],0))</f>
        <v>#N/A</v>
      </c>
      <c r="G402" t="e">
        <f>IF(D401=Lookup!$G$9,1,IF(D401=Lookup!$G$10,G401+1,""))</f>
        <v>#N/A</v>
      </c>
      <c r="H402" t="e">
        <f>IF(F402=1,  IF(D402=Lookup!$G$9,2,1),  IF(G402&lt;F402-1,0,1)  )</f>
        <v>#N/A</v>
      </c>
      <c r="I402" t="e">
        <f>IF(D402&lt;&gt;Lookup!$G$7,0,IF(INDEX(cards[name],MATCH(E402,cards[object_id order],0))&lt;&gt;"",0,1))</f>
        <v>#N/A</v>
      </c>
      <c r="J402" t="e">
        <f>IF(D402&lt;&gt;Lookup!$G$7,0,IF(INDEX(cards[icon],MATCH(E402,cards[object_id order],0))&lt;&gt;"",0,1))</f>
        <v>#N/A</v>
      </c>
      <c r="K402" t="e">
        <f>IF(D402=Lookup!$G$6,INDEX(cards[object_id],MATCH('card-code'!E402,cards[object_id order],0)),"")</f>
        <v>#N/A</v>
      </c>
      <c r="L402" t="e">
        <f>IF(D402=Lookup!$G$7,INDEX(cards[name],MATCH('card-code'!E402,cards[object_id order],0)),"")</f>
        <v>#N/A</v>
      </c>
      <c r="M402" t="e">
        <f>IF($D402=Lookup!$L$9,INDEX(cards[icon],MATCH($E402,cards[object_id order],0)),"")</f>
        <v>#N/A</v>
      </c>
      <c r="N402" t="e">
        <f>IF(OR(D402=Lookup!$G$10,D402=Lookup!$G$11),INDEX(cards[[1]:[25]],MATCH($E402,cards[object_id order],0),'card-code'!G402),"")</f>
        <v>#N/A</v>
      </c>
      <c r="O402" t="str">
        <f t="shared" si="19"/>
        <v/>
      </c>
      <c r="P402" s="8" t="e">
        <f>INDEX(Lookup!$H$5:$H$11,MATCH(D402,Lookup!$G$5:$G$11,0))&amp;
K402&amp;L402&amp;M402&amp;N402&amp;
INDEX(Lookup!$I$5:$I$11,MATCH(D402,Lookup!$G$5:$G$11,0))</f>
        <v>#N/A</v>
      </c>
    </row>
    <row r="403" spans="2:16" x14ac:dyDescent="0.45">
      <c r="B403">
        <f t="shared" si="18"/>
        <v>401</v>
      </c>
      <c r="C403" t="e">
        <f t="shared" si="20"/>
        <v>#N/A</v>
      </c>
      <c r="D403" t="e">
        <f>VLOOKUP(C403,Lookup!$F$5:$G$11,2,FALSE)</f>
        <v>#N/A</v>
      </c>
      <c r="E403" t="e">
        <f>IF(D403=Lookup!$G$5,E402+1,E402)</f>
        <v>#N/A</v>
      </c>
      <c r="F403" s="3" t="e">
        <f>INDEX(cards[Entities count],MATCH('card-code'!E403,cards[object_id order],0))</f>
        <v>#N/A</v>
      </c>
      <c r="G403" t="e">
        <f>IF(D402=Lookup!$G$9,1,IF(D402=Lookup!$G$10,G402+1,""))</f>
        <v>#N/A</v>
      </c>
      <c r="H403" t="e">
        <f>IF(F403=1,  IF(D403=Lookup!$G$9,2,1),  IF(G403&lt;F403-1,0,1)  )</f>
        <v>#N/A</v>
      </c>
      <c r="I403" t="e">
        <f>IF(D403&lt;&gt;Lookup!$G$7,0,IF(INDEX(cards[name],MATCH(E403,cards[object_id order],0))&lt;&gt;"",0,1))</f>
        <v>#N/A</v>
      </c>
      <c r="J403" t="e">
        <f>IF(D403&lt;&gt;Lookup!$G$7,0,IF(INDEX(cards[icon],MATCH(E403,cards[object_id order],0))&lt;&gt;"",0,1))</f>
        <v>#N/A</v>
      </c>
      <c r="K403" t="e">
        <f>IF(D403=Lookup!$G$6,INDEX(cards[object_id],MATCH('card-code'!E403,cards[object_id order],0)),"")</f>
        <v>#N/A</v>
      </c>
      <c r="L403" t="e">
        <f>IF(D403=Lookup!$G$7,INDEX(cards[name],MATCH('card-code'!E403,cards[object_id order],0)),"")</f>
        <v>#N/A</v>
      </c>
      <c r="M403" t="e">
        <f>IF($D403=Lookup!$L$9,INDEX(cards[icon],MATCH($E403,cards[object_id order],0)),"")</f>
        <v>#N/A</v>
      </c>
      <c r="N403" t="e">
        <f>IF(OR(D403=Lookup!$G$10,D403=Lookup!$G$11),INDEX(cards[[1]:[25]],MATCH($E403,cards[object_id order],0),'card-code'!G403),"")</f>
        <v>#N/A</v>
      </c>
      <c r="O403" t="str">
        <f t="shared" si="19"/>
        <v/>
      </c>
      <c r="P403" s="8" t="e">
        <f>INDEX(Lookup!$H$5:$H$11,MATCH(D403,Lookup!$G$5:$G$11,0))&amp;
K403&amp;L403&amp;M403&amp;N403&amp;
INDEX(Lookup!$I$5:$I$11,MATCH(D403,Lookup!$G$5:$G$11,0))</f>
        <v>#N/A</v>
      </c>
    </row>
    <row r="404" spans="2:16" x14ac:dyDescent="0.45">
      <c r="B404">
        <f t="shared" si="18"/>
        <v>402</v>
      </c>
      <c r="C404" t="e">
        <f t="shared" si="20"/>
        <v>#N/A</v>
      </c>
      <c r="D404" t="e">
        <f>VLOOKUP(C404,Lookup!$F$5:$G$11,2,FALSE)</f>
        <v>#N/A</v>
      </c>
      <c r="E404" t="e">
        <f>IF(D404=Lookup!$G$5,E403+1,E403)</f>
        <v>#N/A</v>
      </c>
      <c r="F404" s="3" t="e">
        <f>INDEX(cards[Entities count],MATCH('card-code'!E404,cards[object_id order],0))</f>
        <v>#N/A</v>
      </c>
      <c r="G404" t="e">
        <f>IF(D403=Lookup!$G$9,1,IF(D403=Lookup!$G$10,G403+1,""))</f>
        <v>#N/A</v>
      </c>
      <c r="H404" t="e">
        <f>IF(F404=1,  IF(D404=Lookup!$G$9,2,1),  IF(G404&lt;F404-1,0,1)  )</f>
        <v>#N/A</v>
      </c>
      <c r="I404" t="e">
        <f>IF(D404&lt;&gt;Lookup!$G$7,0,IF(INDEX(cards[name],MATCH(E404,cards[object_id order],0))&lt;&gt;"",0,1))</f>
        <v>#N/A</v>
      </c>
      <c r="J404" t="e">
        <f>IF(D404&lt;&gt;Lookup!$G$7,0,IF(INDEX(cards[icon],MATCH(E404,cards[object_id order],0))&lt;&gt;"",0,1))</f>
        <v>#N/A</v>
      </c>
      <c r="K404" t="e">
        <f>IF(D404=Lookup!$G$6,INDEX(cards[object_id],MATCH('card-code'!E404,cards[object_id order],0)),"")</f>
        <v>#N/A</v>
      </c>
      <c r="L404" t="e">
        <f>IF(D404=Lookup!$G$7,INDEX(cards[name],MATCH('card-code'!E404,cards[object_id order],0)),"")</f>
        <v>#N/A</v>
      </c>
      <c r="M404" t="e">
        <f>IF($D404=Lookup!$L$9,INDEX(cards[icon],MATCH($E404,cards[object_id order],0)),"")</f>
        <v>#N/A</v>
      </c>
      <c r="N404" t="e">
        <f>IF(OR(D404=Lookup!$G$10,D404=Lookup!$G$11),INDEX(cards[[1]:[25]],MATCH($E404,cards[object_id order],0),'card-code'!G404),"")</f>
        <v>#N/A</v>
      </c>
      <c r="O404" t="str">
        <f t="shared" si="19"/>
        <v/>
      </c>
      <c r="P404" s="8" t="e">
        <f>INDEX(Lookup!$H$5:$H$11,MATCH(D404,Lookup!$G$5:$G$11,0))&amp;
K404&amp;L404&amp;M404&amp;N404&amp;
INDEX(Lookup!$I$5:$I$11,MATCH(D404,Lookup!$G$5:$G$11,0))</f>
        <v>#N/A</v>
      </c>
    </row>
    <row r="405" spans="2:16" x14ac:dyDescent="0.45">
      <c r="B405">
        <f t="shared" si="18"/>
        <v>403</v>
      </c>
      <c r="C405" t="e">
        <f t="shared" si="20"/>
        <v>#N/A</v>
      </c>
      <c r="D405" t="e">
        <f>VLOOKUP(C405,Lookup!$F$5:$G$11,2,FALSE)</f>
        <v>#N/A</v>
      </c>
      <c r="E405" t="e">
        <f>IF(D405=Lookup!$G$5,E404+1,E404)</f>
        <v>#N/A</v>
      </c>
      <c r="F405" s="3" t="e">
        <f>INDEX(cards[Entities count],MATCH('card-code'!E405,cards[object_id order],0))</f>
        <v>#N/A</v>
      </c>
      <c r="G405" t="e">
        <f>IF(D404=Lookup!$G$9,1,IF(D404=Lookup!$G$10,G404+1,""))</f>
        <v>#N/A</v>
      </c>
      <c r="H405" t="e">
        <f>IF(F405=1,  IF(D405=Lookup!$G$9,2,1),  IF(G405&lt;F405-1,0,1)  )</f>
        <v>#N/A</v>
      </c>
      <c r="I405" t="e">
        <f>IF(D405&lt;&gt;Lookup!$G$7,0,IF(INDEX(cards[name],MATCH(E405,cards[object_id order],0))&lt;&gt;"",0,1))</f>
        <v>#N/A</v>
      </c>
      <c r="J405" t="e">
        <f>IF(D405&lt;&gt;Lookup!$G$7,0,IF(INDEX(cards[icon],MATCH(E405,cards[object_id order],0))&lt;&gt;"",0,1))</f>
        <v>#N/A</v>
      </c>
      <c r="K405" t="e">
        <f>IF(D405=Lookup!$G$6,INDEX(cards[object_id],MATCH('card-code'!E405,cards[object_id order],0)),"")</f>
        <v>#N/A</v>
      </c>
      <c r="L405" t="e">
        <f>IF(D405=Lookup!$G$7,INDEX(cards[name],MATCH('card-code'!E405,cards[object_id order],0)),"")</f>
        <v>#N/A</v>
      </c>
      <c r="M405" t="e">
        <f>IF($D405=Lookup!$L$9,INDEX(cards[icon],MATCH($E405,cards[object_id order],0)),"")</f>
        <v>#N/A</v>
      </c>
      <c r="N405" t="e">
        <f>IF(OR(D405=Lookup!$G$10,D405=Lookup!$G$11),INDEX(cards[[1]:[25]],MATCH($E405,cards[object_id order],0),'card-code'!G405),"")</f>
        <v>#N/A</v>
      </c>
      <c r="O405" t="str">
        <f t="shared" si="19"/>
        <v/>
      </c>
      <c r="P405" s="8" t="e">
        <f>INDEX(Lookup!$H$5:$H$11,MATCH(D405,Lookup!$G$5:$G$11,0))&amp;
K405&amp;L405&amp;M405&amp;N405&amp;
INDEX(Lookup!$I$5:$I$11,MATCH(D405,Lookup!$G$5:$G$11,0))</f>
        <v>#N/A</v>
      </c>
    </row>
    <row r="406" spans="2:16" x14ac:dyDescent="0.45">
      <c r="B406">
        <f t="shared" si="18"/>
        <v>404</v>
      </c>
      <c r="C406" t="e">
        <f t="shared" si="20"/>
        <v>#N/A</v>
      </c>
      <c r="D406" t="e">
        <f>VLOOKUP(C406,Lookup!$F$5:$G$11,2,FALSE)</f>
        <v>#N/A</v>
      </c>
      <c r="E406" t="e">
        <f>IF(D406=Lookup!$G$5,E405+1,E405)</f>
        <v>#N/A</v>
      </c>
      <c r="F406" s="3" t="e">
        <f>INDEX(cards[Entities count],MATCH('card-code'!E406,cards[object_id order],0))</f>
        <v>#N/A</v>
      </c>
      <c r="G406" t="e">
        <f>IF(D405=Lookup!$G$9,1,IF(D405=Lookup!$G$10,G405+1,""))</f>
        <v>#N/A</v>
      </c>
      <c r="H406" t="e">
        <f>IF(F406=1,  IF(D406=Lookup!$G$9,2,1),  IF(G406&lt;F406-1,0,1)  )</f>
        <v>#N/A</v>
      </c>
      <c r="I406" t="e">
        <f>IF(D406&lt;&gt;Lookup!$G$7,0,IF(INDEX(cards[name],MATCH(E406,cards[object_id order],0))&lt;&gt;"",0,1))</f>
        <v>#N/A</v>
      </c>
      <c r="J406" t="e">
        <f>IF(D406&lt;&gt;Lookup!$G$7,0,IF(INDEX(cards[icon],MATCH(E406,cards[object_id order],0))&lt;&gt;"",0,1))</f>
        <v>#N/A</v>
      </c>
      <c r="K406" t="e">
        <f>IF(D406=Lookup!$G$6,INDEX(cards[object_id],MATCH('card-code'!E406,cards[object_id order],0)),"")</f>
        <v>#N/A</v>
      </c>
      <c r="L406" t="e">
        <f>IF(D406=Lookup!$G$7,INDEX(cards[name],MATCH('card-code'!E406,cards[object_id order],0)),"")</f>
        <v>#N/A</v>
      </c>
      <c r="M406" t="e">
        <f>IF($D406=Lookup!$L$9,INDEX(cards[icon],MATCH($E406,cards[object_id order],0)),"")</f>
        <v>#N/A</v>
      </c>
      <c r="N406" t="e">
        <f>IF(OR(D406=Lookup!$G$10,D406=Lookup!$G$11),INDEX(cards[[1]:[25]],MATCH($E406,cards[object_id order],0),'card-code'!G406),"")</f>
        <v>#N/A</v>
      </c>
      <c r="O406" t="str">
        <f t="shared" si="19"/>
        <v/>
      </c>
      <c r="P406" s="8" t="e">
        <f>INDEX(Lookup!$H$5:$H$11,MATCH(D406,Lookup!$G$5:$G$11,0))&amp;
K406&amp;L406&amp;M406&amp;N406&amp;
INDEX(Lookup!$I$5:$I$11,MATCH(D406,Lookup!$G$5:$G$11,0))</f>
        <v>#N/A</v>
      </c>
    </row>
    <row r="407" spans="2:16" x14ac:dyDescent="0.45">
      <c r="B407">
        <f t="shared" si="18"/>
        <v>405</v>
      </c>
      <c r="C407" t="e">
        <f t="shared" si="20"/>
        <v>#N/A</v>
      </c>
      <c r="D407" t="e">
        <f>VLOOKUP(C407,Lookup!$F$5:$G$11,2,FALSE)</f>
        <v>#N/A</v>
      </c>
      <c r="E407" t="e">
        <f>IF(D407=Lookup!$G$5,E406+1,E406)</f>
        <v>#N/A</v>
      </c>
      <c r="F407" s="3" t="e">
        <f>INDEX(cards[Entities count],MATCH('card-code'!E407,cards[object_id order],0))</f>
        <v>#N/A</v>
      </c>
      <c r="G407" t="e">
        <f>IF(D406=Lookup!$G$9,1,IF(D406=Lookup!$G$10,G406+1,""))</f>
        <v>#N/A</v>
      </c>
      <c r="H407" t="e">
        <f>IF(F407=1,  IF(D407=Lookup!$G$9,2,1),  IF(G407&lt;F407-1,0,1)  )</f>
        <v>#N/A</v>
      </c>
      <c r="I407" t="e">
        <f>IF(D407&lt;&gt;Lookup!$G$7,0,IF(INDEX(cards[name],MATCH(E407,cards[object_id order],0))&lt;&gt;"",0,1))</f>
        <v>#N/A</v>
      </c>
      <c r="J407" t="e">
        <f>IF(D407&lt;&gt;Lookup!$G$7,0,IF(INDEX(cards[icon],MATCH(E407,cards[object_id order],0))&lt;&gt;"",0,1))</f>
        <v>#N/A</v>
      </c>
      <c r="K407" t="e">
        <f>IF(D407=Lookup!$G$6,INDEX(cards[object_id],MATCH('card-code'!E407,cards[object_id order],0)),"")</f>
        <v>#N/A</v>
      </c>
      <c r="L407" t="e">
        <f>IF(D407=Lookup!$G$7,INDEX(cards[name],MATCH('card-code'!E407,cards[object_id order],0)),"")</f>
        <v>#N/A</v>
      </c>
      <c r="M407" t="e">
        <f>IF($D407=Lookup!$L$9,INDEX(cards[icon],MATCH($E407,cards[object_id order],0)),"")</f>
        <v>#N/A</v>
      </c>
      <c r="N407" t="e">
        <f>IF(OR(D407=Lookup!$G$10,D407=Lookup!$G$11),INDEX(cards[[1]:[25]],MATCH($E407,cards[object_id order],0),'card-code'!G407),"")</f>
        <v>#N/A</v>
      </c>
      <c r="O407" t="str">
        <f t="shared" si="19"/>
        <v/>
      </c>
      <c r="P407" s="8" t="e">
        <f>INDEX(Lookup!$H$5:$H$11,MATCH(D407,Lookup!$G$5:$G$11,0))&amp;
K407&amp;L407&amp;M407&amp;N407&amp;
INDEX(Lookup!$I$5:$I$11,MATCH(D407,Lookup!$G$5:$G$11,0))</f>
        <v>#N/A</v>
      </c>
    </row>
    <row r="408" spans="2:16" x14ac:dyDescent="0.45">
      <c r="B408">
        <f t="shared" si="18"/>
        <v>406</v>
      </c>
      <c r="C408" t="e">
        <f t="shared" si="20"/>
        <v>#N/A</v>
      </c>
      <c r="D408" t="e">
        <f>VLOOKUP(C408,Lookup!$F$5:$G$11,2,FALSE)</f>
        <v>#N/A</v>
      </c>
      <c r="E408" t="e">
        <f>IF(D408=Lookup!$G$5,E407+1,E407)</f>
        <v>#N/A</v>
      </c>
      <c r="F408" s="3" t="e">
        <f>INDEX(cards[Entities count],MATCH('card-code'!E408,cards[object_id order],0))</f>
        <v>#N/A</v>
      </c>
      <c r="G408" t="e">
        <f>IF(D407=Lookup!$G$9,1,IF(D407=Lookup!$G$10,G407+1,""))</f>
        <v>#N/A</v>
      </c>
      <c r="H408" t="e">
        <f>IF(F408=1,  IF(D408=Lookup!$G$9,2,1),  IF(G408&lt;F408-1,0,1)  )</f>
        <v>#N/A</v>
      </c>
      <c r="I408" t="e">
        <f>IF(D408&lt;&gt;Lookup!$G$7,0,IF(INDEX(cards[name],MATCH(E408,cards[object_id order],0))&lt;&gt;"",0,1))</f>
        <v>#N/A</v>
      </c>
      <c r="J408" t="e">
        <f>IF(D408&lt;&gt;Lookup!$G$7,0,IF(INDEX(cards[icon],MATCH(E408,cards[object_id order],0))&lt;&gt;"",0,1))</f>
        <v>#N/A</v>
      </c>
      <c r="K408" t="e">
        <f>IF(D408=Lookup!$G$6,INDEX(cards[object_id],MATCH('card-code'!E408,cards[object_id order],0)),"")</f>
        <v>#N/A</v>
      </c>
      <c r="L408" t="e">
        <f>IF(D408=Lookup!$G$7,INDEX(cards[name],MATCH('card-code'!E408,cards[object_id order],0)),"")</f>
        <v>#N/A</v>
      </c>
      <c r="M408" t="e">
        <f>IF($D408=Lookup!$L$9,INDEX(cards[icon],MATCH($E408,cards[object_id order],0)),"")</f>
        <v>#N/A</v>
      </c>
      <c r="N408" t="e">
        <f>IF(OR(D408=Lookup!$G$10,D408=Lookup!$G$11),INDEX(cards[[1]:[25]],MATCH($E408,cards[object_id order],0),'card-code'!G408),"")</f>
        <v>#N/A</v>
      </c>
      <c r="O408" t="str">
        <f t="shared" si="19"/>
        <v/>
      </c>
      <c r="P408" s="8" t="e">
        <f>INDEX(Lookup!$H$5:$H$11,MATCH(D408,Lookup!$G$5:$G$11,0))&amp;
K408&amp;L408&amp;M408&amp;N408&amp;
INDEX(Lookup!$I$5:$I$11,MATCH(D408,Lookup!$G$5:$G$11,0))</f>
        <v>#N/A</v>
      </c>
    </row>
    <row r="409" spans="2:16" x14ac:dyDescent="0.45">
      <c r="B409">
        <f t="shared" si="18"/>
        <v>407</v>
      </c>
      <c r="C409" t="e">
        <f t="shared" si="20"/>
        <v>#N/A</v>
      </c>
      <c r="D409" t="e">
        <f>VLOOKUP(C409,Lookup!$F$5:$G$11,2,FALSE)</f>
        <v>#N/A</v>
      </c>
      <c r="E409" t="e">
        <f>IF(D409=Lookup!$G$5,E408+1,E408)</f>
        <v>#N/A</v>
      </c>
      <c r="F409" s="3" t="e">
        <f>INDEX(cards[Entities count],MATCH('card-code'!E409,cards[object_id order],0))</f>
        <v>#N/A</v>
      </c>
      <c r="G409" t="e">
        <f>IF(D408=Lookup!$G$9,1,IF(D408=Lookup!$G$10,G408+1,""))</f>
        <v>#N/A</v>
      </c>
      <c r="H409" t="e">
        <f>IF(F409=1,  IF(D409=Lookup!$G$9,2,1),  IF(G409&lt;F409-1,0,1)  )</f>
        <v>#N/A</v>
      </c>
      <c r="I409" t="e">
        <f>IF(D409&lt;&gt;Lookup!$G$7,0,IF(INDEX(cards[name],MATCH(E409,cards[object_id order],0))&lt;&gt;"",0,1))</f>
        <v>#N/A</v>
      </c>
      <c r="J409" t="e">
        <f>IF(D409&lt;&gt;Lookup!$G$7,0,IF(INDEX(cards[icon],MATCH(E409,cards[object_id order],0))&lt;&gt;"",0,1))</f>
        <v>#N/A</v>
      </c>
      <c r="K409" t="e">
        <f>IF(D409=Lookup!$G$6,INDEX(cards[object_id],MATCH('card-code'!E409,cards[object_id order],0)),"")</f>
        <v>#N/A</v>
      </c>
      <c r="L409" t="e">
        <f>IF(D409=Lookup!$G$7,INDEX(cards[name],MATCH('card-code'!E409,cards[object_id order],0)),"")</f>
        <v>#N/A</v>
      </c>
      <c r="M409" t="e">
        <f>IF($D409=Lookup!$L$9,INDEX(cards[icon],MATCH($E409,cards[object_id order],0)),"")</f>
        <v>#N/A</v>
      </c>
      <c r="N409" t="e">
        <f>IF(OR(D409=Lookup!$G$10,D409=Lookup!$G$11),INDEX(cards[[1]:[25]],MATCH($E409,cards[object_id order],0),'card-code'!G409),"")</f>
        <v>#N/A</v>
      </c>
      <c r="O409" t="str">
        <f t="shared" si="19"/>
        <v/>
      </c>
      <c r="P409" s="8" t="e">
        <f>INDEX(Lookup!$H$5:$H$11,MATCH(D409,Lookup!$G$5:$G$11,0))&amp;
K409&amp;L409&amp;M409&amp;N409&amp;
INDEX(Lookup!$I$5:$I$11,MATCH(D409,Lookup!$G$5:$G$11,0))</f>
        <v>#N/A</v>
      </c>
    </row>
    <row r="410" spans="2:16" x14ac:dyDescent="0.45">
      <c r="B410">
        <f t="shared" si="18"/>
        <v>408</v>
      </c>
      <c r="C410" t="e">
        <f t="shared" si="20"/>
        <v>#N/A</v>
      </c>
      <c r="D410" t="e">
        <f>VLOOKUP(C410,Lookup!$F$5:$G$11,2,FALSE)</f>
        <v>#N/A</v>
      </c>
      <c r="E410" t="e">
        <f>IF(D410=Lookup!$G$5,E409+1,E409)</f>
        <v>#N/A</v>
      </c>
      <c r="F410" s="3" t="e">
        <f>INDEX(cards[Entities count],MATCH('card-code'!E410,cards[object_id order],0))</f>
        <v>#N/A</v>
      </c>
      <c r="G410" t="e">
        <f>IF(D409=Lookup!$G$9,1,IF(D409=Lookup!$G$10,G409+1,""))</f>
        <v>#N/A</v>
      </c>
      <c r="H410" t="e">
        <f>IF(F410=1,  IF(D410=Lookup!$G$9,2,1),  IF(G410&lt;F410-1,0,1)  )</f>
        <v>#N/A</v>
      </c>
      <c r="I410" t="e">
        <f>IF(D410&lt;&gt;Lookup!$G$7,0,IF(INDEX(cards[name],MATCH(E410,cards[object_id order],0))&lt;&gt;"",0,1))</f>
        <v>#N/A</v>
      </c>
      <c r="J410" t="e">
        <f>IF(D410&lt;&gt;Lookup!$G$7,0,IF(INDEX(cards[icon],MATCH(E410,cards[object_id order],0))&lt;&gt;"",0,1))</f>
        <v>#N/A</v>
      </c>
      <c r="K410" t="e">
        <f>IF(D410=Lookup!$G$6,INDEX(cards[object_id],MATCH('card-code'!E410,cards[object_id order],0)),"")</f>
        <v>#N/A</v>
      </c>
      <c r="L410" t="e">
        <f>IF(D410=Lookup!$G$7,INDEX(cards[name],MATCH('card-code'!E410,cards[object_id order],0)),"")</f>
        <v>#N/A</v>
      </c>
      <c r="M410" t="e">
        <f>IF($D410=Lookup!$L$9,INDEX(cards[icon],MATCH($E410,cards[object_id order],0)),"")</f>
        <v>#N/A</v>
      </c>
      <c r="N410" t="e">
        <f>IF(OR(D410=Lookup!$G$10,D410=Lookup!$G$11),INDEX(cards[[1]:[25]],MATCH($E410,cards[object_id order],0),'card-code'!G410),"")</f>
        <v>#N/A</v>
      </c>
      <c r="O410" t="str">
        <f t="shared" si="19"/>
        <v/>
      </c>
      <c r="P410" s="8" t="e">
        <f>INDEX(Lookup!$H$5:$H$11,MATCH(D410,Lookup!$G$5:$G$11,0))&amp;
K410&amp;L410&amp;M410&amp;N410&amp;
INDEX(Lookup!$I$5:$I$11,MATCH(D410,Lookup!$G$5:$G$11,0))</f>
        <v>#N/A</v>
      </c>
    </row>
    <row r="411" spans="2:16" x14ac:dyDescent="0.45">
      <c r="B411">
        <f t="shared" si="18"/>
        <v>409</v>
      </c>
      <c r="C411" t="e">
        <f t="shared" si="20"/>
        <v>#N/A</v>
      </c>
      <c r="D411" t="e">
        <f>VLOOKUP(C411,Lookup!$F$5:$G$11,2,FALSE)</f>
        <v>#N/A</v>
      </c>
      <c r="E411" t="e">
        <f>IF(D411=Lookup!$G$5,E410+1,E410)</f>
        <v>#N/A</v>
      </c>
      <c r="F411" s="3" t="e">
        <f>INDEX(cards[Entities count],MATCH('card-code'!E411,cards[object_id order],0))</f>
        <v>#N/A</v>
      </c>
      <c r="G411" t="e">
        <f>IF(D410=Lookup!$G$9,1,IF(D410=Lookup!$G$10,G410+1,""))</f>
        <v>#N/A</v>
      </c>
      <c r="H411" t="e">
        <f>IF(F411=1,  IF(D411=Lookup!$G$9,2,1),  IF(G411&lt;F411-1,0,1)  )</f>
        <v>#N/A</v>
      </c>
      <c r="I411" t="e">
        <f>IF(D411&lt;&gt;Lookup!$G$7,0,IF(INDEX(cards[name],MATCH(E411,cards[object_id order],0))&lt;&gt;"",0,1))</f>
        <v>#N/A</v>
      </c>
      <c r="J411" t="e">
        <f>IF(D411&lt;&gt;Lookup!$G$7,0,IF(INDEX(cards[icon],MATCH(E411,cards[object_id order],0))&lt;&gt;"",0,1))</f>
        <v>#N/A</v>
      </c>
      <c r="K411" t="e">
        <f>IF(D411=Lookup!$G$6,INDEX(cards[object_id],MATCH('card-code'!E411,cards[object_id order],0)),"")</f>
        <v>#N/A</v>
      </c>
      <c r="L411" t="e">
        <f>IF(D411=Lookup!$G$7,INDEX(cards[name],MATCH('card-code'!E411,cards[object_id order],0)),"")</f>
        <v>#N/A</v>
      </c>
      <c r="M411" t="e">
        <f>IF($D411=Lookup!$L$9,INDEX(cards[icon],MATCH($E411,cards[object_id order],0)),"")</f>
        <v>#N/A</v>
      </c>
      <c r="N411" t="e">
        <f>IF(OR(D411=Lookup!$G$10,D411=Lookup!$G$11),INDEX(cards[[1]:[25]],MATCH($E411,cards[object_id order],0),'card-code'!G411),"")</f>
        <v>#N/A</v>
      </c>
      <c r="O411" t="str">
        <f t="shared" si="19"/>
        <v/>
      </c>
      <c r="P411" s="8" t="e">
        <f>INDEX(Lookup!$H$5:$H$11,MATCH(D411,Lookup!$G$5:$G$11,0))&amp;
K411&amp;L411&amp;M411&amp;N411&amp;
INDEX(Lookup!$I$5:$I$11,MATCH(D411,Lookup!$G$5:$G$11,0))</f>
        <v>#N/A</v>
      </c>
    </row>
    <row r="412" spans="2:16" x14ac:dyDescent="0.45">
      <c r="B412">
        <f t="shared" si="18"/>
        <v>410</v>
      </c>
      <c r="C412" t="e">
        <f t="shared" si="20"/>
        <v>#N/A</v>
      </c>
      <c r="D412" t="e">
        <f>VLOOKUP(C412,Lookup!$F$5:$G$11,2,FALSE)</f>
        <v>#N/A</v>
      </c>
      <c r="E412" t="e">
        <f>IF(D412=Lookup!$G$5,E411+1,E411)</f>
        <v>#N/A</v>
      </c>
      <c r="F412" s="3" t="e">
        <f>INDEX(cards[Entities count],MATCH('card-code'!E412,cards[object_id order],0))</f>
        <v>#N/A</v>
      </c>
      <c r="G412" t="e">
        <f>IF(D411=Lookup!$G$9,1,IF(D411=Lookup!$G$10,G411+1,""))</f>
        <v>#N/A</v>
      </c>
      <c r="H412" t="e">
        <f>IF(F412=1,  IF(D412=Lookup!$G$9,2,1),  IF(G412&lt;F412-1,0,1)  )</f>
        <v>#N/A</v>
      </c>
      <c r="I412" t="e">
        <f>IF(D412&lt;&gt;Lookup!$G$7,0,IF(INDEX(cards[name],MATCH(E412,cards[object_id order],0))&lt;&gt;"",0,1))</f>
        <v>#N/A</v>
      </c>
      <c r="J412" t="e">
        <f>IF(D412&lt;&gt;Lookup!$G$7,0,IF(INDEX(cards[icon],MATCH(E412,cards[object_id order],0))&lt;&gt;"",0,1))</f>
        <v>#N/A</v>
      </c>
      <c r="K412" t="e">
        <f>IF(D412=Lookup!$G$6,INDEX(cards[object_id],MATCH('card-code'!E412,cards[object_id order],0)),"")</f>
        <v>#N/A</v>
      </c>
      <c r="L412" t="e">
        <f>IF(D412=Lookup!$G$7,INDEX(cards[name],MATCH('card-code'!E412,cards[object_id order],0)),"")</f>
        <v>#N/A</v>
      </c>
      <c r="M412" t="e">
        <f>IF($D412=Lookup!$L$9,INDEX(cards[icon],MATCH($E412,cards[object_id order],0)),"")</f>
        <v>#N/A</v>
      </c>
      <c r="N412" t="e">
        <f>IF(OR(D412=Lookup!$G$10,D412=Lookup!$G$11),INDEX(cards[[1]:[25]],MATCH($E412,cards[object_id order],0),'card-code'!G412),"")</f>
        <v>#N/A</v>
      </c>
      <c r="O412" t="str">
        <f t="shared" si="19"/>
        <v/>
      </c>
      <c r="P412" s="8" t="e">
        <f>INDEX(Lookup!$H$5:$H$11,MATCH(D412,Lookup!$G$5:$G$11,0))&amp;
K412&amp;L412&amp;M412&amp;N412&amp;
INDEX(Lookup!$I$5:$I$11,MATCH(D412,Lookup!$G$5:$G$11,0))</f>
        <v>#N/A</v>
      </c>
    </row>
    <row r="413" spans="2:16" x14ac:dyDescent="0.45">
      <c r="B413">
        <f t="shared" si="18"/>
        <v>411</v>
      </c>
      <c r="C413" t="e">
        <f t="shared" si="20"/>
        <v>#N/A</v>
      </c>
      <c r="D413" t="e">
        <f>VLOOKUP(C413,Lookup!$F$5:$G$11,2,FALSE)</f>
        <v>#N/A</v>
      </c>
      <c r="E413" t="e">
        <f>IF(D413=Lookup!$G$5,E412+1,E412)</f>
        <v>#N/A</v>
      </c>
      <c r="F413" s="3" t="e">
        <f>INDEX(cards[Entities count],MATCH('card-code'!E413,cards[object_id order],0))</f>
        <v>#N/A</v>
      </c>
      <c r="G413" t="e">
        <f>IF(D412=Lookup!$G$9,1,IF(D412=Lookup!$G$10,G412+1,""))</f>
        <v>#N/A</v>
      </c>
      <c r="H413" t="e">
        <f>IF(F413=1,  IF(D413=Lookup!$G$9,2,1),  IF(G413&lt;F413-1,0,1)  )</f>
        <v>#N/A</v>
      </c>
      <c r="I413" t="e">
        <f>IF(D413&lt;&gt;Lookup!$G$7,0,IF(INDEX(cards[name],MATCH(E413,cards[object_id order],0))&lt;&gt;"",0,1))</f>
        <v>#N/A</v>
      </c>
      <c r="J413" t="e">
        <f>IF(D413&lt;&gt;Lookup!$G$7,0,IF(INDEX(cards[icon],MATCH(E413,cards[object_id order],0))&lt;&gt;"",0,1))</f>
        <v>#N/A</v>
      </c>
      <c r="K413" t="e">
        <f>IF(D413=Lookup!$G$6,INDEX(cards[object_id],MATCH('card-code'!E413,cards[object_id order],0)),"")</f>
        <v>#N/A</v>
      </c>
      <c r="L413" t="e">
        <f>IF(D413=Lookup!$G$7,INDEX(cards[name],MATCH('card-code'!E413,cards[object_id order],0)),"")</f>
        <v>#N/A</v>
      </c>
      <c r="M413" t="e">
        <f>IF($D413=Lookup!$L$9,INDEX(cards[icon],MATCH($E413,cards[object_id order],0)),"")</f>
        <v>#N/A</v>
      </c>
      <c r="N413" t="e">
        <f>IF(OR(D413=Lookup!$G$10,D413=Lookup!$G$11),INDEX(cards[[1]:[25]],MATCH($E413,cards[object_id order],0),'card-code'!G413),"")</f>
        <v>#N/A</v>
      </c>
      <c r="O413" t="str">
        <f t="shared" si="19"/>
        <v/>
      </c>
      <c r="P413" s="8" t="e">
        <f>INDEX(Lookup!$H$5:$H$11,MATCH(D413,Lookup!$G$5:$G$11,0))&amp;
K413&amp;L413&amp;M413&amp;N413&amp;
INDEX(Lookup!$I$5:$I$11,MATCH(D413,Lookup!$G$5:$G$11,0))</f>
        <v>#N/A</v>
      </c>
    </row>
    <row r="414" spans="2:16" x14ac:dyDescent="0.45">
      <c r="B414">
        <f t="shared" si="18"/>
        <v>412</v>
      </c>
      <c r="C414" t="e">
        <f t="shared" si="20"/>
        <v>#N/A</v>
      </c>
      <c r="D414" t="e">
        <f>VLOOKUP(C414,Lookup!$F$5:$G$11,2,FALSE)</f>
        <v>#N/A</v>
      </c>
      <c r="E414" t="e">
        <f>IF(D414=Lookup!$G$5,E413+1,E413)</f>
        <v>#N/A</v>
      </c>
      <c r="F414" s="3" t="e">
        <f>INDEX(cards[Entities count],MATCH('card-code'!E414,cards[object_id order],0))</f>
        <v>#N/A</v>
      </c>
      <c r="G414" t="e">
        <f>IF(D413=Lookup!$G$9,1,IF(D413=Lookup!$G$10,G413+1,""))</f>
        <v>#N/A</v>
      </c>
      <c r="H414" t="e">
        <f>IF(F414=1,  IF(D414=Lookup!$G$9,2,1),  IF(G414&lt;F414-1,0,1)  )</f>
        <v>#N/A</v>
      </c>
      <c r="I414" t="e">
        <f>IF(D414&lt;&gt;Lookup!$G$7,0,IF(INDEX(cards[name],MATCH(E414,cards[object_id order],0))&lt;&gt;"",0,1))</f>
        <v>#N/A</v>
      </c>
      <c r="J414" t="e">
        <f>IF(D414&lt;&gt;Lookup!$G$7,0,IF(INDEX(cards[icon],MATCH(E414,cards[object_id order],0))&lt;&gt;"",0,1))</f>
        <v>#N/A</v>
      </c>
      <c r="K414" t="e">
        <f>IF(D414=Lookup!$G$6,INDEX(cards[object_id],MATCH('card-code'!E414,cards[object_id order],0)),"")</f>
        <v>#N/A</v>
      </c>
      <c r="L414" t="e">
        <f>IF(D414=Lookup!$G$7,INDEX(cards[name],MATCH('card-code'!E414,cards[object_id order],0)),"")</f>
        <v>#N/A</v>
      </c>
      <c r="M414" t="e">
        <f>IF($D414=Lookup!$L$9,INDEX(cards[icon],MATCH($E414,cards[object_id order],0)),"")</f>
        <v>#N/A</v>
      </c>
      <c r="N414" t="e">
        <f>IF(OR(D414=Lookup!$G$10,D414=Lookup!$G$11),INDEX(cards[[1]:[25]],MATCH($E414,cards[object_id order],0),'card-code'!G414),"")</f>
        <v>#N/A</v>
      </c>
      <c r="O414" t="str">
        <f t="shared" si="19"/>
        <v/>
      </c>
      <c r="P414" s="8" t="e">
        <f>INDEX(Lookup!$H$5:$H$11,MATCH(D414,Lookup!$G$5:$G$11,0))&amp;
K414&amp;L414&amp;M414&amp;N414&amp;
INDEX(Lookup!$I$5:$I$11,MATCH(D414,Lookup!$G$5:$G$11,0))</f>
        <v>#N/A</v>
      </c>
    </row>
    <row r="415" spans="2:16" x14ac:dyDescent="0.45">
      <c r="B415">
        <f t="shared" si="18"/>
        <v>413</v>
      </c>
      <c r="C415" t="e">
        <f t="shared" si="20"/>
        <v>#N/A</v>
      </c>
      <c r="D415" t="e">
        <f>VLOOKUP(C415,Lookup!$F$5:$G$11,2,FALSE)</f>
        <v>#N/A</v>
      </c>
      <c r="E415" t="e">
        <f>IF(D415=Lookup!$G$5,E414+1,E414)</f>
        <v>#N/A</v>
      </c>
      <c r="F415" s="3" t="e">
        <f>INDEX(cards[Entities count],MATCH('card-code'!E415,cards[object_id order],0))</f>
        <v>#N/A</v>
      </c>
      <c r="G415" t="e">
        <f>IF(D414=Lookup!$G$9,1,IF(D414=Lookup!$G$10,G414+1,""))</f>
        <v>#N/A</v>
      </c>
      <c r="H415" t="e">
        <f>IF(F415=1,  IF(D415=Lookup!$G$9,2,1),  IF(G415&lt;F415-1,0,1)  )</f>
        <v>#N/A</v>
      </c>
      <c r="I415" t="e">
        <f>IF(D415&lt;&gt;Lookup!$G$7,0,IF(INDEX(cards[name],MATCH(E415,cards[object_id order],0))&lt;&gt;"",0,1))</f>
        <v>#N/A</v>
      </c>
      <c r="J415" t="e">
        <f>IF(D415&lt;&gt;Lookup!$G$7,0,IF(INDEX(cards[icon],MATCH(E415,cards[object_id order],0))&lt;&gt;"",0,1))</f>
        <v>#N/A</v>
      </c>
      <c r="K415" t="e">
        <f>IF(D415=Lookup!$G$6,INDEX(cards[object_id],MATCH('card-code'!E415,cards[object_id order],0)),"")</f>
        <v>#N/A</v>
      </c>
      <c r="L415" t="e">
        <f>IF(D415=Lookup!$G$7,INDEX(cards[name],MATCH('card-code'!E415,cards[object_id order],0)),"")</f>
        <v>#N/A</v>
      </c>
      <c r="M415" t="e">
        <f>IF($D415=Lookup!$L$9,INDEX(cards[icon],MATCH($E415,cards[object_id order],0)),"")</f>
        <v>#N/A</v>
      </c>
      <c r="N415" t="e">
        <f>IF(OR(D415=Lookup!$G$10,D415=Lookup!$G$11),INDEX(cards[[1]:[25]],MATCH($E415,cards[object_id order],0),'card-code'!G415),"")</f>
        <v>#N/A</v>
      </c>
      <c r="O415" t="str">
        <f t="shared" si="19"/>
        <v/>
      </c>
      <c r="P415" s="8" t="e">
        <f>INDEX(Lookup!$H$5:$H$11,MATCH(D415,Lookup!$G$5:$G$11,0))&amp;
K415&amp;L415&amp;M415&amp;N415&amp;
INDEX(Lookup!$I$5:$I$11,MATCH(D415,Lookup!$G$5:$G$11,0))</f>
        <v>#N/A</v>
      </c>
    </row>
    <row r="416" spans="2:16" x14ac:dyDescent="0.45">
      <c r="B416">
        <f t="shared" si="18"/>
        <v>414</v>
      </c>
      <c r="C416" t="e">
        <f t="shared" si="20"/>
        <v>#N/A</v>
      </c>
      <c r="D416" t="e">
        <f>VLOOKUP(C416,Lookup!$F$5:$G$11,2,FALSE)</f>
        <v>#N/A</v>
      </c>
      <c r="E416" t="e">
        <f>IF(D416=Lookup!$G$5,E415+1,E415)</f>
        <v>#N/A</v>
      </c>
      <c r="F416" s="3" t="e">
        <f>INDEX(cards[Entities count],MATCH('card-code'!E416,cards[object_id order],0))</f>
        <v>#N/A</v>
      </c>
      <c r="G416" t="e">
        <f>IF(D415=Lookup!$G$9,1,IF(D415=Lookup!$G$10,G415+1,""))</f>
        <v>#N/A</v>
      </c>
      <c r="H416" t="e">
        <f>IF(F416=1,  IF(D416=Lookup!$G$9,2,1),  IF(G416&lt;F416-1,0,1)  )</f>
        <v>#N/A</v>
      </c>
      <c r="I416" t="e">
        <f>IF(D416&lt;&gt;Lookup!$G$7,0,IF(INDEX(cards[name],MATCH(E416,cards[object_id order],0))&lt;&gt;"",0,1))</f>
        <v>#N/A</v>
      </c>
      <c r="J416" t="e">
        <f>IF(D416&lt;&gt;Lookup!$G$7,0,IF(INDEX(cards[icon],MATCH(E416,cards[object_id order],0))&lt;&gt;"",0,1))</f>
        <v>#N/A</v>
      </c>
      <c r="K416" t="e">
        <f>IF(D416=Lookup!$G$6,INDEX(cards[object_id],MATCH('card-code'!E416,cards[object_id order],0)),"")</f>
        <v>#N/A</v>
      </c>
      <c r="L416" t="e">
        <f>IF(D416=Lookup!$G$7,INDEX(cards[name],MATCH('card-code'!E416,cards[object_id order],0)),"")</f>
        <v>#N/A</v>
      </c>
      <c r="M416" t="e">
        <f>IF($D416=Lookup!$L$9,INDEX(cards[icon],MATCH($E416,cards[object_id order],0)),"")</f>
        <v>#N/A</v>
      </c>
      <c r="N416" t="e">
        <f>IF(OR(D416=Lookup!$G$10,D416=Lookup!$G$11),INDEX(cards[[1]:[25]],MATCH($E416,cards[object_id order],0),'card-code'!G416),"")</f>
        <v>#N/A</v>
      </c>
      <c r="O416" t="str">
        <f t="shared" si="19"/>
        <v/>
      </c>
      <c r="P416" s="8" t="e">
        <f>INDEX(Lookup!$H$5:$H$11,MATCH(D416,Lookup!$G$5:$G$11,0))&amp;
K416&amp;L416&amp;M416&amp;N416&amp;
INDEX(Lookup!$I$5:$I$11,MATCH(D416,Lookup!$G$5:$G$11,0))</f>
        <v>#N/A</v>
      </c>
    </row>
    <row r="417" spans="2:16" x14ac:dyDescent="0.45">
      <c r="B417">
        <f t="shared" si="18"/>
        <v>415</v>
      </c>
      <c r="C417" t="e">
        <f t="shared" si="20"/>
        <v>#N/A</v>
      </c>
      <c r="D417" t="e">
        <f>VLOOKUP(C417,Lookup!$F$5:$G$11,2,FALSE)</f>
        <v>#N/A</v>
      </c>
      <c r="E417" t="e">
        <f>IF(D417=Lookup!$G$5,E416+1,E416)</f>
        <v>#N/A</v>
      </c>
      <c r="F417" s="3" t="e">
        <f>INDEX(cards[Entities count],MATCH('card-code'!E417,cards[object_id order],0))</f>
        <v>#N/A</v>
      </c>
      <c r="G417" t="e">
        <f>IF(D416=Lookup!$G$9,1,IF(D416=Lookup!$G$10,G416+1,""))</f>
        <v>#N/A</v>
      </c>
      <c r="H417" t="e">
        <f>IF(F417=1,  IF(D417=Lookup!$G$9,2,1),  IF(G417&lt;F417-1,0,1)  )</f>
        <v>#N/A</v>
      </c>
      <c r="I417" t="e">
        <f>IF(D417&lt;&gt;Lookup!$G$7,0,IF(INDEX(cards[name],MATCH(E417,cards[object_id order],0))&lt;&gt;"",0,1))</f>
        <v>#N/A</v>
      </c>
      <c r="J417" t="e">
        <f>IF(D417&lt;&gt;Lookup!$G$7,0,IF(INDEX(cards[icon],MATCH(E417,cards[object_id order],0))&lt;&gt;"",0,1))</f>
        <v>#N/A</v>
      </c>
      <c r="K417" t="e">
        <f>IF(D417=Lookup!$G$6,INDEX(cards[object_id],MATCH('card-code'!E417,cards[object_id order],0)),"")</f>
        <v>#N/A</v>
      </c>
      <c r="L417" t="e">
        <f>IF(D417=Lookup!$G$7,INDEX(cards[name],MATCH('card-code'!E417,cards[object_id order],0)),"")</f>
        <v>#N/A</v>
      </c>
      <c r="M417" t="e">
        <f>IF($D417=Lookup!$L$9,INDEX(cards[icon],MATCH($E417,cards[object_id order],0)),"")</f>
        <v>#N/A</v>
      </c>
      <c r="N417" t="e">
        <f>IF(OR(D417=Lookup!$G$10,D417=Lookup!$G$11),INDEX(cards[[1]:[25]],MATCH($E417,cards[object_id order],0),'card-code'!G417),"")</f>
        <v>#N/A</v>
      </c>
      <c r="O417" t="str">
        <f t="shared" si="19"/>
        <v/>
      </c>
      <c r="P417" s="8" t="e">
        <f>INDEX(Lookup!$H$5:$H$11,MATCH(D417,Lookup!$G$5:$G$11,0))&amp;
K417&amp;L417&amp;M417&amp;N417&amp;
INDEX(Lookup!$I$5:$I$11,MATCH(D417,Lookup!$G$5:$G$11,0))</f>
        <v>#N/A</v>
      </c>
    </row>
    <row r="418" spans="2:16" x14ac:dyDescent="0.45">
      <c r="B418">
        <f t="shared" si="18"/>
        <v>416</v>
      </c>
      <c r="C418" t="e">
        <f t="shared" si="20"/>
        <v>#N/A</v>
      </c>
      <c r="D418" t="e">
        <f>VLOOKUP(C418,Lookup!$F$5:$G$11,2,FALSE)</f>
        <v>#N/A</v>
      </c>
      <c r="E418" t="e">
        <f>IF(D418=Lookup!$G$5,E417+1,E417)</f>
        <v>#N/A</v>
      </c>
      <c r="F418" s="3" t="e">
        <f>INDEX(cards[Entities count],MATCH('card-code'!E418,cards[object_id order],0))</f>
        <v>#N/A</v>
      </c>
      <c r="G418" t="e">
        <f>IF(D417=Lookup!$G$9,1,IF(D417=Lookup!$G$10,G417+1,""))</f>
        <v>#N/A</v>
      </c>
      <c r="H418" t="e">
        <f>IF(F418=1,  IF(D418=Lookup!$G$9,2,1),  IF(G418&lt;F418-1,0,1)  )</f>
        <v>#N/A</v>
      </c>
      <c r="I418" t="e">
        <f>IF(D418&lt;&gt;Lookup!$G$7,0,IF(INDEX(cards[name],MATCH(E418,cards[object_id order],0))&lt;&gt;"",0,1))</f>
        <v>#N/A</v>
      </c>
      <c r="J418" t="e">
        <f>IF(D418&lt;&gt;Lookup!$G$7,0,IF(INDEX(cards[icon],MATCH(E418,cards[object_id order],0))&lt;&gt;"",0,1))</f>
        <v>#N/A</v>
      </c>
      <c r="K418" t="e">
        <f>IF(D418=Lookup!$G$6,INDEX(cards[object_id],MATCH('card-code'!E418,cards[object_id order],0)),"")</f>
        <v>#N/A</v>
      </c>
      <c r="L418" t="e">
        <f>IF(D418=Lookup!$G$7,INDEX(cards[name],MATCH('card-code'!E418,cards[object_id order],0)),"")</f>
        <v>#N/A</v>
      </c>
      <c r="M418" t="e">
        <f>IF($D418=Lookup!$L$9,INDEX(cards[icon],MATCH($E418,cards[object_id order],0)),"")</f>
        <v>#N/A</v>
      </c>
      <c r="N418" t="e">
        <f>IF(OR(D418=Lookup!$G$10,D418=Lookup!$G$11),INDEX(cards[[1]:[25]],MATCH($E418,cards[object_id order],0),'card-code'!G418),"")</f>
        <v>#N/A</v>
      </c>
      <c r="O418" t="str">
        <f t="shared" si="19"/>
        <v/>
      </c>
      <c r="P418" s="8" t="e">
        <f>INDEX(Lookup!$H$5:$H$11,MATCH(D418,Lookup!$G$5:$G$11,0))&amp;
K418&amp;L418&amp;M418&amp;N418&amp;
INDEX(Lookup!$I$5:$I$11,MATCH(D418,Lookup!$G$5:$G$11,0))</f>
        <v>#N/A</v>
      </c>
    </row>
    <row r="419" spans="2:16" x14ac:dyDescent="0.45">
      <c r="B419">
        <f t="shared" si="18"/>
        <v>417</v>
      </c>
      <c r="C419" t="e">
        <f t="shared" si="20"/>
        <v>#N/A</v>
      </c>
      <c r="D419" t="e">
        <f>VLOOKUP(C419,Lookup!$F$5:$G$11,2,FALSE)</f>
        <v>#N/A</v>
      </c>
      <c r="E419" t="e">
        <f>IF(D419=Lookup!$G$5,E418+1,E418)</f>
        <v>#N/A</v>
      </c>
      <c r="F419" s="3" t="e">
        <f>INDEX(cards[Entities count],MATCH('card-code'!E419,cards[object_id order],0))</f>
        <v>#N/A</v>
      </c>
      <c r="G419" t="e">
        <f>IF(D418=Lookup!$G$9,1,IF(D418=Lookup!$G$10,G418+1,""))</f>
        <v>#N/A</v>
      </c>
      <c r="H419" t="e">
        <f>IF(F419=1,  IF(D419=Lookup!$G$9,2,1),  IF(G419&lt;F419-1,0,1)  )</f>
        <v>#N/A</v>
      </c>
      <c r="I419" t="e">
        <f>IF(D419&lt;&gt;Lookup!$G$7,0,IF(INDEX(cards[name],MATCH(E419,cards[object_id order],0))&lt;&gt;"",0,1))</f>
        <v>#N/A</v>
      </c>
      <c r="J419" t="e">
        <f>IF(D419&lt;&gt;Lookup!$G$7,0,IF(INDEX(cards[icon],MATCH(E419,cards[object_id order],0))&lt;&gt;"",0,1))</f>
        <v>#N/A</v>
      </c>
      <c r="K419" t="e">
        <f>IF(D419=Lookup!$G$6,INDEX(cards[object_id],MATCH('card-code'!E419,cards[object_id order],0)),"")</f>
        <v>#N/A</v>
      </c>
      <c r="L419" t="e">
        <f>IF(D419=Lookup!$G$7,INDEX(cards[name],MATCH('card-code'!E419,cards[object_id order],0)),"")</f>
        <v>#N/A</v>
      </c>
      <c r="M419" t="e">
        <f>IF($D419=Lookup!$L$9,INDEX(cards[icon],MATCH($E419,cards[object_id order],0)),"")</f>
        <v>#N/A</v>
      </c>
      <c r="N419" t="e">
        <f>IF(OR(D419=Lookup!$G$10,D419=Lookup!$G$11),INDEX(cards[[1]:[25]],MATCH($E419,cards[object_id order],0),'card-code'!G419),"")</f>
        <v>#N/A</v>
      </c>
      <c r="O419" t="str">
        <f t="shared" si="19"/>
        <v/>
      </c>
      <c r="P419" s="8" t="e">
        <f>INDEX(Lookup!$H$5:$H$11,MATCH(D419,Lookup!$G$5:$G$11,0))&amp;
K419&amp;L419&amp;M419&amp;N419&amp;
INDEX(Lookup!$I$5:$I$11,MATCH(D419,Lookup!$G$5:$G$11,0))</f>
        <v>#N/A</v>
      </c>
    </row>
    <row r="420" spans="2:16" x14ac:dyDescent="0.45">
      <c r="B420">
        <f t="shared" si="18"/>
        <v>418</v>
      </c>
      <c r="C420" t="e">
        <f t="shared" si="20"/>
        <v>#N/A</v>
      </c>
      <c r="D420" t="e">
        <f>VLOOKUP(C420,Lookup!$F$5:$G$11,2,FALSE)</f>
        <v>#N/A</v>
      </c>
      <c r="E420" t="e">
        <f>IF(D420=Lookup!$G$5,E419+1,E419)</f>
        <v>#N/A</v>
      </c>
      <c r="F420" s="3" t="e">
        <f>INDEX(cards[Entities count],MATCH('card-code'!E420,cards[object_id order],0))</f>
        <v>#N/A</v>
      </c>
      <c r="G420" t="e">
        <f>IF(D419=Lookup!$G$9,1,IF(D419=Lookup!$G$10,G419+1,""))</f>
        <v>#N/A</v>
      </c>
      <c r="H420" t="e">
        <f>IF(F420=1,  IF(D420=Lookup!$G$9,2,1),  IF(G420&lt;F420-1,0,1)  )</f>
        <v>#N/A</v>
      </c>
      <c r="I420" t="e">
        <f>IF(D420&lt;&gt;Lookup!$G$7,0,IF(INDEX(cards[name],MATCH(E420,cards[object_id order],0))&lt;&gt;"",0,1))</f>
        <v>#N/A</v>
      </c>
      <c r="J420" t="e">
        <f>IF(D420&lt;&gt;Lookup!$G$7,0,IF(INDEX(cards[icon],MATCH(E420,cards[object_id order],0))&lt;&gt;"",0,1))</f>
        <v>#N/A</v>
      </c>
      <c r="K420" t="e">
        <f>IF(D420=Lookup!$G$6,INDEX(cards[object_id],MATCH('card-code'!E420,cards[object_id order],0)),"")</f>
        <v>#N/A</v>
      </c>
      <c r="L420" t="e">
        <f>IF(D420=Lookup!$G$7,INDEX(cards[name],MATCH('card-code'!E420,cards[object_id order],0)),"")</f>
        <v>#N/A</v>
      </c>
      <c r="M420" t="e">
        <f>IF($D420=Lookup!$L$9,INDEX(cards[icon],MATCH($E420,cards[object_id order],0)),"")</f>
        <v>#N/A</v>
      </c>
      <c r="N420" t="e">
        <f>IF(OR(D420=Lookup!$G$10,D420=Lookup!$G$11),INDEX(cards[[1]:[25]],MATCH($E420,cards[object_id order],0),'card-code'!G420),"")</f>
        <v>#N/A</v>
      </c>
      <c r="O420" t="str">
        <f t="shared" si="19"/>
        <v/>
      </c>
      <c r="P420" s="8" t="e">
        <f>INDEX(Lookup!$H$5:$H$11,MATCH(D420,Lookup!$G$5:$G$11,0))&amp;
K420&amp;L420&amp;M420&amp;N420&amp;
INDEX(Lookup!$I$5:$I$11,MATCH(D420,Lookup!$G$5:$G$11,0))</f>
        <v>#N/A</v>
      </c>
    </row>
    <row r="421" spans="2:16" x14ac:dyDescent="0.45">
      <c r="B421">
        <f t="shared" si="18"/>
        <v>419</v>
      </c>
      <c r="C421" t="e">
        <f t="shared" si="20"/>
        <v>#N/A</v>
      </c>
      <c r="D421" t="e">
        <f>VLOOKUP(C421,Lookup!$F$5:$G$11,2,FALSE)</f>
        <v>#N/A</v>
      </c>
      <c r="E421" t="e">
        <f>IF(D421=Lookup!$G$5,E420+1,E420)</f>
        <v>#N/A</v>
      </c>
      <c r="F421" s="3" t="e">
        <f>INDEX(cards[Entities count],MATCH('card-code'!E421,cards[object_id order],0))</f>
        <v>#N/A</v>
      </c>
      <c r="G421" t="e">
        <f>IF(D420=Lookup!$G$9,1,IF(D420=Lookup!$G$10,G420+1,""))</f>
        <v>#N/A</v>
      </c>
      <c r="H421" t="e">
        <f>IF(F421=1,  IF(D421=Lookup!$G$9,2,1),  IF(G421&lt;F421-1,0,1)  )</f>
        <v>#N/A</v>
      </c>
      <c r="I421" t="e">
        <f>IF(D421&lt;&gt;Lookup!$G$7,0,IF(INDEX(cards[name],MATCH(E421,cards[object_id order],0))&lt;&gt;"",0,1))</f>
        <v>#N/A</v>
      </c>
      <c r="J421" t="e">
        <f>IF(D421&lt;&gt;Lookup!$G$7,0,IF(INDEX(cards[icon],MATCH(E421,cards[object_id order],0))&lt;&gt;"",0,1))</f>
        <v>#N/A</v>
      </c>
      <c r="K421" t="e">
        <f>IF(D421=Lookup!$G$6,INDEX(cards[object_id],MATCH('card-code'!E421,cards[object_id order],0)),"")</f>
        <v>#N/A</v>
      </c>
      <c r="L421" t="e">
        <f>IF(D421=Lookup!$G$7,INDEX(cards[name],MATCH('card-code'!E421,cards[object_id order],0)),"")</f>
        <v>#N/A</v>
      </c>
      <c r="M421" t="e">
        <f>IF($D421=Lookup!$L$9,INDEX(cards[icon],MATCH($E421,cards[object_id order],0)),"")</f>
        <v>#N/A</v>
      </c>
      <c r="N421" t="e">
        <f>IF(OR(D421=Lookup!$G$10,D421=Lookup!$G$11),INDEX(cards[[1]:[25]],MATCH($E421,cards[object_id order],0),'card-code'!G421),"")</f>
        <v>#N/A</v>
      </c>
      <c r="O421" t="str">
        <f t="shared" si="19"/>
        <v/>
      </c>
      <c r="P421" s="8" t="e">
        <f>INDEX(Lookup!$H$5:$H$11,MATCH(D421,Lookup!$G$5:$G$11,0))&amp;
K421&amp;L421&amp;M421&amp;N421&amp;
INDEX(Lookup!$I$5:$I$11,MATCH(D421,Lookup!$G$5:$G$11,0))</f>
        <v>#N/A</v>
      </c>
    </row>
    <row r="422" spans="2:16" x14ac:dyDescent="0.45">
      <c r="B422">
        <f t="shared" si="18"/>
        <v>420</v>
      </c>
      <c r="C422" t="e">
        <f t="shared" si="20"/>
        <v>#N/A</v>
      </c>
      <c r="D422" t="e">
        <f>VLOOKUP(C422,Lookup!$F$5:$G$11,2,FALSE)</f>
        <v>#N/A</v>
      </c>
      <c r="E422" t="e">
        <f>IF(D422=Lookup!$G$5,E421+1,E421)</f>
        <v>#N/A</v>
      </c>
      <c r="F422" s="3" t="e">
        <f>INDEX(cards[Entities count],MATCH('card-code'!E422,cards[object_id order],0))</f>
        <v>#N/A</v>
      </c>
      <c r="G422" t="e">
        <f>IF(D421=Lookup!$G$9,1,IF(D421=Lookup!$G$10,G421+1,""))</f>
        <v>#N/A</v>
      </c>
      <c r="H422" t="e">
        <f>IF(F422=1,  IF(D422=Lookup!$G$9,2,1),  IF(G422&lt;F422-1,0,1)  )</f>
        <v>#N/A</v>
      </c>
      <c r="I422" t="e">
        <f>IF(D422&lt;&gt;Lookup!$G$7,0,IF(INDEX(cards[name],MATCH(E422,cards[object_id order],0))&lt;&gt;"",0,1))</f>
        <v>#N/A</v>
      </c>
      <c r="J422" t="e">
        <f>IF(D422&lt;&gt;Lookup!$G$7,0,IF(INDEX(cards[icon],MATCH(E422,cards[object_id order],0))&lt;&gt;"",0,1))</f>
        <v>#N/A</v>
      </c>
      <c r="K422" t="e">
        <f>IF(D422=Lookup!$G$6,INDEX(cards[object_id],MATCH('card-code'!E422,cards[object_id order],0)),"")</f>
        <v>#N/A</v>
      </c>
      <c r="L422" t="e">
        <f>IF(D422=Lookup!$G$7,INDEX(cards[name],MATCH('card-code'!E422,cards[object_id order],0)),"")</f>
        <v>#N/A</v>
      </c>
      <c r="M422" t="e">
        <f>IF($D422=Lookup!$L$9,INDEX(cards[icon],MATCH($E422,cards[object_id order],0)),"")</f>
        <v>#N/A</v>
      </c>
      <c r="N422" t="e">
        <f>IF(OR(D422=Lookup!$G$10,D422=Lookup!$G$11),INDEX(cards[[1]:[25]],MATCH($E422,cards[object_id order],0),'card-code'!G422),"")</f>
        <v>#N/A</v>
      </c>
      <c r="O422" t="str">
        <f t="shared" si="19"/>
        <v/>
      </c>
      <c r="P422" s="8" t="e">
        <f>INDEX(Lookup!$H$5:$H$11,MATCH(D422,Lookup!$G$5:$G$11,0))&amp;
K422&amp;L422&amp;M422&amp;N422&amp;
INDEX(Lookup!$I$5:$I$11,MATCH(D422,Lookup!$G$5:$G$11,0))</f>
        <v>#N/A</v>
      </c>
    </row>
    <row r="423" spans="2:16" x14ac:dyDescent="0.45">
      <c r="B423">
        <f t="shared" si="18"/>
        <v>421</v>
      </c>
      <c r="C423" t="e">
        <f t="shared" si="20"/>
        <v>#N/A</v>
      </c>
      <c r="D423" t="e">
        <f>VLOOKUP(C423,Lookup!$F$5:$G$11,2,FALSE)</f>
        <v>#N/A</v>
      </c>
      <c r="E423" t="e">
        <f>IF(D423=Lookup!$G$5,E422+1,E422)</f>
        <v>#N/A</v>
      </c>
      <c r="F423" s="3" t="e">
        <f>INDEX(cards[Entities count],MATCH('card-code'!E423,cards[object_id order],0))</f>
        <v>#N/A</v>
      </c>
      <c r="G423" t="e">
        <f>IF(D422=Lookup!$G$9,1,IF(D422=Lookup!$G$10,G422+1,""))</f>
        <v>#N/A</v>
      </c>
      <c r="H423" t="e">
        <f>IF(F423=1,  IF(D423=Lookup!$G$9,2,1),  IF(G423&lt;F423-1,0,1)  )</f>
        <v>#N/A</v>
      </c>
      <c r="I423" t="e">
        <f>IF(D423&lt;&gt;Lookup!$G$7,0,IF(INDEX(cards[name],MATCH(E423,cards[object_id order],0))&lt;&gt;"",0,1))</f>
        <v>#N/A</v>
      </c>
      <c r="J423" t="e">
        <f>IF(D423&lt;&gt;Lookup!$G$7,0,IF(INDEX(cards[icon],MATCH(E423,cards[object_id order],0))&lt;&gt;"",0,1))</f>
        <v>#N/A</v>
      </c>
      <c r="K423" t="e">
        <f>IF(D423=Lookup!$G$6,INDEX(cards[object_id],MATCH('card-code'!E423,cards[object_id order],0)),"")</f>
        <v>#N/A</v>
      </c>
      <c r="L423" t="e">
        <f>IF(D423=Lookup!$G$7,INDEX(cards[name],MATCH('card-code'!E423,cards[object_id order],0)),"")</f>
        <v>#N/A</v>
      </c>
      <c r="M423" t="e">
        <f>IF($D423=Lookup!$L$9,INDEX(cards[icon],MATCH($E423,cards[object_id order],0)),"")</f>
        <v>#N/A</v>
      </c>
      <c r="N423" t="e">
        <f>IF(OR(D423=Lookup!$G$10,D423=Lookup!$G$11),INDEX(cards[[1]:[25]],MATCH($E423,cards[object_id order],0),'card-code'!G423),"")</f>
        <v>#N/A</v>
      </c>
      <c r="O423" t="str">
        <f t="shared" si="19"/>
        <v/>
      </c>
      <c r="P423" s="8" t="e">
        <f>INDEX(Lookup!$H$5:$H$11,MATCH(D423,Lookup!$G$5:$G$11,0))&amp;
K423&amp;L423&amp;M423&amp;N423&amp;
INDEX(Lookup!$I$5:$I$11,MATCH(D423,Lookup!$G$5:$G$11,0))</f>
        <v>#N/A</v>
      </c>
    </row>
    <row r="424" spans="2:16" x14ac:dyDescent="0.45">
      <c r="B424">
        <f t="shared" si="18"/>
        <v>422</v>
      </c>
      <c r="C424" t="e">
        <f t="shared" si="20"/>
        <v>#N/A</v>
      </c>
      <c r="D424" t="e">
        <f>VLOOKUP(C424,Lookup!$F$5:$G$11,2,FALSE)</f>
        <v>#N/A</v>
      </c>
      <c r="E424" t="e">
        <f>IF(D424=Lookup!$G$5,E423+1,E423)</f>
        <v>#N/A</v>
      </c>
      <c r="F424" s="3" t="e">
        <f>INDEX(cards[Entities count],MATCH('card-code'!E424,cards[object_id order],0))</f>
        <v>#N/A</v>
      </c>
      <c r="G424" t="e">
        <f>IF(D423=Lookup!$G$9,1,IF(D423=Lookup!$G$10,G423+1,""))</f>
        <v>#N/A</v>
      </c>
      <c r="H424" t="e">
        <f>IF(F424=1,  IF(D424=Lookup!$G$9,2,1),  IF(G424&lt;F424-1,0,1)  )</f>
        <v>#N/A</v>
      </c>
      <c r="I424" t="e">
        <f>IF(D424&lt;&gt;Lookup!$G$7,0,IF(INDEX(cards[name],MATCH(E424,cards[object_id order],0))&lt;&gt;"",0,1))</f>
        <v>#N/A</v>
      </c>
      <c r="J424" t="e">
        <f>IF(D424&lt;&gt;Lookup!$G$7,0,IF(INDEX(cards[icon],MATCH(E424,cards[object_id order],0))&lt;&gt;"",0,1))</f>
        <v>#N/A</v>
      </c>
      <c r="K424" t="e">
        <f>IF(D424=Lookup!$G$6,INDEX(cards[object_id],MATCH('card-code'!E424,cards[object_id order],0)),"")</f>
        <v>#N/A</v>
      </c>
      <c r="L424" t="e">
        <f>IF(D424=Lookup!$G$7,INDEX(cards[name],MATCH('card-code'!E424,cards[object_id order],0)),"")</f>
        <v>#N/A</v>
      </c>
      <c r="M424" t="e">
        <f>IF($D424=Lookup!$L$9,INDEX(cards[icon],MATCH($E424,cards[object_id order],0)),"")</f>
        <v>#N/A</v>
      </c>
      <c r="N424" t="e">
        <f>IF(OR(D424=Lookup!$G$10,D424=Lookup!$G$11),INDEX(cards[[1]:[25]],MATCH($E424,cards[object_id order],0),'card-code'!G424),"")</f>
        <v>#N/A</v>
      </c>
      <c r="O424" t="str">
        <f t="shared" si="19"/>
        <v/>
      </c>
      <c r="P424" s="8" t="e">
        <f>INDEX(Lookup!$H$5:$H$11,MATCH(D424,Lookup!$G$5:$G$11,0))&amp;
K424&amp;L424&amp;M424&amp;N424&amp;
INDEX(Lookup!$I$5:$I$11,MATCH(D424,Lookup!$G$5:$G$11,0))</f>
        <v>#N/A</v>
      </c>
    </row>
    <row r="425" spans="2:16" x14ac:dyDescent="0.45">
      <c r="B425">
        <f t="shared" si="18"/>
        <v>423</v>
      </c>
      <c r="C425" t="e">
        <f t="shared" si="20"/>
        <v>#N/A</v>
      </c>
      <c r="D425" t="e">
        <f>VLOOKUP(C425,Lookup!$F$5:$G$11,2,FALSE)</f>
        <v>#N/A</v>
      </c>
      <c r="E425" t="e">
        <f>IF(D425=Lookup!$G$5,E424+1,E424)</f>
        <v>#N/A</v>
      </c>
      <c r="F425" s="3" t="e">
        <f>INDEX(cards[Entities count],MATCH('card-code'!E425,cards[object_id order],0))</f>
        <v>#N/A</v>
      </c>
      <c r="G425" t="e">
        <f>IF(D424=Lookup!$G$9,1,IF(D424=Lookup!$G$10,G424+1,""))</f>
        <v>#N/A</v>
      </c>
      <c r="H425" t="e">
        <f>IF(F425=1,  IF(D425=Lookup!$G$9,2,1),  IF(G425&lt;F425-1,0,1)  )</f>
        <v>#N/A</v>
      </c>
      <c r="I425" t="e">
        <f>IF(D425&lt;&gt;Lookup!$G$7,0,IF(INDEX(cards[name],MATCH(E425,cards[object_id order],0))&lt;&gt;"",0,1))</f>
        <v>#N/A</v>
      </c>
      <c r="J425" t="e">
        <f>IF(D425&lt;&gt;Lookup!$G$7,0,IF(INDEX(cards[icon],MATCH(E425,cards[object_id order],0))&lt;&gt;"",0,1))</f>
        <v>#N/A</v>
      </c>
      <c r="K425" t="e">
        <f>IF(D425=Lookup!$G$6,INDEX(cards[object_id],MATCH('card-code'!E425,cards[object_id order],0)),"")</f>
        <v>#N/A</v>
      </c>
      <c r="L425" t="e">
        <f>IF(D425=Lookup!$G$7,INDEX(cards[name],MATCH('card-code'!E425,cards[object_id order],0)),"")</f>
        <v>#N/A</v>
      </c>
      <c r="M425" t="e">
        <f>IF($D425=Lookup!$L$9,INDEX(cards[icon],MATCH($E425,cards[object_id order],0)),"")</f>
        <v>#N/A</v>
      </c>
      <c r="N425" t="e">
        <f>IF(OR(D425=Lookup!$G$10,D425=Lookup!$G$11),INDEX(cards[[1]:[25]],MATCH($E425,cards[object_id order],0),'card-code'!G425),"")</f>
        <v>#N/A</v>
      </c>
      <c r="O425" t="str">
        <f t="shared" si="19"/>
        <v/>
      </c>
      <c r="P425" s="8" t="e">
        <f>INDEX(Lookup!$H$5:$H$11,MATCH(D425,Lookup!$G$5:$G$11,0))&amp;
K425&amp;L425&amp;M425&amp;N425&amp;
INDEX(Lookup!$I$5:$I$11,MATCH(D425,Lookup!$G$5:$G$11,0))</f>
        <v>#N/A</v>
      </c>
    </row>
    <row r="426" spans="2:16" x14ac:dyDescent="0.45">
      <c r="B426">
        <f t="shared" si="18"/>
        <v>424</v>
      </c>
      <c r="C426" t="e">
        <f t="shared" si="20"/>
        <v>#N/A</v>
      </c>
      <c r="D426" t="e">
        <f>VLOOKUP(C426,Lookup!$F$5:$G$11,2,FALSE)</f>
        <v>#N/A</v>
      </c>
      <c r="E426" t="e">
        <f>IF(D426=Lookup!$G$5,E425+1,E425)</f>
        <v>#N/A</v>
      </c>
      <c r="F426" s="3" t="e">
        <f>INDEX(cards[Entities count],MATCH('card-code'!E426,cards[object_id order],0))</f>
        <v>#N/A</v>
      </c>
      <c r="G426" t="e">
        <f>IF(D425=Lookup!$G$9,1,IF(D425=Lookup!$G$10,G425+1,""))</f>
        <v>#N/A</v>
      </c>
      <c r="H426" t="e">
        <f>IF(F426=1,  IF(D426=Lookup!$G$9,2,1),  IF(G426&lt;F426-1,0,1)  )</f>
        <v>#N/A</v>
      </c>
      <c r="I426" t="e">
        <f>IF(D426&lt;&gt;Lookup!$G$7,0,IF(INDEX(cards[name],MATCH(E426,cards[object_id order],0))&lt;&gt;"",0,1))</f>
        <v>#N/A</v>
      </c>
      <c r="J426" t="e">
        <f>IF(D426&lt;&gt;Lookup!$G$7,0,IF(INDEX(cards[icon],MATCH(E426,cards[object_id order],0))&lt;&gt;"",0,1))</f>
        <v>#N/A</v>
      </c>
      <c r="K426" t="e">
        <f>IF(D426=Lookup!$G$6,INDEX(cards[object_id],MATCH('card-code'!E426,cards[object_id order],0)),"")</f>
        <v>#N/A</v>
      </c>
      <c r="L426" t="e">
        <f>IF(D426=Lookup!$G$7,INDEX(cards[name],MATCH('card-code'!E426,cards[object_id order],0)),"")</f>
        <v>#N/A</v>
      </c>
      <c r="M426" t="e">
        <f>IF($D426=Lookup!$L$9,INDEX(cards[icon],MATCH($E426,cards[object_id order],0)),"")</f>
        <v>#N/A</v>
      </c>
      <c r="N426" t="e">
        <f>IF(OR(D426=Lookup!$G$10,D426=Lookup!$G$11),INDEX(cards[[1]:[25]],MATCH($E426,cards[object_id order],0),'card-code'!G426),"")</f>
        <v>#N/A</v>
      </c>
      <c r="O426" t="str">
        <f t="shared" si="19"/>
        <v/>
      </c>
      <c r="P426" s="8" t="e">
        <f>INDEX(Lookup!$H$5:$H$11,MATCH(D426,Lookup!$G$5:$G$11,0))&amp;
K426&amp;L426&amp;M426&amp;N426&amp;
INDEX(Lookup!$I$5:$I$11,MATCH(D426,Lookup!$G$5:$G$11,0))</f>
        <v>#N/A</v>
      </c>
    </row>
    <row r="427" spans="2:16" x14ac:dyDescent="0.45">
      <c r="B427">
        <f t="shared" si="18"/>
        <v>425</v>
      </c>
      <c r="C427" t="e">
        <f t="shared" si="20"/>
        <v>#N/A</v>
      </c>
      <c r="D427" t="e">
        <f>VLOOKUP(C427,Lookup!$F$5:$G$11,2,FALSE)</f>
        <v>#N/A</v>
      </c>
      <c r="E427" t="e">
        <f>IF(D427=Lookup!$G$5,E426+1,E426)</f>
        <v>#N/A</v>
      </c>
      <c r="F427" s="3" t="e">
        <f>INDEX(cards[Entities count],MATCH('card-code'!E427,cards[object_id order],0))</f>
        <v>#N/A</v>
      </c>
      <c r="G427" t="e">
        <f>IF(D426=Lookup!$G$9,1,IF(D426=Lookup!$G$10,G426+1,""))</f>
        <v>#N/A</v>
      </c>
      <c r="H427" t="e">
        <f>IF(F427=1,  IF(D427=Lookup!$G$9,2,1),  IF(G427&lt;F427-1,0,1)  )</f>
        <v>#N/A</v>
      </c>
      <c r="I427" t="e">
        <f>IF(D427&lt;&gt;Lookup!$G$7,0,IF(INDEX(cards[name],MATCH(E427,cards[object_id order],0))&lt;&gt;"",0,1))</f>
        <v>#N/A</v>
      </c>
      <c r="J427" t="e">
        <f>IF(D427&lt;&gt;Lookup!$G$7,0,IF(INDEX(cards[icon],MATCH(E427,cards[object_id order],0))&lt;&gt;"",0,1))</f>
        <v>#N/A</v>
      </c>
      <c r="K427" t="e">
        <f>IF(D427=Lookup!$G$6,INDEX(cards[object_id],MATCH('card-code'!E427,cards[object_id order],0)),"")</f>
        <v>#N/A</v>
      </c>
      <c r="L427" t="e">
        <f>IF(D427=Lookup!$G$7,INDEX(cards[name],MATCH('card-code'!E427,cards[object_id order],0)),"")</f>
        <v>#N/A</v>
      </c>
      <c r="M427" t="e">
        <f>IF($D427=Lookup!$L$9,INDEX(cards[icon],MATCH($E427,cards[object_id order],0)),"")</f>
        <v>#N/A</v>
      </c>
      <c r="N427" t="e">
        <f>IF(OR(D427=Lookup!$G$10,D427=Lookup!$G$11),INDEX(cards[[1]:[25]],MATCH($E427,cards[object_id order],0),'card-code'!G427),"")</f>
        <v>#N/A</v>
      </c>
      <c r="O427" t="str">
        <f t="shared" si="19"/>
        <v/>
      </c>
      <c r="P427" s="8" t="e">
        <f>INDEX(Lookup!$H$5:$H$11,MATCH(D427,Lookup!$G$5:$G$11,0))&amp;
K427&amp;L427&amp;M427&amp;N427&amp;
INDEX(Lookup!$I$5:$I$11,MATCH(D427,Lookup!$G$5:$G$11,0))</f>
        <v>#N/A</v>
      </c>
    </row>
    <row r="428" spans="2:16" x14ac:dyDescent="0.45">
      <c r="B428">
        <f t="shared" si="18"/>
        <v>426</v>
      </c>
      <c r="C428" t="e">
        <f t="shared" si="20"/>
        <v>#N/A</v>
      </c>
      <c r="D428" t="e">
        <f>VLOOKUP(C428,Lookup!$F$5:$G$11,2,FALSE)</f>
        <v>#N/A</v>
      </c>
      <c r="E428" t="e">
        <f>IF(D428=Lookup!$G$5,E427+1,E427)</f>
        <v>#N/A</v>
      </c>
      <c r="F428" s="3" t="e">
        <f>INDEX(cards[Entities count],MATCH('card-code'!E428,cards[object_id order],0))</f>
        <v>#N/A</v>
      </c>
      <c r="G428" t="e">
        <f>IF(D427=Lookup!$G$9,1,IF(D427=Lookup!$G$10,G427+1,""))</f>
        <v>#N/A</v>
      </c>
      <c r="H428" t="e">
        <f>IF(F428=1,  IF(D428=Lookup!$G$9,2,1),  IF(G428&lt;F428-1,0,1)  )</f>
        <v>#N/A</v>
      </c>
      <c r="I428" t="e">
        <f>IF(D428&lt;&gt;Lookup!$G$7,0,IF(INDEX(cards[name],MATCH(E428,cards[object_id order],0))&lt;&gt;"",0,1))</f>
        <v>#N/A</v>
      </c>
      <c r="J428" t="e">
        <f>IF(D428&lt;&gt;Lookup!$G$7,0,IF(INDEX(cards[icon],MATCH(E428,cards[object_id order],0))&lt;&gt;"",0,1))</f>
        <v>#N/A</v>
      </c>
      <c r="K428" t="e">
        <f>IF(D428=Lookup!$G$6,INDEX(cards[object_id],MATCH('card-code'!E428,cards[object_id order],0)),"")</f>
        <v>#N/A</v>
      </c>
      <c r="L428" t="e">
        <f>IF(D428=Lookup!$G$7,INDEX(cards[name],MATCH('card-code'!E428,cards[object_id order],0)),"")</f>
        <v>#N/A</v>
      </c>
      <c r="M428" t="e">
        <f>IF($D428=Lookup!$L$9,INDEX(cards[icon],MATCH($E428,cards[object_id order],0)),"")</f>
        <v>#N/A</v>
      </c>
      <c r="N428" t="e">
        <f>IF(OR(D428=Lookup!$G$10,D428=Lookup!$G$11),INDEX(cards[[1]:[25]],MATCH($E428,cards[object_id order],0),'card-code'!G428),"")</f>
        <v>#N/A</v>
      </c>
      <c r="O428" t="str">
        <f t="shared" si="19"/>
        <v/>
      </c>
      <c r="P428" s="8" t="e">
        <f>INDEX(Lookup!$H$5:$H$11,MATCH(D428,Lookup!$G$5:$G$11,0))&amp;
K428&amp;L428&amp;M428&amp;N428&amp;
INDEX(Lookup!$I$5:$I$11,MATCH(D428,Lookup!$G$5:$G$11,0))</f>
        <v>#N/A</v>
      </c>
    </row>
    <row r="429" spans="2:16" x14ac:dyDescent="0.45">
      <c r="B429">
        <f t="shared" si="18"/>
        <v>427</v>
      </c>
      <c r="C429" t="e">
        <f t="shared" si="20"/>
        <v>#N/A</v>
      </c>
      <c r="D429" t="e">
        <f>VLOOKUP(C429,Lookup!$F$5:$G$11,2,FALSE)</f>
        <v>#N/A</v>
      </c>
      <c r="E429" t="e">
        <f>IF(D429=Lookup!$G$5,E428+1,E428)</f>
        <v>#N/A</v>
      </c>
      <c r="F429" s="3" t="e">
        <f>INDEX(cards[Entities count],MATCH('card-code'!E429,cards[object_id order],0))</f>
        <v>#N/A</v>
      </c>
      <c r="G429" t="e">
        <f>IF(D428=Lookup!$G$9,1,IF(D428=Lookup!$G$10,G428+1,""))</f>
        <v>#N/A</v>
      </c>
      <c r="H429" t="e">
        <f>IF(F429=1,  IF(D429=Lookup!$G$9,2,1),  IF(G429&lt;F429-1,0,1)  )</f>
        <v>#N/A</v>
      </c>
      <c r="I429" t="e">
        <f>IF(D429&lt;&gt;Lookup!$G$7,0,IF(INDEX(cards[name],MATCH(E429,cards[object_id order],0))&lt;&gt;"",0,1))</f>
        <v>#N/A</v>
      </c>
      <c r="J429" t="e">
        <f>IF(D429&lt;&gt;Lookup!$G$7,0,IF(INDEX(cards[icon],MATCH(E429,cards[object_id order],0))&lt;&gt;"",0,1))</f>
        <v>#N/A</v>
      </c>
      <c r="K429" t="e">
        <f>IF(D429=Lookup!$G$6,INDEX(cards[object_id],MATCH('card-code'!E429,cards[object_id order],0)),"")</f>
        <v>#N/A</v>
      </c>
      <c r="L429" t="e">
        <f>IF(D429=Lookup!$G$7,INDEX(cards[name],MATCH('card-code'!E429,cards[object_id order],0)),"")</f>
        <v>#N/A</v>
      </c>
      <c r="M429" t="e">
        <f>IF($D429=Lookup!$L$9,INDEX(cards[icon],MATCH($E429,cards[object_id order],0)),"")</f>
        <v>#N/A</v>
      </c>
      <c r="N429" t="e">
        <f>IF(OR(D429=Lookup!$G$10,D429=Lookup!$G$11),INDEX(cards[[1]:[25]],MATCH($E429,cards[object_id order],0),'card-code'!G429),"")</f>
        <v>#N/A</v>
      </c>
      <c r="O429" t="str">
        <f t="shared" si="19"/>
        <v/>
      </c>
      <c r="P429" s="8" t="e">
        <f>INDEX(Lookup!$H$5:$H$11,MATCH(D429,Lookup!$G$5:$G$11,0))&amp;
K429&amp;L429&amp;M429&amp;N429&amp;
INDEX(Lookup!$I$5:$I$11,MATCH(D429,Lookup!$G$5:$G$11,0))</f>
        <v>#N/A</v>
      </c>
    </row>
    <row r="430" spans="2:16" x14ac:dyDescent="0.45">
      <c r="B430">
        <f t="shared" si="18"/>
        <v>428</v>
      </c>
      <c r="C430" t="e">
        <f t="shared" si="20"/>
        <v>#N/A</v>
      </c>
      <c r="D430" t="e">
        <f>VLOOKUP(C430,Lookup!$F$5:$G$11,2,FALSE)</f>
        <v>#N/A</v>
      </c>
      <c r="E430" t="e">
        <f>IF(D430=Lookup!$G$5,E429+1,E429)</f>
        <v>#N/A</v>
      </c>
      <c r="F430" s="3" t="e">
        <f>INDEX(cards[Entities count],MATCH('card-code'!E430,cards[object_id order],0))</f>
        <v>#N/A</v>
      </c>
      <c r="G430" t="e">
        <f>IF(D429=Lookup!$G$9,1,IF(D429=Lookup!$G$10,G429+1,""))</f>
        <v>#N/A</v>
      </c>
      <c r="H430" t="e">
        <f>IF(F430=1,  IF(D430=Lookup!$G$9,2,1),  IF(G430&lt;F430-1,0,1)  )</f>
        <v>#N/A</v>
      </c>
      <c r="I430" t="e">
        <f>IF(D430&lt;&gt;Lookup!$G$7,0,IF(INDEX(cards[name],MATCH(E430,cards[object_id order],0))&lt;&gt;"",0,1))</f>
        <v>#N/A</v>
      </c>
      <c r="J430" t="e">
        <f>IF(D430&lt;&gt;Lookup!$G$7,0,IF(INDEX(cards[icon],MATCH(E430,cards[object_id order],0))&lt;&gt;"",0,1))</f>
        <v>#N/A</v>
      </c>
      <c r="K430" t="e">
        <f>IF(D430=Lookup!$G$6,INDEX(cards[object_id],MATCH('card-code'!E430,cards[object_id order],0)),"")</f>
        <v>#N/A</v>
      </c>
      <c r="L430" t="e">
        <f>IF(D430=Lookup!$G$7,INDEX(cards[name],MATCH('card-code'!E430,cards[object_id order],0)),"")</f>
        <v>#N/A</v>
      </c>
      <c r="M430" t="e">
        <f>IF($D430=Lookup!$L$9,INDEX(cards[icon],MATCH($E430,cards[object_id order],0)),"")</f>
        <v>#N/A</v>
      </c>
      <c r="N430" t="e">
        <f>IF(OR(D430=Lookup!$G$10,D430=Lookup!$G$11),INDEX(cards[[1]:[25]],MATCH($E430,cards[object_id order],0),'card-code'!G430),"")</f>
        <v>#N/A</v>
      </c>
      <c r="O430" t="str">
        <f t="shared" si="19"/>
        <v/>
      </c>
      <c r="P430" s="8" t="e">
        <f>INDEX(Lookup!$H$5:$H$11,MATCH(D430,Lookup!$G$5:$G$11,0))&amp;
K430&amp;L430&amp;M430&amp;N430&amp;
INDEX(Lookup!$I$5:$I$11,MATCH(D430,Lookup!$G$5:$G$11,0))</f>
        <v>#N/A</v>
      </c>
    </row>
    <row r="431" spans="2:16" x14ac:dyDescent="0.45">
      <c r="B431">
        <f t="shared" si="18"/>
        <v>429</v>
      </c>
      <c r="C431" t="e">
        <f t="shared" si="20"/>
        <v>#N/A</v>
      </c>
      <c r="D431" t="e">
        <f>VLOOKUP(C431,Lookup!$F$5:$G$11,2,FALSE)</f>
        <v>#N/A</v>
      </c>
      <c r="E431" t="e">
        <f>IF(D431=Lookup!$G$5,E430+1,E430)</f>
        <v>#N/A</v>
      </c>
      <c r="F431" s="3" t="e">
        <f>INDEX(cards[Entities count],MATCH('card-code'!E431,cards[object_id order],0))</f>
        <v>#N/A</v>
      </c>
      <c r="G431" t="e">
        <f>IF(D430=Lookup!$G$9,1,IF(D430=Lookup!$G$10,G430+1,""))</f>
        <v>#N/A</v>
      </c>
      <c r="H431" t="e">
        <f>IF(F431=1,  IF(D431=Lookup!$G$9,2,1),  IF(G431&lt;F431-1,0,1)  )</f>
        <v>#N/A</v>
      </c>
      <c r="I431" t="e">
        <f>IF(D431&lt;&gt;Lookup!$G$7,0,IF(INDEX(cards[name],MATCH(E431,cards[object_id order],0))&lt;&gt;"",0,1))</f>
        <v>#N/A</v>
      </c>
      <c r="J431" t="e">
        <f>IF(D431&lt;&gt;Lookup!$G$7,0,IF(INDEX(cards[icon],MATCH(E431,cards[object_id order],0))&lt;&gt;"",0,1))</f>
        <v>#N/A</v>
      </c>
      <c r="K431" t="e">
        <f>IF(D431=Lookup!$G$6,INDEX(cards[object_id],MATCH('card-code'!E431,cards[object_id order],0)),"")</f>
        <v>#N/A</v>
      </c>
      <c r="L431" t="e">
        <f>IF(D431=Lookup!$G$7,INDEX(cards[name],MATCH('card-code'!E431,cards[object_id order],0)),"")</f>
        <v>#N/A</v>
      </c>
      <c r="M431" t="e">
        <f>IF($D431=Lookup!$L$9,INDEX(cards[icon],MATCH($E431,cards[object_id order],0)),"")</f>
        <v>#N/A</v>
      </c>
      <c r="N431" t="e">
        <f>IF(OR(D431=Lookup!$G$10,D431=Lookup!$G$11),INDEX(cards[[1]:[25]],MATCH($E431,cards[object_id order],0),'card-code'!G431),"")</f>
        <v>#N/A</v>
      </c>
      <c r="O431" t="str">
        <f t="shared" si="19"/>
        <v/>
      </c>
      <c r="P431" s="8" t="e">
        <f>INDEX(Lookup!$H$5:$H$11,MATCH(D431,Lookup!$G$5:$G$11,0))&amp;
K431&amp;L431&amp;M431&amp;N431&amp;
INDEX(Lookup!$I$5:$I$11,MATCH(D431,Lookup!$G$5:$G$11,0))</f>
        <v>#N/A</v>
      </c>
    </row>
    <row r="432" spans="2:16" x14ac:dyDescent="0.45">
      <c r="B432">
        <f t="shared" si="18"/>
        <v>430</v>
      </c>
      <c r="C432" t="e">
        <f t="shared" si="20"/>
        <v>#N/A</v>
      </c>
      <c r="D432" t="e">
        <f>VLOOKUP(C432,Lookup!$F$5:$G$11,2,FALSE)</f>
        <v>#N/A</v>
      </c>
      <c r="E432" t="e">
        <f>IF(D432=Lookup!$G$5,E431+1,E431)</f>
        <v>#N/A</v>
      </c>
      <c r="F432" s="3" t="e">
        <f>INDEX(cards[Entities count],MATCH('card-code'!E432,cards[object_id order],0))</f>
        <v>#N/A</v>
      </c>
      <c r="G432" t="e">
        <f>IF(D431=Lookup!$G$9,1,IF(D431=Lookup!$G$10,G431+1,""))</f>
        <v>#N/A</v>
      </c>
      <c r="H432" t="e">
        <f>IF(F432=1,  IF(D432=Lookup!$G$9,2,1),  IF(G432&lt;F432-1,0,1)  )</f>
        <v>#N/A</v>
      </c>
      <c r="I432" t="e">
        <f>IF(D432&lt;&gt;Lookup!$G$7,0,IF(INDEX(cards[name],MATCH(E432,cards[object_id order],0))&lt;&gt;"",0,1))</f>
        <v>#N/A</v>
      </c>
      <c r="J432" t="e">
        <f>IF(D432&lt;&gt;Lookup!$G$7,0,IF(INDEX(cards[icon],MATCH(E432,cards[object_id order],0))&lt;&gt;"",0,1))</f>
        <v>#N/A</v>
      </c>
      <c r="K432" t="e">
        <f>IF(D432=Lookup!$G$6,INDEX(cards[object_id],MATCH('card-code'!E432,cards[object_id order],0)),"")</f>
        <v>#N/A</v>
      </c>
      <c r="L432" t="e">
        <f>IF(D432=Lookup!$G$7,INDEX(cards[name],MATCH('card-code'!E432,cards[object_id order],0)),"")</f>
        <v>#N/A</v>
      </c>
      <c r="M432" t="e">
        <f>IF($D432=Lookup!$L$9,INDEX(cards[icon],MATCH($E432,cards[object_id order],0)),"")</f>
        <v>#N/A</v>
      </c>
      <c r="N432" t="e">
        <f>IF(OR(D432=Lookup!$G$10,D432=Lookup!$G$11),INDEX(cards[[1]:[25]],MATCH($E432,cards[object_id order],0),'card-code'!G432),"")</f>
        <v>#N/A</v>
      </c>
      <c r="O432" t="str">
        <f t="shared" si="19"/>
        <v/>
      </c>
      <c r="P432" s="8" t="e">
        <f>INDEX(Lookup!$H$5:$H$11,MATCH(D432,Lookup!$G$5:$G$11,0))&amp;
K432&amp;L432&amp;M432&amp;N432&amp;
INDEX(Lookup!$I$5:$I$11,MATCH(D432,Lookup!$G$5:$G$11,0))</f>
        <v>#N/A</v>
      </c>
    </row>
    <row r="433" spans="2:16" x14ac:dyDescent="0.45">
      <c r="B433">
        <f t="shared" si="18"/>
        <v>431</v>
      </c>
      <c r="C433" t="e">
        <f t="shared" si="20"/>
        <v>#N/A</v>
      </c>
      <c r="D433" t="e">
        <f>VLOOKUP(C433,Lookup!$F$5:$G$11,2,FALSE)</f>
        <v>#N/A</v>
      </c>
      <c r="E433" t="e">
        <f>IF(D433=Lookup!$G$5,E432+1,E432)</f>
        <v>#N/A</v>
      </c>
      <c r="F433" s="3" t="e">
        <f>INDEX(cards[Entities count],MATCH('card-code'!E433,cards[object_id order],0))</f>
        <v>#N/A</v>
      </c>
      <c r="G433" t="e">
        <f>IF(D432=Lookup!$G$9,1,IF(D432=Lookup!$G$10,G432+1,""))</f>
        <v>#N/A</v>
      </c>
      <c r="H433" t="e">
        <f>IF(F433=1,  IF(D433=Lookup!$G$9,2,1),  IF(G433&lt;F433-1,0,1)  )</f>
        <v>#N/A</v>
      </c>
      <c r="I433" t="e">
        <f>IF(D433&lt;&gt;Lookup!$G$7,0,IF(INDEX(cards[name],MATCH(E433,cards[object_id order],0))&lt;&gt;"",0,1))</f>
        <v>#N/A</v>
      </c>
      <c r="J433" t="e">
        <f>IF(D433&lt;&gt;Lookup!$G$7,0,IF(INDEX(cards[icon],MATCH(E433,cards[object_id order],0))&lt;&gt;"",0,1))</f>
        <v>#N/A</v>
      </c>
      <c r="K433" t="e">
        <f>IF(D433=Lookup!$G$6,INDEX(cards[object_id],MATCH('card-code'!E433,cards[object_id order],0)),"")</f>
        <v>#N/A</v>
      </c>
      <c r="L433" t="e">
        <f>IF(D433=Lookup!$G$7,INDEX(cards[name],MATCH('card-code'!E433,cards[object_id order],0)),"")</f>
        <v>#N/A</v>
      </c>
      <c r="M433" t="e">
        <f>IF($D433=Lookup!$L$9,INDEX(cards[icon],MATCH($E433,cards[object_id order],0)),"")</f>
        <v>#N/A</v>
      </c>
      <c r="N433" t="e">
        <f>IF(OR(D433=Lookup!$G$10,D433=Lookup!$G$11),INDEX(cards[[1]:[25]],MATCH($E433,cards[object_id order],0),'card-code'!G433),"")</f>
        <v>#N/A</v>
      </c>
      <c r="O433" t="str">
        <f t="shared" si="19"/>
        <v/>
      </c>
      <c r="P433" s="8" t="e">
        <f>INDEX(Lookup!$H$5:$H$11,MATCH(D433,Lookup!$G$5:$G$11,0))&amp;
K433&amp;L433&amp;M433&amp;N433&amp;
INDEX(Lookup!$I$5:$I$11,MATCH(D433,Lookup!$G$5:$G$11,0))</f>
        <v>#N/A</v>
      </c>
    </row>
    <row r="434" spans="2:16" x14ac:dyDescent="0.45">
      <c r="B434">
        <f t="shared" si="18"/>
        <v>432</v>
      </c>
      <c r="C434" t="e">
        <f t="shared" si="20"/>
        <v>#N/A</v>
      </c>
      <c r="D434" t="e">
        <f>VLOOKUP(C434,Lookup!$F$5:$G$11,2,FALSE)</f>
        <v>#N/A</v>
      </c>
      <c r="E434" t="e">
        <f>IF(D434=Lookup!$G$5,E433+1,E433)</f>
        <v>#N/A</v>
      </c>
      <c r="F434" s="3" t="e">
        <f>INDEX(cards[Entities count],MATCH('card-code'!E434,cards[object_id order],0))</f>
        <v>#N/A</v>
      </c>
      <c r="G434" t="e">
        <f>IF(D433=Lookup!$G$9,1,IF(D433=Lookup!$G$10,G433+1,""))</f>
        <v>#N/A</v>
      </c>
      <c r="H434" t="e">
        <f>IF(F434=1,  IF(D434=Lookup!$G$9,2,1),  IF(G434&lt;F434-1,0,1)  )</f>
        <v>#N/A</v>
      </c>
      <c r="I434" t="e">
        <f>IF(D434&lt;&gt;Lookup!$G$7,0,IF(INDEX(cards[name],MATCH(E434,cards[object_id order],0))&lt;&gt;"",0,1))</f>
        <v>#N/A</v>
      </c>
      <c r="J434" t="e">
        <f>IF(D434&lt;&gt;Lookup!$G$7,0,IF(INDEX(cards[icon],MATCH(E434,cards[object_id order],0))&lt;&gt;"",0,1))</f>
        <v>#N/A</v>
      </c>
      <c r="K434" t="e">
        <f>IF(D434=Lookup!$G$6,INDEX(cards[object_id],MATCH('card-code'!E434,cards[object_id order],0)),"")</f>
        <v>#N/A</v>
      </c>
      <c r="L434" t="e">
        <f>IF(D434=Lookup!$G$7,INDEX(cards[name],MATCH('card-code'!E434,cards[object_id order],0)),"")</f>
        <v>#N/A</v>
      </c>
      <c r="M434" t="e">
        <f>IF($D434=Lookup!$L$9,INDEX(cards[icon],MATCH($E434,cards[object_id order],0)),"")</f>
        <v>#N/A</v>
      </c>
      <c r="N434" t="e">
        <f>IF(OR(D434=Lookup!$G$10,D434=Lookup!$G$11),INDEX(cards[[1]:[25]],MATCH($E434,cards[object_id order],0),'card-code'!G434),"")</f>
        <v>#N/A</v>
      </c>
      <c r="O434" t="str">
        <f t="shared" si="19"/>
        <v/>
      </c>
      <c r="P434" s="8" t="e">
        <f>INDEX(Lookup!$H$5:$H$11,MATCH(D434,Lookup!$G$5:$G$11,0))&amp;
K434&amp;L434&amp;M434&amp;N434&amp;
INDEX(Lookup!$I$5:$I$11,MATCH(D434,Lookup!$G$5:$G$11,0))</f>
        <v>#N/A</v>
      </c>
    </row>
    <row r="435" spans="2:16" x14ac:dyDescent="0.45">
      <c r="B435">
        <f t="shared" si="18"/>
        <v>433</v>
      </c>
      <c r="C435" t="e">
        <f t="shared" si="20"/>
        <v>#N/A</v>
      </c>
      <c r="D435" t="e">
        <f>VLOOKUP(C435,Lookup!$F$5:$G$11,2,FALSE)</f>
        <v>#N/A</v>
      </c>
      <c r="E435" t="e">
        <f>IF(D435=Lookup!$G$5,E434+1,E434)</f>
        <v>#N/A</v>
      </c>
      <c r="F435" s="3" t="e">
        <f>INDEX(cards[Entities count],MATCH('card-code'!E435,cards[object_id order],0))</f>
        <v>#N/A</v>
      </c>
      <c r="G435" t="e">
        <f>IF(D434=Lookup!$G$9,1,IF(D434=Lookup!$G$10,G434+1,""))</f>
        <v>#N/A</v>
      </c>
      <c r="H435" t="e">
        <f>IF(F435=1,  IF(D435=Lookup!$G$9,2,1),  IF(G435&lt;F435-1,0,1)  )</f>
        <v>#N/A</v>
      </c>
      <c r="I435" t="e">
        <f>IF(D435&lt;&gt;Lookup!$G$7,0,IF(INDEX(cards[name],MATCH(E435,cards[object_id order],0))&lt;&gt;"",0,1))</f>
        <v>#N/A</v>
      </c>
      <c r="J435" t="e">
        <f>IF(D435&lt;&gt;Lookup!$G$7,0,IF(INDEX(cards[icon],MATCH(E435,cards[object_id order],0))&lt;&gt;"",0,1))</f>
        <v>#N/A</v>
      </c>
      <c r="K435" t="e">
        <f>IF(D435=Lookup!$G$6,INDEX(cards[object_id],MATCH('card-code'!E435,cards[object_id order],0)),"")</f>
        <v>#N/A</v>
      </c>
      <c r="L435" t="e">
        <f>IF(D435=Lookup!$G$7,INDEX(cards[name],MATCH('card-code'!E435,cards[object_id order],0)),"")</f>
        <v>#N/A</v>
      </c>
      <c r="M435" t="e">
        <f>IF($D435=Lookup!$L$9,INDEX(cards[icon],MATCH($E435,cards[object_id order],0)),"")</f>
        <v>#N/A</v>
      </c>
      <c r="N435" t="e">
        <f>IF(OR(D435=Lookup!$G$10,D435=Lookup!$G$11),INDEX(cards[[1]:[25]],MATCH($E435,cards[object_id order],0),'card-code'!G435),"")</f>
        <v>#N/A</v>
      </c>
      <c r="O435" t="str">
        <f t="shared" si="19"/>
        <v/>
      </c>
      <c r="P435" s="8" t="e">
        <f>INDEX(Lookup!$H$5:$H$11,MATCH(D435,Lookup!$G$5:$G$11,0))&amp;
K435&amp;L435&amp;M435&amp;N435&amp;
INDEX(Lookup!$I$5:$I$11,MATCH(D435,Lookup!$G$5:$G$11,0))</f>
        <v>#N/A</v>
      </c>
    </row>
    <row r="436" spans="2:16" x14ac:dyDescent="0.45">
      <c r="B436">
        <f t="shared" si="18"/>
        <v>434</v>
      </c>
      <c r="C436" t="e">
        <f t="shared" si="20"/>
        <v>#N/A</v>
      </c>
      <c r="D436" t="e">
        <f>VLOOKUP(C436,Lookup!$F$5:$G$11,2,FALSE)</f>
        <v>#N/A</v>
      </c>
      <c r="E436" t="e">
        <f>IF(D436=Lookup!$G$5,E435+1,E435)</f>
        <v>#N/A</v>
      </c>
      <c r="F436" s="3" t="e">
        <f>INDEX(cards[Entities count],MATCH('card-code'!E436,cards[object_id order],0))</f>
        <v>#N/A</v>
      </c>
      <c r="G436" t="e">
        <f>IF(D435=Lookup!$G$9,1,IF(D435=Lookup!$G$10,G435+1,""))</f>
        <v>#N/A</v>
      </c>
      <c r="H436" t="e">
        <f>IF(F436=1,  IF(D436=Lookup!$G$9,2,1),  IF(G436&lt;F436-1,0,1)  )</f>
        <v>#N/A</v>
      </c>
      <c r="I436" t="e">
        <f>IF(D436&lt;&gt;Lookup!$G$7,0,IF(INDEX(cards[name],MATCH(E436,cards[object_id order],0))&lt;&gt;"",0,1))</f>
        <v>#N/A</v>
      </c>
      <c r="J436" t="e">
        <f>IF(D436&lt;&gt;Lookup!$G$7,0,IF(INDEX(cards[icon],MATCH(E436,cards[object_id order],0))&lt;&gt;"",0,1))</f>
        <v>#N/A</v>
      </c>
      <c r="K436" t="e">
        <f>IF(D436=Lookup!$G$6,INDEX(cards[object_id],MATCH('card-code'!E436,cards[object_id order],0)),"")</f>
        <v>#N/A</v>
      </c>
      <c r="L436" t="e">
        <f>IF(D436=Lookup!$G$7,INDEX(cards[name],MATCH('card-code'!E436,cards[object_id order],0)),"")</f>
        <v>#N/A</v>
      </c>
      <c r="M436" t="e">
        <f>IF($D436=Lookup!$L$9,INDEX(cards[icon],MATCH($E436,cards[object_id order],0)),"")</f>
        <v>#N/A</v>
      </c>
      <c r="N436" t="e">
        <f>IF(OR(D436=Lookup!$G$10,D436=Lookup!$G$11),INDEX(cards[[1]:[25]],MATCH($E436,cards[object_id order],0),'card-code'!G436),"")</f>
        <v>#N/A</v>
      </c>
      <c r="O436" t="str">
        <f t="shared" si="19"/>
        <v/>
      </c>
      <c r="P436" s="8" t="e">
        <f>INDEX(Lookup!$H$5:$H$11,MATCH(D436,Lookup!$G$5:$G$11,0))&amp;
K436&amp;L436&amp;M436&amp;N436&amp;
INDEX(Lookup!$I$5:$I$11,MATCH(D436,Lookup!$G$5:$G$11,0))</f>
        <v>#N/A</v>
      </c>
    </row>
    <row r="437" spans="2:16" x14ac:dyDescent="0.45">
      <c r="B437">
        <f t="shared" si="18"/>
        <v>435</v>
      </c>
      <c r="C437" t="e">
        <f t="shared" si="20"/>
        <v>#N/A</v>
      </c>
      <c r="D437" t="e">
        <f>VLOOKUP(C437,Lookup!$F$5:$G$11,2,FALSE)</f>
        <v>#N/A</v>
      </c>
      <c r="E437" t="e">
        <f>IF(D437=Lookup!$G$5,E436+1,E436)</f>
        <v>#N/A</v>
      </c>
      <c r="F437" s="3" t="e">
        <f>INDEX(cards[Entities count],MATCH('card-code'!E437,cards[object_id order],0))</f>
        <v>#N/A</v>
      </c>
      <c r="G437" t="e">
        <f>IF(D436=Lookup!$G$9,1,IF(D436=Lookup!$G$10,G436+1,""))</f>
        <v>#N/A</v>
      </c>
      <c r="H437" t="e">
        <f>IF(F437=1,  IF(D437=Lookup!$G$9,2,1),  IF(G437&lt;F437-1,0,1)  )</f>
        <v>#N/A</v>
      </c>
      <c r="I437" t="e">
        <f>IF(D437&lt;&gt;Lookup!$G$7,0,IF(INDEX(cards[name],MATCH(E437,cards[object_id order],0))&lt;&gt;"",0,1))</f>
        <v>#N/A</v>
      </c>
      <c r="J437" t="e">
        <f>IF(D437&lt;&gt;Lookup!$G$7,0,IF(INDEX(cards[icon],MATCH(E437,cards[object_id order],0))&lt;&gt;"",0,1))</f>
        <v>#N/A</v>
      </c>
      <c r="K437" t="e">
        <f>IF(D437=Lookup!$G$6,INDEX(cards[object_id],MATCH('card-code'!E437,cards[object_id order],0)),"")</f>
        <v>#N/A</v>
      </c>
      <c r="L437" t="e">
        <f>IF(D437=Lookup!$G$7,INDEX(cards[name],MATCH('card-code'!E437,cards[object_id order],0)),"")</f>
        <v>#N/A</v>
      </c>
      <c r="M437" t="e">
        <f>IF($D437=Lookup!$L$9,INDEX(cards[icon],MATCH($E437,cards[object_id order],0)),"")</f>
        <v>#N/A</v>
      </c>
      <c r="N437" t="e">
        <f>IF(OR(D437=Lookup!$G$10,D437=Lookup!$G$11),INDEX(cards[[1]:[25]],MATCH($E437,cards[object_id order],0),'card-code'!G437),"")</f>
        <v>#N/A</v>
      </c>
      <c r="O437" t="str">
        <f t="shared" si="19"/>
        <v/>
      </c>
      <c r="P437" s="8" t="e">
        <f>INDEX(Lookup!$H$5:$H$11,MATCH(D437,Lookup!$G$5:$G$11,0))&amp;
K437&amp;L437&amp;M437&amp;N437&amp;
INDEX(Lookup!$I$5:$I$11,MATCH(D437,Lookup!$G$5:$G$11,0))</f>
        <v>#N/A</v>
      </c>
    </row>
    <row r="438" spans="2:16" x14ac:dyDescent="0.45">
      <c r="B438">
        <f t="shared" si="18"/>
        <v>436</v>
      </c>
      <c r="C438" t="e">
        <f t="shared" si="20"/>
        <v>#N/A</v>
      </c>
      <c r="D438" t="e">
        <f>VLOOKUP(C438,Lookup!$F$5:$G$11,2,FALSE)</f>
        <v>#N/A</v>
      </c>
      <c r="E438" t="e">
        <f>IF(D438=Lookup!$G$5,E437+1,E437)</f>
        <v>#N/A</v>
      </c>
      <c r="F438" s="3" t="e">
        <f>INDEX(cards[Entities count],MATCH('card-code'!E438,cards[object_id order],0))</f>
        <v>#N/A</v>
      </c>
      <c r="G438" t="e">
        <f>IF(D437=Lookup!$G$9,1,IF(D437=Lookup!$G$10,G437+1,""))</f>
        <v>#N/A</v>
      </c>
      <c r="H438" t="e">
        <f>IF(F438=1,  IF(D438=Lookup!$G$9,2,1),  IF(G438&lt;F438-1,0,1)  )</f>
        <v>#N/A</v>
      </c>
      <c r="I438" t="e">
        <f>IF(D438&lt;&gt;Lookup!$G$7,0,IF(INDEX(cards[name],MATCH(E438,cards[object_id order],0))&lt;&gt;"",0,1))</f>
        <v>#N/A</v>
      </c>
      <c r="J438" t="e">
        <f>IF(D438&lt;&gt;Lookup!$G$7,0,IF(INDEX(cards[icon],MATCH(E438,cards[object_id order],0))&lt;&gt;"",0,1))</f>
        <v>#N/A</v>
      </c>
      <c r="K438" t="e">
        <f>IF(D438=Lookup!$G$6,INDEX(cards[object_id],MATCH('card-code'!E438,cards[object_id order],0)),"")</f>
        <v>#N/A</v>
      </c>
      <c r="L438" t="e">
        <f>IF(D438=Lookup!$G$7,INDEX(cards[name],MATCH('card-code'!E438,cards[object_id order],0)),"")</f>
        <v>#N/A</v>
      </c>
      <c r="M438" t="e">
        <f>IF($D438=Lookup!$L$9,INDEX(cards[icon],MATCH($E438,cards[object_id order],0)),"")</f>
        <v>#N/A</v>
      </c>
      <c r="N438" t="e">
        <f>IF(OR(D438=Lookup!$G$10,D438=Lookup!$G$11),INDEX(cards[[1]:[25]],MATCH($E438,cards[object_id order],0),'card-code'!G438),"")</f>
        <v>#N/A</v>
      </c>
      <c r="O438" t="str">
        <f t="shared" si="19"/>
        <v/>
      </c>
      <c r="P438" s="8" t="e">
        <f>INDEX(Lookup!$H$5:$H$11,MATCH(D438,Lookup!$G$5:$G$11,0))&amp;
K438&amp;L438&amp;M438&amp;N438&amp;
INDEX(Lookup!$I$5:$I$11,MATCH(D438,Lookup!$G$5:$G$11,0))</f>
        <v>#N/A</v>
      </c>
    </row>
    <row r="439" spans="2:16" x14ac:dyDescent="0.45">
      <c r="B439">
        <f t="shared" si="18"/>
        <v>437</v>
      </c>
      <c r="C439" t="e">
        <f t="shared" si="20"/>
        <v>#N/A</v>
      </c>
      <c r="D439" t="e">
        <f>VLOOKUP(C439,Lookup!$F$5:$G$11,2,FALSE)</f>
        <v>#N/A</v>
      </c>
      <c r="E439" t="e">
        <f>IF(D439=Lookup!$G$5,E438+1,E438)</f>
        <v>#N/A</v>
      </c>
      <c r="F439" s="3" t="e">
        <f>INDEX(cards[Entities count],MATCH('card-code'!E439,cards[object_id order],0))</f>
        <v>#N/A</v>
      </c>
      <c r="G439" t="e">
        <f>IF(D438=Lookup!$G$9,1,IF(D438=Lookup!$G$10,G438+1,""))</f>
        <v>#N/A</v>
      </c>
      <c r="H439" t="e">
        <f>IF(F439=1,  IF(D439=Lookup!$G$9,2,1),  IF(G439&lt;F439-1,0,1)  )</f>
        <v>#N/A</v>
      </c>
      <c r="I439" t="e">
        <f>IF(D439&lt;&gt;Lookup!$G$7,0,IF(INDEX(cards[name],MATCH(E439,cards[object_id order],0))&lt;&gt;"",0,1))</f>
        <v>#N/A</v>
      </c>
      <c r="J439" t="e">
        <f>IF(D439&lt;&gt;Lookup!$G$7,0,IF(INDEX(cards[icon],MATCH(E439,cards[object_id order],0))&lt;&gt;"",0,1))</f>
        <v>#N/A</v>
      </c>
      <c r="K439" t="e">
        <f>IF(D439=Lookup!$G$6,INDEX(cards[object_id],MATCH('card-code'!E439,cards[object_id order],0)),"")</f>
        <v>#N/A</v>
      </c>
      <c r="L439" t="e">
        <f>IF(D439=Lookup!$G$7,INDEX(cards[name],MATCH('card-code'!E439,cards[object_id order],0)),"")</f>
        <v>#N/A</v>
      </c>
      <c r="M439" t="e">
        <f>IF($D439=Lookup!$L$9,INDEX(cards[icon],MATCH($E439,cards[object_id order],0)),"")</f>
        <v>#N/A</v>
      </c>
      <c r="N439" t="e">
        <f>IF(OR(D439=Lookup!$G$10,D439=Lookup!$G$11),INDEX(cards[[1]:[25]],MATCH($E439,cards[object_id order],0),'card-code'!G439),"")</f>
        <v>#N/A</v>
      </c>
      <c r="O439" t="str">
        <f t="shared" si="19"/>
        <v/>
      </c>
      <c r="P439" s="8" t="e">
        <f>INDEX(Lookup!$H$5:$H$11,MATCH(D439,Lookup!$G$5:$G$11,0))&amp;
K439&amp;L439&amp;M439&amp;N439&amp;
INDEX(Lookup!$I$5:$I$11,MATCH(D439,Lookup!$G$5:$G$11,0))</f>
        <v>#N/A</v>
      </c>
    </row>
    <row r="440" spans="2:16" x14ac:dyDescent="0.45">
      <c r="B440">
        <f t="shared" si="18"/>
        <v>438</v>
      </c>
      <c r="C440" t="e">
        <f t="shared" si="20"/>
        <v>#N/A</v>
      </c>
      <c r="D440" t="e">
        <f>VLOOKUP(C440,Lookup!$F$5:$G$11,2,FALSE)</f>
        <v>#N/A</v>
      </c>
      <c r="E440" t="e">
        <f>IF(D440=Lookup!$G$5,E439+1,E439)</f>
        <v>#N/A</v>
      </c>
      <c r="F440" s="3" t="e">
        <f>INDEX(cards[Entities count],MATCH('card-code'!E440,cards[object_id order],0))</f>
        <v>#N/A</v>
      </c>
      <c r="G440" t="e">
        <f>IF(D439=Lookup!$G$9,1,IF(D439=Lookup!$G$10,G439+1,""))</f>
        <v>#N/A</v>
      </c>
      <c r="H440" t="e">
        <f>IF(F440=1,  IF(D440=Lookup!$G$9,2,1),  IF(G440&lt;F440-1,0,1)  )</f>
        <v>#N/A</v>
      </c>
      <c r="I440" t="e">
        <f>IF(D440&lt;&gt;Lookup!$G$7,0,IF(INDEX(cards[name],MATCH(E440,cards[object_id order],0))&lt;&gt;"",0,1))</f>
        <v>#N/A</v>
      </c>
      <c r="J440" t="e">
        <f>IF(D440&lt;&gt;Lookup!$G$7,0,IF(INDEX(cards[icon],MATCH(E440,cards[object_id order],0))&lt;&gt;"",0,1))</f>
        <v>#N/A</v>
      </c>
      <c r="K440" t="e">
        <f>IF(D440=Lookup!$G$6,INDEX(cards[object_id],MATCH('card-code'!E440,cards[object_id order],0)),"")</f>
        <v>#N/A</v>
      </c>
      <c r="L440" t="e">
        <f>IF(D440=Lookup!$G$7,INDEX(cards[name],MATCH('card-code'!E440,cards[object_id order],0)),"")</f>
        <v>#N/A</v>
      </c>
      <c r="M440" t="e">
        <f>IF($D440=Lookup!$L$9,INDEX(cards[icon],MATCH($E440,cards[object_id order],0)),"")</f>
        <v>#N/A</v>
      </c>
      <c r="N440" t="e">
        <f>IF(OR(D440=Lookup!$G$10,D440=Lookup!$G$11),INDEX(cards[[1]:[25]],MATCH($E440,cards[object_id order],0),'card-code'!G440),"")</f>
        <v>#N/A</v>
      </c>
      <c r="O440" t="str">
        <f t="shared" si="19"/>
        <v/>
      </c>
      <c r="P440" s="8" t="e">
        <f>INDEX(Lookup!$H$5:$H$11,MATCH(D440,Lookup!$G$5:$G$11,0))&amp;
K440&amp;L440&amp;M440&amp;N440&amp;
INDEX(Lookup!$I$5:$I$11,MATCH(D440,Lookup!$G$5:$G$11,0))</f>
        <v>#N/A</v>
      </c>
    </row>
    <row r="441" spans="2:16" x14ac:dyDescent="0.45">
      <c r="B441">
        <f t="shared" si="18"/>
        <v>439</v>
      </c>
      <c r="C441" t="e">
        <f t="shared" si="20"/>
        <v>#N/A</v>
      </c>
      <c r="D441" t="e">
        <f>VLOOKUP(C441,Lookup!$F$5:$G$11,2,FALSE)</f>
        <v>#N/A</v>
      </c>
      <c r="E441" t="e">
        <f>IF(D441=Lookup!$G$5,E440+1,E440)</f>
        <v>#N/A</v>
      </c>
      <c r="F441" s="3" t="e">
        <f>INDEX(cards[Entities count],MATCH('card-code'!E441,cards[object_id order],0))</f>
        <v>#N/A</v>
      </c>
      <c r="G441" t="e">
        <f>IF(D440=Lookup!$G$9,1,IF(D440=Lookup!$G$10,G440+1,""))</f>
        <v>#N/A</v>
      </c>
      <c r="H441" t="e">
        <f>IF(F441=1,  IF(D441=Lookup!$G$9,2,1),  IF(G441&lt;F441-1,0,1)  )</f>
        <v>#N/A</v>
      </c>
      <c r="I441" t="e">
        <f>IF(D441&lt;&gt;Lookup!$G$7,0,IF(INDEX(cards[name],MATCH(E441,cards[object_id order],0))&lt;&gt;"",0,1))</f>
        <v>#N/A</v>
      </c>
      <c r="J441" t="e">
        <f>IF(D441&lt;&gt;Lookup!$G$7,0,IF(INDEX(cards[icon],MATCH(E441,cards[object_id order],0))&lt;&gt;"",0,1))</f>
        <v>#N/A</v>
      </c>
      <c r="K441" t="e">
        <f>IF(D441=Lookup!$G$6,INDEX(cards[object_id],MATCH('card-code'!E441,cards[object_id order],0)),"")</f>
        <v>#N/A</v>
      </c>
      <c r="L441" t="e">
        <f>IF(D441=Lookup!$G$7,INDEX(cards[name],MATCH('card-code'!E441,cards[object_id order],0)),"")</f>
        <v>#N/A</v>
      </c>
      <c r="M441" t="e">
        <f>IF($D441=Lookup!$L$9,INDEX(cards[icon],MATCH($E441,cards[object_id order],0)),"")</f>
        <v>#N/A</v>
      </c>
      <c r="N441" t="e">
        <f>IF(OR(D441=Lookup!$G$10,D441=Lookup!$G$11),INDEX(cards[[1]:[25]],MATCH($E441,cards[object_id order],0),'card-code'!G441),"")</f>
        <v>#N/A</v>
      </c>
      <c r="O441" t="str">
        <f t="shared" si="19"/>
        <v/>
      </c>
      <c r="P441" s="8" t="e">
        <f>INDEX(Lookup!$H$5:$H$11,MATCH(D441,Lookup!$G$5:$G$11,0))&amp;
K441&amp;L441&amp;M441&amp;N441&amp;
INDEX(Lookup!$I$5:$I$11,MATCH(D441,Lookup!$G$5:$G$11,0))</f>
        <v>#N/A</v>
      </c>
    </row>
    <row r="442" spans="2:16" x14ac:dyDescent="0.45">
      <c r="B442">
        <f t="shared" si="18"/>
        <v>440</v>
      </c>
      <c r="C442" t="e">
        <f t="shared" si="20"/>
        <v>#N/A</v>
      </c>
      <c r="D442" t="e">
        <f>VLOOKUP(C442,Lookup!$F$5:$G$11,2,FALSE)</f>
        <v>#N/A</v>
      </c>
      <c r="E442" t="e">
        <f>IF(D442=Lookup!$G$5,E441+1,E441)</f>
        <v>#N/A</v>
      </c>
      <c r="F442" s="3" t="e">
        <f>INDEX(cards[Entities count],MATCH('card-code'!E442,cards[object_id order],0))</f>
        <v>#N/A</v>
      </c>
      <c r="G442" t="e">
        <f>IF(D441=Lookup!$G$9,1,IF(D441=Lookup!$G$10,G441+1,""))</f>
        <v>#N/A</v>
      </c>
      <c r="H442" t="e">
        <f>IF(F442=1,  IF(D442=Lookup!$G$9,2,1),  IF(G442&lt;F442-1,0,1)  )</f>
        <v>#N/A</v>
      </c>
      <c r="I442" t="e">
        <f>IF(D442&lt;&gt;Lookup!$G$7,0,IF(INDEX(cards[name],MATCH(E442,cards[object_id order],0))&lt;&gt;"",0,1))</f>
        <v>#N/A</v>
      </c>
      <c r="J442" t="e">
        <f>IF(D442&lt;&gt;Lookup!$G$7,0,IF(INDEX(cards[icon],MATCH(E442,cards[object_id order],0))&lt;&gt;"",0,1))</f>
        <v>#N/A</v>
      </c>
      <c r="K442" t="e">
        <f>IF(D442=Lookup!$G$6,INDEX(cards[object_id],MATCH('card-code'!E442,cards[object_id order],0)),"")</f>
        <v>#N/A</v>
      </c>
      <c r="L442" t="e">
        <f>IF(D442=Lookup!$G$7,INDEX(cards[name],MATCH('card-code'!E442,cards[object_id order],0)),"")</f>
        <v>#N/A</v>
      </c>
      <c r="M442" t="e">
        <f>IF($D442=Lookup!$L$9,INDEX(cards[icon],MATCH($E442,cards[object_id order],0)),"")</f>
        <v>#N/A</v>
      </c>
      <c r="N442" t="e">
        <f>IF(OR(D442=Lookup!$G$10,D442=Lookup!$G$11),INDEX(cards[[1]:[25]],MATCH($E442,cards[object_id order],0),'card-code'!G442),"")</f>
        <v>#N/A</v>
      </c>
      <c r="O442" t="str">
        <f t="shared" si="19"/>
        <v/>
      </c>
      <c r="P442" s="8" t="e">
        <f>INDEX(Lookup!$H$5:$H$11,MATCH(D442,Lookup!$G$5:$G$11,0))&amp;
K442&amp;L442&amp;M442&amp;N442&amp;
INDEX(Lookup!$I$5:$I$11,MATCH(D442,Lookup!$G$5:$G$11,0))</f>
        <v>#N/A</v>
      </c>
    </row>
    <row r="443" spans="2:16" x14ac:dyDescent="0.45">
      <c r="B443">
        <f t="shared" si="18"/>
        <v>441</v>
      </c>
      <c r="C443" t="e">
        <f t="shared" si="20"/>
        <v>#N/A</v>
      </c>
      <c r="D443" t="e">
        <f>VLOOKUP(C443,Lookup!$F$5:$G$11,2,FALSE)</f>
        <v>#N/A</v>
      </c>
      <c r="E443" t="e">
        <f>IF(D443=Lookup!$G$5,E442+1,E442)</f>
        <v>#N/A</v>
      </c>
      <c r="F443" s="3" t="e">
        <f>INDEX(cards[Entities count],MATCH('card-code'!E443,cards[object_id order],0))</f>
        <v>#N/A</v>
      </c>
      <c r="G443" t="e">
        <f>IF(D442=Lookup!$G$9,1,IF(D442=Lookup!$G$10,G442+1,""))</f>
        <v>#N/A</v>
      </c>
      <c r="H443" t="e">
        <f>IF(F443=1,  IF(D443=Lookup!$G$9,2,1),  IF(G443&lt;F443-1,0,1)  )</f>
        <v>#N/A</v>
      </c>
      <c r="I443" t="e">
        <f>IF(D443&lt;&gt;Lookup!$G$7,0,IF(INDEX(cards[name],MATCH(E443,cards[object_id order],0))&lt;&gt;"",0,1))</f>
        <v>#N/A</v>
      </c>
      <c r="J443" t="e">
        <f>IF(D443&lt;&gt;Lookup!$G$7,0,IF(INDEX(cards[icon],MATCH(E443,cards[object_id order],0))&lt;&gt;"",0,1))</f>
        <v>#N/A</v>
      </c>
      <c r="K443" t="e">
        <f>IF(D443=Lookup!$G$6,INDEX(cards[object_id],MATCH('card-code'!E443,cards[object_id order],0)),"")</f>
        <v>#N/A</v>
      </c>
      <c r="L443" t="e">
        <f>IF(D443=Lookup!$G$7,INDEX(cards[name],MATCH('card-code'!E443,cards[object_id order],0)),"")</f>
        <v>#N/A</v>
      </c>
      <c r="M443" t="e">
        <f>IF($D443=Lookup!$L$9,INDEX(cards[icon],MATCH($E443,cards[object_id order],0)),"")</f>
        <v>#N/A</v>
      </c>
      <c r="N443" t="e">
        <f>IF(OR(D443=Lookup!$G$10,D443=Lookup!$G$11),INDEX(cards[[1]:[25]],MATCH($E443,cards[object_id order],0),'card-code'!G443),"")</f>
        <v>#N/A</v>
      </c>
      <c r="O443" t="str">
        <f t="shared" si="19"/>
        <v/>
      </c>
      <c r="P443" s="8" t="e">
        <f>INDEX(Lookup!$H$5:$H$11,MATCH(D443,Lookup!$G$5:$G$11,0))&amp;
K443&amp;L443&amp;M443&amp;N443&amp;
INDEX(Lookup!$I$5:$I$11,MATCH(D443,Lookup!$G$5:$G$11,0))</f>
        <v>#N/A</v>
      </c>
    </row>
    <row r="444" spans="2:16" x14ac:dyDescent="0.45">
      <c r="B444">
        <f t="shared" si="18"/>
        <v>442</v>
      </c>
      <c r="C444" t="e">
        <f t="shared" si="20"/>
        <v>#N/A</v>
      </c>
      <c r="D444" t="e">
        <f>VLOOKUP(C444,Lookup!$F$5:$G$11,2,FALSE)</f>
        <v>#N/A</v>
      </c>
      <c r="E444" t="e">
        <f>IF(D444=Lookup!$G$5,E443+1,E443)</f>
        <v>#N/A</v>
      </c>
      <c r="F444" s="3" t="e">
        <f>INDEX(cards[Entities count],MATCH('card-code'!E444,cards[object_id order],0))</f>
        <v>#N/A</v>
      </c>
      <c r="G444" t="e">
        <f>IF(D443=Lookup!$G$9,1,IF(D443=Lookup!$G$10,G443+1,""))</f>
        <v>#N/A</v>
      </c>
      <c r="H444" t="e">
        <f>IF(F444=1,  IF(D444=Lookup!$G$9,2,1),  IF(G444&lt;F444-1,0,1)  )</f>
        <v>#N/A</v>
      </c>
      <c r="I444" t="e">
        <f>IF(D444&lt;&gt;Lookup!$G$7,0,IF(INDEX(cards[name],MATCH(E444,cards[object_id order],0))&lt;&gt;"",0,1))</f>
        <v>#N/A</v>
      </c>
      <c r="J444" t="e">
        <f>IF(D444&lt;&gt;Lookup!$G$7,0,IF(INDEX(cards[icon],MATCH(E444,cards[object_id order],0))&lt;&gt;"",0,1))</f>
        <v>#N/A</v>
      </c>
      <c r="K444" t="e">
        <f>IF(D444=Lookup!$G$6,INDEX(cards[object_id],MATCH('card-code'!E444,cards[object_id order],0)),"")</f>
        <v>#N/A</v>
      </c>
      <c r="L444" t="e">
        <f>IF(D444=Lookup!$G$7,INDEX(cards[name],MATCH('card-code'!E444,cards[object_id order],0)),"")</f>
        <v>#N/A</v>
      </c>
      <c r="M444" t="e">
        <f>IF($D444=Lookup!$L$9,INDEX(cards[icon],MATCH($E444,cards[object_id order],0)),"")</f>
        <v>#N/A</v>
      </c>
      <c r="N444" t="e">
        <f>IF(OR(D444=Lookup!$G$10,D444=Lookup!$G$11),INDEX(cards[[1]:[25]],MATCH($E444,cards[object_id order],0),'card-code'!G444),"")</f>
        <v>#N/A</v>
      </c>
      <c r="O444" t="str">
        <f t="shared" si="19"/>
        <v/>
      </c>
      <c r="P444" s="8" t="e">
        <f>INDEX(Lookup!$H$5:$H$11,MATCH(D444,Lookup!$G$5:$G$11,0))&amp;
K444&amp;L444&amp;M444&amp;N444&amp;
INDEX(Lookup!$I$5:$I$11,MATCH(D444,Lookup!$G$5:$G$11,0))</f>
        <v>#N/A</v>
      </c>
    </row>
    <row r="445" spans="2:16" x14ac:dyDescent="0.45">
      <c r="B445">
        <f t="shared" si="18"/>
        <v>443</v>
      </c>
      <c r="C445" t="e">
        <f t="shared" si="20"/>
        <v>#N/A</v>
      </c>
      <c r="D445" t="e">
        <f>VLOOKUP(C445,Lookup!$F$5:$G$11,2,FALSE)</f>
        <v>#N/A</v>
      </c>
      <c r="E445" t="e">
        <f>IF(D445=Lookup!$G$5,E444+1,E444)</f>
        <v>#N/A</v>
      </c>
      <c r="F445" s="3" t="e">
        <f>INDEX(cards[Entities count],MATCH('card-code'!E445,cards[object_id order],0))</f>
        <v>#N/A</v>
      </c>
      <c r="G445" t="e">
        <f>IF(D444=Lookup!$G$9,1,IF(D444=Lookup!$G$10,G444+1,""))</f>
        <v>#N/A</v>
      </c>
      <c r="H445" t="e">
        <f>IF(F445=1,  IF(D445=Lookup!$G$9,2,1),  IF(G445&lt;F445-1,0,1)  )</f>
        <v>#N/A</v>
      </c>
      <c r="I445" t="e">
        <f>IF(D445&lt;&gt;Lookup!$G$7,0,IF(INDEX(cards[name],MATCH(E445,cards[object_id order],0))&lt;&gt;"",0,1))</f>
        <v>#N/A</v>
      </c>
      <c r="J445" t="e">
        <f>IF(D445&lt;&gt;Lookup!$G$7,0,IF(INDEX(cards[icon],MATCH(E445,cards[object_id order],0))&lt;&gt;"",0,1))</f>
        <v>#N/A</v>
      </c>
      <c r="K445" t="e">
        <f>IF(D445=Lookup!$G$6,INDEX(cards[object_id],MATCH('card-code'!E445,cards[object_id order],0)),"")</f>
        <v>#N/A</v>
      </c>
      <c r="L445" t="e">
        <f>IF(D445=Lookup!$G$7,INDEX(cards[name],MATCH('card-code'!E445,cards[object_id order],0)),"")</f>
        <v>#N/A</v>
      </c>
      <c r="M445" t="e">
        <f>IF($D445=Lookup!$L$9,INDEX(cards[icon],MATCH($E445,cards[object_id order],0)),"")</f>
        <v>#N/A</v>
      </c>
      <c r="N445" t="e">
        <f>IF(OR(D445=Lookup!$G$10,D445=Lookup!$G$11),INDEX(cards[[1]:[25]],MATCH($E445,cards[object_id order],0),'card-code'!G445),"")</f>
        <v>#N/A</v>
      </c>
      <c r="O445" t="str">
        <f t="shared" si="19"/>
        <v/>
      </c>
      <c r="P445" s="8" t="e">
        <f>INDEX(Lookup!$H$5:$H$11,MATCH(D445,Lookup!$G$5:$G$11,0))&amp;
K445&amp;L445&amp;M445&amp;N445&amp;
INDEX(Lookup!$I$5:$I$11,MATCH(D445,Lookup!$G$5:$G$11,0))</f>
        <v>#N/A</v>
      </c>
    </row>
    <row r="446" spans="2:16" x14ac:dyDescent="0.45">
      <c r="B446">
        <f t="shared" si="18"/>
        <v>444</v>
      </c>
      <c r="C446" t="e">
        <f t="shared" si="20"/>
        <v>#N/A</v>
      </c>
      <c r="D446" t="e">
        <f>VLOOKUP(C446,Lookup!$F$5:$G$11,2,FALSE)</f>
        <v>#N/A</v>
      </c>
      <c r="E446" t="e">
        <f>IF(D446=Lookup!$G$5,E445+1,E445)</f>
        <v>#N/A</v>
      </c>
      <c r="F446" s="3" t="e">
        <f>INDEX(cards[Entities count],MATCH('card-code'!E446,cards[object_id order],0))</f>
        <v>#N/A</v>
      </c>
      <c r="G446" t="e">
        <f>IF(D445=Lookup!$G$9,1,IF(D445=Lookup!$G$10,G445+1,""))</f>
        <v>#N/A</v>
      </c>
      <c r="H446" t="e">
        <f>IF(F446=1,  IF(D446=Lookup!$G$9,2,1),  IF(G446&lt;F446-1,0,1)  )</f>
        <v>#N/A</v>
      </c>
      <c r="I446" t="e">
        <f>IF(D446&lt;&gt;Lookup!$G$7,0,IF(INDEX(cards[name],MATCH(E446,cards[object_id order],0))&lt;&gt;"",0,1))</f>
        <v>#N/A</v>
      </c>
      <c r="J446" t="e">
        <f>IF(D446&lt;&gt;Lookup!$G$7,0,IF(INDEX(cards[icon],MATCH(E446,cards[object_id order],0))&lt;&gt;"",0,1))</f>
        <v>#N/A</v>
      </c>
      <c r="K446" t="e">
        <f>IF(D446=Lookup!$G$6,INDEX(cards[object_id],MATCH('card-code'!E446,cards[object_id order],0)),"")</f>
        <v>#N/A</v>
      </c>
      <c r="L446" t="e">
        <f>IF(D446=Lookup!$G$7,INDEX(cards[name],MATCH('card-code'!E446,cards[object_id order],0)),"")</f>
        <v>#N/A</v>
      </c>
      <c r="M446" t="e">
        <f>IF($D446=Lookup!$L$9,INDEX(cards[icon],MATCH($E446,cards[object_id order],0)),"")</f>
        <v>#N/A</v>
      </c>
      <c r="N446" t="e">
        <f>IF(OR(D446=Lookup!$G$10,D446=Lookup!$G$11),INDEX(cards[[1]:[25]],MATCH($E446,cards[object_id order],0),'card-code'!G446),"")</f>
        <v>#N/A</v>
      </c>
      <c r="O446" t="str">
        <f t="shared" si="19"/>
        <v/>
      </c>
      <c r="P446" s="8" t="e">
        <f>INDEX(Lookup!$H$5:$H$11,MATCH(D446,Lookup!$G$5:$G$11,0))&amp;
K446&amp;L446&amp;M446&amp;N446&amp;
INDEX(Lookup!$I$5:$I$11,MATCH(D446,Lookup!$G$5:$G$11,0))</f>
        <v>#N/A</v>
      </c>
    </row>
    <row r="447" spans="2:16" x14ac:dyDescent="0.45">
      <c r="B447">
        <f t="shared" si="18"/>
        <v>445</v>
      </c>
      <c r="C447" t="e">
        <f t="shared" si="20"/>
        <v>#N/A</v>
      </c>
      <c r="D447" t="e">
        <f>VLOOKUP(C447,Lookup!$F$5:$G$11,2,FALSE)</f>
        <v>#N/A</v>
      </c>
      <c r="E447" t="e">
        <f>IF(D447=Lookup!$G$5,E446+1,E446)</f>
        <v>#N/A</v>
      </c>
      <c r="F447" s="3" t="e">
        <f>INDEX(cards[Entities count],MATCH('card-code'!E447,cards[object_id order],0))</f>
        <v>#N/A</v>
      </c>
      <c r="G447" t="e">
        <f>IF(D446=Lookup!$G$9,1,IF(D446=Lookup!$G$10,G446+1,""))</f>
        <v>#N/A</v>
      </c>
      <c r="H447" t="e">
        <f>IF(F447=1,  IF(D447=Lookup!$G$9,2,1),  IF(G447&lt;F447-1,0,1)  )</f>
        <v>#N/A</v>
      </c>
      <c r="I447" t="e">
        <f>IF(D447&lt;&gt;Lookup!$G$7,0,IF(INDEX(cards[name],MATCH(E447,cards[object_id order],0))&lt;&gt;"",0,1))</f>
        <v>#N/A</v>
      </c>
      <c r="J447" t="e">
        <f>IF(D447&lt;&gt;Lookup!$G$7,0,IF(INDEX(cards[icon],MATCH(E447,cards[object_id order],0))&lt;&gt;"",0,1))</f>
        <v>#N/A</v>
      </c>
      <c r="K447" t="e">
        <f>IF(D447=Lookup!$G$6,INDEX(cards[object_id],MATCH('card-code'!E447,cards[object_id order],0)),"")</f>
        <v>#N/A</v>
      </c>
      <c r="L447" t="e">
        <f>IF(D447=Lookup!$G$7,INDEX(cards[name],MATCH('card-code'!E447,cards[object_id order],0)),"")</f>
        <v>#N/A</v>
      </c>
      <c r="M447" t="e">
        <f>IF($D447=Lookup!$L$9,INDEX(cards[icon],MATCH($E447,cards[object_id order],0)),"")</f>
        <v>#N/A</v>
      </c>
      <c r="N447" t="e">
        <f>IF(OR(D447=Lookup!$G$10,D447=Lookup!$G$11),INDEX(cards[[1]:[25]],MATCH($E447,cards[object_id order],0),'card-code'!G447),"")</f>
        <v>#N/A</v>
      </c>
      <c r="O447" t="str">
        <f t="shared" si="19"/>
        <v/>
      </c>
      <c r="P447" s="8" t="e">
        <f>INDEX(Lookup!$H$5:$H$11,MATCH(D447,Lookup!$G$5:$G$11,0))&amp;
K447&amp;L447&amp;M447&amp;N447&amp;
INDEX(Lookup!$I$5:$I$11,MATCH(D447,Lookup!$G$5:$G$11,0))</f>
        <v>#N/A</v>
      </c>
    </row>
    <row r="448" spans="2:16" x14ac:dyDescent="0.45">
      <c r="B448">
        <f t="shared" si="18"/>
        <v>446</v>
      </c>
      <c r="C448" t="e">
        <f t="shared" si="20"/>
        <v>#N/A</v>
      </c>
      <c r="D448" t="e">
        <f>VLOOKUP(C448,Lookup!$F$5:$G$11,2,FALSE)</f>
        <v>#N/A</v>
      </c>
      <c r="E448" t="e">
        <f>IF(D448=Lookup!$G$5,E447+1,E447)</f>
        <v>#N/A</v>
      </c>
      <c r="F448" s="3" t="e">
        <f>INDEX(cards[Entities count],MATCH('card-code'!E448,cards[object_id order],0))</f>
        <v>#N/A</v>
      </c>
      <c r="G448" t="e">
        <f>IF(D447=Lookup!$G$9,1,IF(D447=Lookup!$G$10,G447+1,""))</f>
        <v>#N/A</v>
      </c>
      <c r="H448" t="e">
        <f>IF(F448=1,  IF(D448=Lookup!$G$9,2,1),  IF(G448&lt;F448-1,0,1)  )</f>
        <v>#N/A</v>
      </c>
      <c r="I448" t="e">
        <f>IF(D448&lt;&gt;Lookup!$G$7,0,IF(INDEX(cards[name],MATCH(E448,cards[object_id order],0))&lt;&gt;"",0,1))</f>
        <v>#N/A</v>
      </c>
      <c r="J448" t="e">
        <f>IF(D448&lt;&gt;Lookup!$G$7,0,IF(INDEX(cards[icon],MATCH(E448,cards[object_id order],0))&lt;&gt;"",0,1))</f>
        <v>#N/A</v>
      </c>
      <c r="K448" t="e">
        <f>IF(D448=Lookup!$G$6,INDEX(cards[object_id],MATCH('card-code'!E448,cards[object_id order],0)),"")</f>
        <v>#N/A</v>
      </c>
      <c r="L448" t="e">
        <f>IF(D448=Lookup!$G$7,INDEX(cards[name],MATCH('card-code'!E448,cards[object_id order],0)),"")</f>
        <v>#N/A</v>
      </c>
      <c r="M448" t="e">
        <f>IF($D448=Lookup!$L$9,INDEX(cards[icon],MATCH($E448,cards[object_id order],0)),"")</f>
        <v>#N/A</v>
      </c>
      <c r="N448" t="e">
        <f>IF(OR(D448=Lookup!$G$10,D448=Lookup!$G$11),INDEX(cards[[1]:[25]],MATCH($E448,cards[object_id order],0),'card-code'!G448),"")</f>
        <v>#N/A</v>
      </c>
      <c r="O448" t="str">
        <f t="shared" si="19"/>
        <v/>
      </c>
      <c r="P448" s="8" t="e">
        <f>INDEX(Lookup!$H$5:$H$11,MATCH(D448,Lookup!$G$5:$G$11,0))&amp;
K448&amp;L448&amp;M448&amp;N448&amp;
INDEX(Lookup!$I$5:$I$11,MATCH(D448,Lookup!$G$5:$G$11,0))</f>
        <v>#N/A</v>
      </c>
    </row>
    <row r="449" spans="2:16" x14ac:dyDescent="0.45">
      <c r="B449">
        <f t="shared" si="18"/>
        <v>447</v>
      </c>
      <c r="C449" t="e">
        <f t="shared" si="20"/>
        <v>#N/A</v>
      </c>
      <c r="D449" t="e">
        <f>VLOOKUP(C449,Lookup!$F$5:$G$11,2,FALSE)</f>
        <v>#N/A</v>
      </c>
      <c r="E449" t="e">
        <f>IF(D449=Lookup!$G$5,E448+1,E448)</f>
        <v>#N/A</v>
      </c>
      <c r="F449" s="3" t="e">
        <f>INDEX(cards[Entities count],MATCH('card-code'!E449,cards[object_id order],0))</f>
        <v>#N/A</v>
      </c>
      <c r="G449" t="e">
        <f>IF(D448=Lookup!$G$9,1,IF(D448=Lookup!$G$10,G448+1,""))</f>
        <v>#N/A</v>
      </c>
      <c r="H449" t="e">
        <f>IF(F449=1,  IF(D449=Lookup!$G$9,2,1),  IF(G449&lt;F449-1,0,1)  )</f>
        <v>#N/A</v>
      </c>
      <c r="I449" t="e">
        <f>IF(D449&lt;&gt;Lookup!$G$7,0,IF(INDEX(cards[name],MATCH(E449,cards[object_id order],0))&lt;&gt;"",0,1))</f>
        <v>#N/A</v>
      </c>
      <c r="J449" t="e">
        <f>IF(D449&lt;&gt;Lookup!$G$7,0,IF(INDEX(cards[icon],MATCH(E449,cards[object_id order],0))&lt;&gt;"",0,1))</f>
        <v>#N/A</v>
      </c>
      <c r="K449" t="e">
        <f>IF(D449=Lookup!$G$6,INDEX(cards[object_id],MATCH('card-code'!E449,cards[object_id order],0)),"")</f>
        <v>#N/A</v>
      </c>
      <c r="L449" t="e">
        <f>IF(D449=Lookup!$G$7,INDEX(cards[name],MATCH('card-code'!E449,cards[object_id order],0)),"")</f>
        <v>#N/A</v>
      </c>
      <c r="M449" t="e">
        <f>IF($D449=Lookup!$L$9,INDEX(cards[icon],MATCH($E449,cards[object_id order],0)),"")</f>
        <v>#N/A</v>
      </c>
      <c r="N449" t="e">
        <f>IF(OR(D449=Lookup!$G$10,D449=Lookup!$G$11),INDEX(cards[[1]:[25]],MATCH($E449,cards[object_id order],0),'card-code'!G449),"")</f>
        <v>#N/A</v>
      </c>
      <c r="O449" t="str">
        <f t="shared" si="19"/>
        <v/>
      </c>
      <c r="P449" s="8" t="e">
        <f>INDEX(Lookup!$H$5:$H$11,MATCH(D449,Lookup!$G$5:$G$11,0))&amp;
K449&amp;L449&amp;M449&amp;N449&amp;
INDEX(Lookup!$I$5:$I$11,MATCH(D449,Lookup!$G$5:$G$11,0))</f>
        <v>#N/A</v>
      </c>
    </row>
    <row r="450" spans="2:16" x14ac:dyDescent="0.45">
      <c r="B450">
        <f t="shared" si="18"/>
        <v>448</v>
      </c>
      <c r="C450" t="e">
        <f t="shared" si="20"/>
        <v>#N/A</v>
      </c>
      <c r="D450" t="e">
        <f>VLOOKUP(C450,Lookup!$F$5:$G$11,2,FALSE)</f>
        <v>#N/A</v>
      </c>
      <c r="E450" t="e">
        <f>IF(D450=Lookup!$G$5,E449+1,E449)</f>
        <v>#N/A</v>
      </c>
      <c r="F450" s="3" t="e">
        <f>INDEX(cards[Entities count],MATCH('card-code'!E450,cards[object_id order],0))</f>
        <v>#N/A</v>
      </c>
      <c r="G450" t="e">
        <f>IF(D449=Lookup!$G$9,1,IF(D449=Lookup!$G$10,G449+1,""))</f>
        <v>#N/A</v>
      </c>
      <c r="H450" t="e">
        <f>IF(F450=1,  IF(D450=Lookup!$G$9,2,1),  IF(G450&lt;F450-1,0,1)  )</f>
        <v>#N/A</v>
      </c>
      <c r="I450" t="e">
        <f>IF(D450&lt;&gt;Lookup!$G$7,0,IF(INDEX(cards[name],MATCH(E450,cards[object_id order],0))&lt;&gt;"",0,1))</f>
        <v>#N/A</v>
      </c>
      <c r="J450" t="e">
        <f>IF(D450&lt;&gt;Lookup!$G$7,0,IF(INDEX(cards[icon],MATCH(E450,cards[object_id order],0))&lt;&gt;"",0,1))</f>
        <v>#N/A</v>
      </c>
      <c r="K450" t="e">
        <f>IF(D450=Lookup!$G$6,INDEX(cards[object_id],MATCH('card-code'!E450,cards[object_id order],0)),"")</f>
        <v>#N/A</v>
      </c>
      <c r="L450" t="e">
        <f>IF(D450=Lookup!$G$7,INDEX(cards[name],MATCH('card-code'!E450,cards[object_id order],0)),"")</f>
        <v>#N/A</v>
      </c>
      <c r="M450" t="e">
        <f>IF($D450=Lookup!$L$9,INDEX(cards[icon],MATCH($E450,cards[object_id order],0)),"")</f>
        <v>#N/A</v>
      </c>
      <c r="N450" t="e">
        <f>IF(OR(D450=Lookup!$G$10,D450=Lookup!$G$11),INDEX(cards[[1]:[25]],MATCH($E450,cards[object_id order],0),'card-code'!G450),"")</f>
        <v>#N/A</v>
      </c>
      <c r="O450" t="str">
        <f t="shared" si="19"/>
        <v/>
      </c>
      <c r="P450" s="8" t="e">
        <f>INDEX(Lookup!$H$5:$H$11,MATCH(D450,Lookup!$G$5:$G$11,0))&amp;
K450&amp;L450&amp;M450&amp;N450&amp;
INDEX(Lookup!$I$5:$I$11,MATCH(D450,Lookup!$G$5:$G$11,0))</f>
        <v>#N/A</v>
      </c>
    </row>
    <row r="451" spans="2:16" x14ac:dyDescent="0.45">
      <c r="B451">
        <f t="shared" si="18"/>
        <v>449</v>
      </c>
      <c r="C451" t="e">
        <f t="shared" si="20"/>
        <v>#N/A</v>
      </c>
      <c r="D451" t="e">
        <f>VLOOKUP(C451,Lookup!$F$5:$G$11,2,FALSE)</f>
        <v>#N/A</v>
      </c>
      <c r="E451" t="e">
        <f>IF(D451=Lookup!$G$5,E450+1,E450)</f>
        <v>#N/A</v>
      </c>
      <c r="F451" s="3" t="e">
        <f>INDEX(cards[Entities count],MATCH('card-code'!E451,cards[object_id order],0))</f>
        <v>#N/A</v>
      </c>
      <c r="G451" t="e">
        <f>IF(D450=Lookup!$G$9,1,IF(D450=Lookup!$G$10,G450+1,""))</f>
        <v>#N/A</v>
      </c>
      <c r="H451" t="e">
        <f>IF(F451=1,  IF(D451=Lookup!$G$9,2,1),  IF(G451&lt;F451-1,0,1)  )</f>
        <v>#N/A</v>
      </c>
      <c r="I451" t="e">
        <f>IF(D451&lt;&gt;Lookup!$G$7,0,IF(INDEX(cards[name],MATCH(E451,cards[object_id order],0))&lt;&gt;"",0,1))</f>
        <v>#N/A</v>
      </c>
      <c r="J451" t="e">
        <f>IF(D451&lt;&gt;Lookup!$G$7,0,IF(INDEX(cards[icon],MATCH(E451,cards[object_id order],0))&lt;&gt;"",0,1))</f>
        <v>#N/A</v>
      </c>
      <c r="K451" t="e">
        <f>IF(D451=Lookup!$G$6,INDEX(cards[object_id],MATCH('card-code'!E451,cards[object_id order],0)),"")</f>
        <v>#N/A</v>
      </c>
      <c r="L451" t="e">
        <f>IF(D451=Lookup!$G$7,INDEX(cards[name],MATCH('card-code'!E451,cards[object_id order],0)),"")</f>
        <v>#N/A</v>
      </c>
      <c r="M451" t="e">
        <f>IF($D451=Lookup!$L$9,INDEX(cards[icon],MATCH($E451,cards[object_id order],0)),"")</f>
        <v>#N/A</v>
      </c>
      <c r="N451" t="e">
        <f>IF(OR(D451=Lookup!$G$10,D451=Lookup!$G$11),INDEX(cards[[1]:[25]],MATCH($E451,cards[object_id order],0),'card-code'!G451),"")</f>
        <v>#N/A</v>
      </c>
      <c r="O451" t="str">
        <f t="shared" si="19"/>
        <v/>
      </c>
      <c r="P451" s="8" t="e">
        <f>INDEX(Lookup!$H$5:$H$11,MATCH(D451,Lookup!$G$5:$G$11,0))&amp;
K451&amp;L451&amp;M451&amp;N451&amp;
INDEX(Lookup!$I$5:$I$11,MATCH(D451,Lookup!$G$5:$G$11,0))</f>
        <v>#N/A</v>
      </c>
    </row>
    <row r="452" spans="2:16" x14ac:dyDescent="0.45">
      <c r="B452">
        <f t="shared" si="18"/>
        <v>450</v>
      </c>
      <c r="C452" t="e">
        <f t="shared" si="20"/>
        <v>#N/A</v>
      </c>
      <c r="D452" t="e">
        <f>VLOOKUP(C452,Lookup!$F$5:$G$11,2,FALSE)</f>
        <v>#N/A</v>
      </c>
      <c r="E452" t="e">
        <f>IF(D452=Lookup!$G$5,E451+1,E451)</f>
        <v>#N/A</v>
      </c>
      <c r="F452" s="3" t="e">
        <f>INDEX(cards[Entities count],MATCH('card-code'!E452,cards[object_id order],0))</f>
        <v>#N/A</v>
      </c>
      <c r="G452" t="e">
        <f>IF(D451=Lookup!$G$9,1,IF(D451=Lookup!$G$10,G451+1,""))</f>
        <v>#N/A</v>
      </c>
      <c r="H452" t="e">
        <f>IF(F452=1,  IF(D452=Lookup!$G$9,2,1),  IF(G452&lt;F452-1,0,1)  )</f>
        <v>#N/A</v>
      </c>
      <c r="I452" t="e">
        <f>IF(D452&lt;&gt;Lookup!$G$7,0,IF(INDEX(cards[name],MATCH(E452,cards[object_id order],0))&lt;&gt;"",0,1))</f>
        <v>#N/A</v>
      </c>
      <c r="J452" t="e">
        <f>IF(D452&lt;&gt;Lookup!$G$7,0,IF(INDEX(cards[icon],MATCH(E452,cards[object_id order],0))&lt;&gt;"",0,1))</f>
        <v>#N/A</v>
      </c>
      <c r="K452" t="e">
        <f>IF(D452=Lookup!$G$6,INDEX(cards[object_id],MATCH('card-code'!E452,cards[object_id order],0)),"")</f>
        <v>#N/A</v>
      </c>
      <c r="L452" t="e">
        <f>IF(D452=Lookup!$G$7,INDEX(cards[name],MATCH('card-code'!E452,cards[object_id order],0)),"")</f>
        <v>#N/A</v>
      </c>
      <c r="M452" t="e">
        <f>IF($D452=Lookup!$L$9,INDEX(cards[icon],MATCH($E452,cards[object_id order],0)),"")</f>
        <v>#N/A</v>
      </c>
      <c r="N452" t="e">
        <f>IF(OR(D452=Lookup!$G$10,D452=Lookup!$G$11),INDEX(cards[[1]:[25]],MATCH($E452,cards[object_id order],0),'card-code'!G452),"")</f>
        <v>#N/A</v>
      </c>
      <c r="O452" t="str">
        <f t="shared" si="19"/>
        <v/>
      </c>
      <c r="P452" s="8" t="e">
        <f>INDEX(Lookup!$H$5:$H$11,MATCH(D452,Lookup!$G$5:$G$11,0))&amp;
K452&amp;L452&amp;M452&amp;N452&amp;
INDEX(Lookup!$I$5:$I$11,MATCH(D452,Lookup!$G$5:$G$11,0))</f>
        <v>#N/A</v>
      </c>
    </row>
    <row r="453" spans="2:16" x14ac:dyDescent="0.45">
      <c r="B453">
        <f t="shared" ref="B453:B502" si="21">B452+1</f>
        <v>451</v>
      </c>
      <c r="C453" t="e">
        <f t="shared" si="20"/>
        <v>#N/A</v>
      </c>
      <c r="D453" t="e">
        <f>VLOOKUP(C453,Lookup!$F$5:$G$11,2,FALSE)</f>
        <v>#N/A</v>
      </c>
      <c r="E453" t="e">
        <f>IF(D453=Lookup!$G$5,E452+1,E452)</f>
        <v>#N/A</v>
      </c>
      <c r="F453" s="3" t="e">
        <f>INDEX(cards[Entities count],MATCH('card-code'!E453,cards[object_id order],0))</f>
        <v>#N/A</v>
      </c>
      <c r="G453" t="e">
        <f>IF(D452=Lookup!$G$9,1,IF(D452=Lookup!$G$10,G452+1,""))</f>
        <v>#N/A</v>
      </c>
      <c r="H453" t="e">
        <f>IF(F453=1,  IF(D453=Lookup!$G$9,2,1),  IF(G453&lt;F453-1,0,1)  )</f>
        <v>#N/A</v>
      </c>
      <c r="I453" t="e">
        <f>IF(D453&lt;&gt;Lookup!$G$7,0,IF(INDEX(cards[name],MATCH(E453,cards[object_id order],0))&lt;&gt;"",0,1))</f>
        <v>#N/A</v>
      </c>
      <c r="J453" t="e">
        <f>IF(D453&lt;&gt;Lookup!$G$7,0,IF(INDEX(cards[icon],MATCH(E453,cards[object_id order],0))&lt;&gt;"",0,1))</f>
        <v>#N/A</v>
      </c>
      <c r="K453" t="e">
        <f>IF(D453=Lookup!$G$6,INDEX(cards[object_id],MATCH('card-code'!E453,cards[object_id order],0)),"")</f>
        <v>#N/A</v>
      </c>
      <c r="L453" t="e">
        <f>IF(D453=Lookup!$G$7,INDEX(cards[name],MATCH('card-code'!E453,cards[object_id order],0)),"")</f>
        <v>#N/A</v>
      </c>
      <c r="M453" t="e">
        <f>IF($D453=Lookup!$L$9,INDEX(cards[icon],MATCH($E453,cards[object_id order],0)),"")</f>
        <v>#N/A</v>
      </c>
      <c r="N453" t="e">
        <f>IF(OR(D453=Lookup!$G$10,D453=Lookup!$G$11),INDEX(cards[[1]:[25]],MATCH($E453,cards[object_id order],0),'card-code'!G453),"")</f>
        <v>#N/A</v>
      </c>
      <c r="O453" t="str">
        <f t="shared" ref="O453:O502" si="22">IF(AND(NOT(ISNA(F452)),ISNA(F453)),"END","")</f>
        <v/>
      </c>
      <c r="P453" s="8" t="e">
        <f>INDEX(Lookup!$H$5:$H$11,MATCH(D453,Lookup!$G$5:$G$11,0))&amp;
K453&amp;L453&amp;M453&amp;N453&amp;
INDEX(Lookup!$I$5:$I$11,MATCH(D453,Lookup!$G$5:$G$11,0))</f>
        <v>#N/A</v>
      </c>
    </row>
    <row r="454" spans="2:16" x14ac:dyDescent="0.45">
      <c r="B454">
        <f t="shared" si="21"/>
        <v>452</v>
      </c>
      <c r="C454" t="e">
        <f t="shared" si="20"/>
        <v>#N/A</v>
      </c>
      <c r="D454" t="e">
        <f>VLOOKUP(C454,Lookup!$F$5:$G$11,2,FALSE)</f>
        <v>#N/A</v>
      </c>
      <c r="E454" t="e">
        <f>IF(D454=Lookup!$G$5,E453+1,E453)</f>
        <v>#N/A</v>
      </c>
      <c r="F454" s="3" t="e">
        <f>INDEX(cards[Entities count],MATCH('card-code'!E454,cards[object_id order],0))</f>
        <v>#N/A</v>
      </c>
      <c r="G454" t="e">
        <f>IF(D453=Lookup!$G$9,1,IF(D453=Lookup!$G$10,G453+1,""))</f>
        <v>#N/A</v>
      </c>
      <c r="H454" t="e">
        <f>IF(F454=1,  IF(D454=Lookup!$G$9,2,1),  IF(G454&lt;F454-1,0,1)  )</f>
        <v>#N/A</v>
      </c>
      <c r="I454" t="e">
        <f>IF(D454&lt;&gt;Lookup!$G$7,0,IF(INDEX(cards[name],MATCH(E454,cards[object_id order],0))&lt;&gt;"",0,1))</f>
        <v>#N/A</v>
      </c>
      <c r="J454" t="e">
        <f>IF(D454&lt;&gt;Lookup!$G$7,0,IF(INDEX(cards[icon],MATCH(E454,cards[object_id order],0))&lt;&gt;"",0,1))</f>
        <v>#N/A</v>
      </c>
      <c r="K454" t="e">
        <f>IF(D454=Lookup!$G$6,INDEX(cards[object_id],MATCH('card-code'!E454,cards[object_id order],0)),"")</f>
        <v>#N/A</v>
      </c>
      <c r="L454" t="e">
        <f>IF(D454=Lookup!$G$7,INDEX(cards[name],MATCH('card-code'!E454,cards[object_id order],0)),"")</f>
        <v>#N/A</v>
      </c>
      <c r="M454" t="e">
        <f>IF($D454=Lookup!$L$9,INDEX(cards[icon],MATCH($E454,cards[object_id order],0)),"")</f>
        <v>#N/A</v>
      </c>
      <c r="N454" t="e">
        <f>IF(OR(D454=Lookup!$G$10,D454=Lookup!$G$11),INDEX(cards[[1]:[25]],MATCH($E454,cards[object_id order],0),'card-code'!G454),"")</f>
        <v>#N/A</v>
      </c>
      <c r="O454" t="str">
        <f t="shared" si="22"/>
        <v/>
      </c>
      <c r="P454" s="8" t="e">
        <f>INDEX(Lookup!$H$5:$H$11,MATCH(D454,Lookup!$G$5:$G$11,0))&amp;
K454&amp;L454&amp;M454&amp;N454&amp;
INDEX(Lookup!$I$5:$I$11,MATCH(D454,Lookup!$G$5:$G$11,0))</f>
        <v>#N/A</v>
      </c>
    </row>
    <row r="455" spans="2:16" x14ac:dyDescent="0.45">
      <c r="B455">
        <f t="shared" si="21"/>
        <v>453</v>
      </c>
      <c r="C455" t="e">
        <f t="shared" ref="C455:C502" si="23">IF(C454=7,  1,  C454+SUM(H454:J454)  )</f>
        <v>#N/A</v>
      </c>
      <c r="D455" t="e">
        <f>VLOOKUP(C455,Lookup!$F$5:$G$11,2,FALSE)</f>
        <v>#N/A</v>
      </c>
      <c r="E455" t="e">
        <f>IF(D455=Lookup!$G$5,E454+1,E454)</f>
        <v>#N/A</v>
      </c>
      <c r="F455" s="3" t="e">
        <f>INDEX(cards[Entities count],MATCH('card-code'!E455,cards[object_id order],0))</f>
        <v>#N/A</v>
      </c>
      <c r="G455" t="e">
        <f>IF(D454=Lookup!$G$9,1,IF(D454=Lookup!$G$10,G454+1,""))</f>
        <v>#N/A</v>
      </c>
      <c r="H455" t="e">
        <f>IF(F455=1,  IF(D455=Lookup!$G$9,2,1),  IF(G455&lt;F455-1,0,1)  )</f>
        <v>#N/A</v>
      </c>
      <c r="I455" t="e">
        <f>IF(D455&lt;&gt;Lookup!$G$7,0,IF(INDEX(cards[name],MATCH(E455,cards[object_id order],0))&lt;&gt;"",0,1))</f>
        <v>#N/A</v>
      </c>
      <c r="J455" t="e">
        <f>IF(D455&lt;&gt;Lookup!$G$7,0,IF(INDEX(cards[icon],MATCH(E455,cards[object_id order],0))&lt;&gt;"",0,1))</f>
        <v>#N/A</v>
      </c>
      <c r="K455" t="e">
        <f>IF(D455=Lookup!$G$6,INDEX(cards[object_id],MATCH('card-code'!E455,cards[object_id order],0)),"")</f>
        <v>#N/A</v>
      </c>
      <c r="L455" t="e">
        <f>IF(D455=Lookup!$G$7,INDEX(cards[name],MATCH('card-code'!E455,cards[object_id order],0)),"")</f>
        <v>#N/A</v>
      </c>
      <c r="M455" t="e">
        <f>IF($D455=Lookup!$L$9,INDEX(cards[icon],MATCH($E455,cards[object_id order],0)),"")</f>
        <v>#N/A</v>
      </c>
      <c r="N455" t="e">
        <f>IF(OR(D455=Lookup!$G$10,D455=Lookup!$G$11),INDEX(cards[[1]:[25]],MATCH($E455,cards[object_id order],0),'card-code'!G455),"")</f>
        <v>#N/A</v>
      </c>
      <c r="O455" t="str">
        <f t="shared" si="22"/>
        <v/>
      </c>
      <c r="P455" s="8" t="e">
        <f>INDEX(Lookup!$H$5:$H$11,MATCH(D455,Lookup!$G$5:$G$11,0))&amp;
K455&amp;L455&amp;M455&amp;N455&amp;
INDEX(Lookup!$I$5:$I$11,MATCH(D455,Lookup!$G$5:$G$11,0))</f>
        <v>#N/A</v>
      </c>
    </row>
    <row r="456" spans="2:16" x14ac:dyDescent="0.45">
      <c r="B456">
        <f t="shared" si="21"/>
        <v>454</v>
      </c>
      <c r="C456" t="e">
        <f t="shared" si="23"/>
        <v>#N/A</v>
      </c>
      <c r="D456" t="e">
        <f>VLOOKUP(C456,Lookup!$F$5:$G$11,2,FALSE)</f>
        <v>#N/A</v>
      </c>
      <c r="E456" t="e">
        <f>IF(D456=Lookup!$G$5,E455+1,E455)</f>
        <v>#N/A</v>
      </c>
      <c r="F456" s="3" t="e">
        <f>INDEX(cards[Entities count],MATCH('card-code'!E456,cards[object_id order],0))</f>
        <v>#N/A</v>
      </c>
      <c r="G456" t="e">
        <f>IF(D455=Lookup!$G$9,1,IF(D455=Lookup!$G$10,G455+1,""))</f>
        <v>#N/A</v>
      </c>
      <c r="H456" t="e">
        <f>IF(F456=1,  IF(D456=Lookup!$G$9,2,1),  IF(G456&lt;F456-1,0,1)  )</f>
        <v>#N/A</v>
      </c>
      <c r="I456" t="e">
        <f>IF(D456&lt;&gt;Lookup!$G$7,0,IF(INDEX(cards[name],MATCH(E456,cards[object_id order],0))&lt;&gt;"",0,1))</f>
        <v>#N/A</v>
      </c>
      <c r="J456" t="e">
        <f>IF(D456&lt;&gt;Lookup!$G$7,0,IF(INDEX(cards[icon],MATCH(E456,cards[object_id order],0))&lt;&gt;"",0,1))</f>
        <v>#N/A</v>
      </c>
      <c r="K456" t="e">
        <f>IF(D456=Lookup!$G$6,INDEX(cards[object_id],MATCH('card-code'!E456,cards[object_id order],0)),"")</f>
        <v>#N/A</v>
      </c>
      <c r="L456" t="e">
        <f>IF(D456=Lookup!$G$7,INDEX(cards[name],MATCH('card-code'!E456,cards[object_id order],0)),"")</f>
        <v>#N/A</v>
      </c>
      <c r="M456" t="e">
        <f>IF($D456=Lookup!$L$9,INDEX(cards[icon],MATCH($E456,cards[object_id order],0)),"")</f>
        <v>#N/A</v>
      </c>
      <c r="N456" t="e">
        <f>IF(OR(D456=Lookup!$G$10,D456=Lookup!$G$11),INDEX(cards[[1]:[25]],MATCH($E456,cards[object_id order],0),'card-code'!G456),"")</f>
        <v>#N/A</v>
      </c>
      <c r="O456" t="str">
        <f t="shared" si="22"/>
        <v/>
      </c>
      <c r="P456" s="8" t="e">
        <f>INDEX(Lookup!$H$5:$H$11,MATCH(D456,Lookup!$G$5:$G$11,0))&amp;
K456&amp;L456&amp;M456&amp;N456&amp;
INDEX(Lookup!$I$5:$I$11,MATCH(D456,Lookup!$G$5:$G$11,0))</f>
        <v>#N/A</v>
      </c>
    </row>
    <row r="457" spans="2:16" x14ac:dyDescent="0.45">
      <c r="B457">
        <f t="shared" si="21"/>
        <v>455</v>
      </c>
      <c r="C457" t="e">
        <f t="shared" si="23"/>
        <v>#N/A</v>
      </c>
      <c r="D457" t="e">
        <f>VLOOKUP(C457,Lookup!$F$5:$G$11,2,FALSE)</f>
        <v>#N/A</v>
      </c>
      <c r="E457" t="e">
        <f>IF(D457=Lookup!$G$5,E456+1,E456)</f>
        <v>#N/A</v>
      </c>
      <c r="F457" s="3" t="e">
        <f>INDEX(cards[Entities count],MATCH('card-code'!E457,cards[object_id order],0))</f>
        <v>#N/A</v>
      </c>
      <c r="G457" t="e">
        <f>IF(D456=Lookup!$G$9,1,IF(D456=Lookup!$G$10,G456+1,""))</f>
        <v>#N/A</v>
      </c>
      <c r="H457" t="e">
        <f>IF(F457=1,  IF(D457=Lookup!$G$9,2,1),  IF(G457&lt;F457-1,0,1)  )</f>
        <v>#N/A</v>
      </c>
      <c r="I457" t="e">
        <f>IF(D457&lt;&gt;Lookup!$G$7,0,IF(INDEX(cards[name],MATCH(E457,cards[object_id order],0))&lt;&gt;"",0,1))</f>
        <v>#N/A</v>
      </c>
      <c r="J457" t="e">
        <f>IF(D457&lt;&gt;Lookup!$G$7,0,IF(INDEX(cards[icon],MATCH(E457,cards[object_id order],0))&lt;&gt;"",0,1))</f>
        <v>#N/A</v>
      </c>
      <c r="K457" t="e">
        <f>IF(D457=Lookup!$G$6,INDEX(cards[object_id],MATCH('card-code'!E457,cards[object_id order],0)),"")</f>
        <v>#N/A</v>
      </c>
      <c r="L457" t="e">
        <f>IF(D457=Lookup!$G$7,INDEX(cards[name],MATCH('card-code'!E457,cards[object_id order],0)),"")</f>
        <v>#N/A</v>
      </c>
      <c r="M457" t="e">
        <f>IF($D457=Lookup!$L$9,INDEX(cards[icon],MATCH($E457,cards[object_id order],0)),"")</f>
        <v>#N/A</v>
      </c>
      <c r="N457" t="e">
        <f>IF(OR(D457=Lookup!$G$10,D457=Lookup!$G$11),INDEX(cards[[1]:[25]],MATCH($E457,cards[object_id order],0),'card-code'!G457),"")</f>
        <v>#N/A</v>
      </c>
      <c r="O457" t="str">
        <f t="shared" si="22"/>
        <v/>
      </c>
      <c r="P457" s="8" t="e">
        <f>INDEX(Lookup!$H$5:$H$11,MATCH(D457,Lookup!$G$5:$G$11,0))&amp;
K457&amp;L457&amp;M457&amp;N457&amp;
INDEX(Lookup!$I$5:$I$11,MATCH(D457,Lookup!$G$5:$G$11,0))</f>
        <v>#N/A</v>
      </c>
    </row>
    <row r="458" spans="2:16" x14ac:dyDescent="0.45">
      <c r="B458">
        <f t="shared" si="21"/>
        <v>456</v>
      </c>
      <c r="C458" t="e">
        <f t="shared" si="23"/>
        <v>#N/A</v>
      </c>
      <c r="D458" t="e">
        <f>VLOOKUP(C458,Lookup!$F$5:$G$11,2,FALSE)</f>
        <v>#N/A</v>
      </c>
      <c r="E458" t="e">
        <f>IF(D458=Lookup!$G$5,E457+1,E457)</f>
        <v>#N/A</v>
      </c>
      <c r="F458" s="3" t="e">
        <f>INDEX(cards[Entities count],MATCH('card-code'!E458,cards[object_id order],0))</f>
        <v>#N/A</v>
      </c>
      <c r="G458" t="e">
        <f>IF(D457=Lookup!$G$9,1,IF(D457=Lookup!$G$10,G457+1,""))</f>
        <v>#N/A</v>
      </c>
      <c r="H458" t="e">
        <f>IF(F458=1,  IF(D458=Lookup!$G$9,2,1),  IF(G458&lt;F458-1,0,1)  )</f>
        <v>#N/A</v>
      </c>
      <c r="I458" t="e">
        <f>IF(D458&lt;&gt;Lookup!$G$7,0,IF(INDEX(cards[name],MATCH(E458,cards[object_id order],0))&lt;&gt;"",0,1))</f>
        <v>#N/A</v>
      </c>
      <c r="J458" t="e">
        <f>IF(D458&lt;&gt;Lookup!$G$7,0,IF(INDEX(cards[icon],MATCH(E458,cards[object_id order],0))&lt;&gt;"",0,1))</f>
        <v>#N/A</v>
      </c>
      <c r="K458" t="e">
        <f>IF(D458=Lookup!$G$6,INDEX(cards[object_id],MATCH('card-code'!E458,cards[object_id order],0)),"")</f>
        <v>#N/A</v>
      </c>
      <c r="L458" t="e">
        <f>IF(D458=Lookup!$G$7,INDEX(cards[name],MATCH('card-code'!E458,cards[object_id order],0)),"")</f>
        <v>#N/A</v>
      </c>
      <c r="M458" t="e">
        <f>IF($D458=Lookup!$L$9,INDEX(cards[icon],MATCH($E458,cards[object_id order],0)),"")</f>
        <v>#N/A</v>
      </c>
      <c r="N458" t="e">
        <f>IF(OR(D458=Lookup!$G$10,D458=Lookup!$G$11),INDEX(cards[[1]:[25]],MATCH($E458,cards[object_id order],0),'card-code'!G458),"")</f>
        <v>#N/A</v>
      </c>
      <c r="O458" t="str">
        <f t="shared" si="22"/>
        <v/>
      </c>
      <c r="P458" s="8" t="e">
        <f>INDEX(Lookup!$H$5:$H$11,MATCH(D458,Lookup!$G$5:$G$11,0))&amp;
K458&amp;L458&amp;M458&amp;N458&amp;
INDEX(Lookup!$I$5:$I$11,MATCH(D458,Lookup!$G$5:$G$11,0))</f>
        <v>#N/A</v>
      </c>
    </row>
    <row r="459" spans="2:16" x14ac:dyDescent="0.45">
      <c r="B459">
        <f t="shared" si="21"/>
        <v>457</v>
      </c>
      <c r="C459" t="e">
        <f t="shared" si="23"/>
        <v>#N/A</v>
      </c>
      <c r="D459" t="e">
        <f>VLOOKUP(C459,Lookup!$F$5:$G$11,2,FALSE)</f>
        <v>#N/A</v>
      </c>
      <c r="E459" t="e">
        <f>IF(D459=Lookup!$G$5,E458+1,E458)</f>
        <v>#N/A</v>
      </c>
      <c r="F459" s="3" t="e">
        <f>INDEX(cards[Entities count],MATCH('card-code'!E459,cards[object_id order],0))</f>
        <v>#N/A</v>
      </c>
      <c r="G459" t="e">
        <f>IF(D458=Lookup!$G$9,1,IF(D458=Lookup!$G$10,G458+1,""))</f>
        <v>#N/A</v>
      </c>
      <c r="H459" t="e">
        <f>IF(F459=1,  IF(D459=Lookup!$G$9,2,1),  IF(G459&lt;F459-1,0,1)  )</f>
        <v>#N/A</v>
      </c>
      <c r="I459" t="e">
        <f>IF(D459&lt;&gt;Lookup!$G$7,0,IF(INDEX(cards[name],MATCH(E459,cards[object_id order],0))&lt;&gt;"",0,1))</f>
        <v>#N/A</v>
      </c>
      <c r="J459" t="e">
        <f>IF(D459&lt;&gt;Lookup!$G$7,0,IF(INDEX(cards[icon],MATCH(E459,cards[object_id order],0))&lt;&gt;"",0,1))</f>
        <v>#N/A</v>
      </c>
      <c r="K459" t="e">
        <f>IF(D459=Lookup!$G$6,INDEX(cards[object_id],MATCH('card-code'!E459,cards[object_id order],0)),"")</f>
        <v>#N/A</v>
      </c>
      <c r="L459" t="e">
        <f>IF(D459=Lookup!$G$7,INDEX(cards[name],MATCH('card-code'!E459,cards[object_id order],0)),"")</f>
        <v>#N/A</v>
      </c>
      <c r="M459" t="e">
        <f>IF($D459=Lookup!$L$9,INDEX(cards[icon],MATCH($E459,cards[object_id order],0)),"")</f>
        <v>#N/A</v>
      </c>
      <c r="N459" t="e">
        <f>IF(OR(D459=Lookup!$G$10,D459=Lookup!$G$11),INDEX(cards[[1]:[25]],MATCH($E459,cards[object_id order],0),'card-code'!G459),"")</f>
        <v>#N/A</v>
      </c>
      <c r="O459" t="str">
        <f t="shared" si="22"/>
        <v/>
      </c>
      <c r="P459" s="8" t="e">
        <f>INDEX(Lookup!$H$5:$H$11,MATCH(D459,Lookup!$G$5:$G$11,0))&amp;
K459&amp;L459&amp;M459&amp;N459&amp;
INDEX(Lookup!$I$5:$I$11,MATCH(D459,Lookup!$G$5:$G$11,0))</f>
        <v>#N/A</v>
      </c>
    </row>
    <row r="460" spans="2:16" x14ac:dyDescent="0.45">
      <c r="B460">
        <f t="shared" si="21"/>
        <v>458</v>
      </c>
      <c r="C460" t="e">
        <f t="shared" si="23"/>
        <v>#N/A</v>
      </c>
      <c r="D460" t="e">
        <f>VLOOKUP(C460,Lookup!$F$5:$G$11,2,FALSE)</f>
        <v>#N/A</v>
      </c>
      <c r="E460" t="e">
        <f>IF(D460=Lookup!$G$5,E459+1,E459)</f>
        <v>#N/A</v>
      </c>
      <c r="F460" s="3" t="e">
        <f>INDEX(cards[Entities count],MATCH('card-code'!E460,cards[object_id order],0))</f>
        <v>#N/A</v>
      </c>
      <c r="G460" t="e">
        <f>IF(D459=Lookup!$G$9,1,IF(D459=Lookup!$G$10,G459+1,""))</f>
        <v>#N/A</v>
      </c>
      <c r="H460" t="e">
        <f>IF(F460=1,  IF(D460=Lookup!$G$9,2,1),  IF(G460&lt;F460-1,0,1)  )</f>
        <v>#N/A</v>
      </c>
      <c r="I460" t="e">
        <f>IF(D460&lt;&gt;Lookup!$G$7,0,IF(INDEX(cards[name],MATCH(E460,cards[object_id order],0))&lt;&gt;"",0,1))</f>
        <v>#N/A</v>
      </c>
      <c r="J460" t="e">
        <f>IF(D460&lt;&gt;Lookup!$G$7,0,IF(INDEX(cards[icon],MATCH(E460,cards[object_id order],0))&lt;&gt;"",0,1))</f>
        <v>#N/A</v>
      </c>
      <c r="K460" t="e">
        <f>IF(D460=Lookup!$G$6,INDEX(cards[object_id],MATCH('card-code'!E460,cards[object_id order],0)),"")</f>
        <v>#N/A</v>
      </c>
      <c r="L460" t="e">
        <f>IF(D460=Lookup!$G$7,INDEX(cards[name],MATCH('card-code'!E460,cards[object_id order],0)),"")</f>
        <v>#N/A</v>
      </c>
      <c r="M460" t="e">
        <f>IF($D460=Lookup!$L$9,INDEX(cards[icon],MATCH($E460,cards[object_id order],0)),"")</f>
        <v>#N/A</v>
      </c>
      <c r="N460" t="e">
        <f>IF(OR(D460=Lookup!$G$10,D460=Lookup!$G$11),INDEX(cards[[1]:[25]],MATCH($E460,cards[object_id order],0),'card-code'!G460),"")</f>
        <v>#N/A</v>
      </c>
      <c r="O460" t="str">
        <f t="shared" si="22"/>
        <v/>
      </c>
      <c r="P460" s="8" t="e">
        <f>INDEX(Lookup!$H$5:$H$11,MATCH(D460,Lookup!$G$5:$G$11,0))&amp;
K460&amp;L460&amp;M460&amp;N460&amp;
INDEX(Lookup!$I$5:$I$11,MATCH(D460,Lookup!$G$5:$G$11,0))</f>
        <v>#N/A</v>
      </c>
    </row>
    <row r="461" spans="2:16" x14ac:dyDescent="0.45">
      <c r="B461">
        <f t="shared" si="21"/>
        <v>459</v>
      </c>
      <c r="C461" t="e">
        <f t="shared" si="23"/>
        <v>#N/A</v>
      </c>
      <c r="D461" t="e">
        <f>VLOOKUP(C461,Lookup!$F$5:$G$11,2,FALSE)</f>
        <v>#N/A</v>
      </c>
      <c r="E461" t="e">
        <f>IF(D461=Lookup!$G$5,E460+1,E460)</f>
        <v>#N/A</v>
      </c>
      <c r="F461" s="3" t="e">
        <f>INDEX(cards[Entities count],MATCH('card-code'!E461,cards[object_id order],0))</f>
        <v>#N/A</v>
      </c>
      <c r="G461" t="e">
        <f>IF(D460=Lookup!$G$9,1,IF(D460=Lookup!$G$10,G460+1,""))</f>
        <v>#N/A</v>
      </c>
      <c r="H461" t="e">
        <f>IF(F461=1,  IF(D461=Lookup!$G$9,2,1),  IF(G461&lt;F461-1,0,1)  )</f>
        <v>#N/A</v>
      </c>
      <c r="I461" t="e">
        <f>IF(D461&lt;&gt;Lookup!$G$7,0,IF(INDEX(cards[name],MATCH(E461,cards[object_id order],0))&lt;&gt;"",0,1))</f>
        <v>#N/A</v>
      </c>
      <c r="J461" t="e">
        <f>IF(D461&lt;&gt;Lookup!$G$7,0,IF(INDEX(cards[icon],MATCH(E461,cards[object_id order],0))&lt;&gt;"",0,1))</f>
        <v>#N/A</v>
      </c>
      <c r="K461" t="e">
        <f>IF(D461=Lookup!$G$6,INDEX(cards[object_id],MATCH('card-code'!E461,cards[object_id order],0)),"")</f>
        <v>#N/A</v>
      </c>
      <c r="L461" t="e">
        <f>IF(D461=Lookup!$G$7,INDEX(cards[name],MATCH('card-code'!E461,cards[object_id order],0)),"")</f>
        <v>#N/A</v>
      </c>
      <c r="M461" t="e">
        <f>IF($D461=Lookup!$L$9,INDEX(cards[icon],MATCH($E461,cards[object_id order],0)),"")</f>
        <v>#N/A</v>
      </c>
      <c r="N461" t="e">
        <f>IF(OR(D461=Lookup!$G$10,D461=Lookup!$G$11),INDEX(cards[[1]:[25]],MATCH($E461,cards[object_id order],0),'card-code'!G461),"")</f>
        <v>#N/A</v>
      </c>
      <c r="O461" t="str">
        <f t="shared" si="22"/>
        <v/>
      </c>
      <c r="P461" s="8" t="e">
        <f>INDEX(Lookup!$H$5:$H$11,MATCH(D461,Lookup!$G$5:$G$11,0))&amp;
K461&amp;L461&amp;M461&amp;N461&amp;
INDEX(Lookup!$I$5:$I$11,MATCH(D461,Lookup!$G$5:$G$11,0))</f>
        <v>#N/A</v>
      </c>
    </row>
    <row r="462" spans="2:16" x14ac:dyDescent="0.45">
      <c r="B462">
        <f t="shared" si="21"/>
        <v>460</v>
      </c>
      <c r="C462" t="e">
        <f t="shared" si="23"/>
        <v>#N/A</v>
      </c>
      <c r="D462" t="e">
        <f>VLOOKUP(C462,Lookup!$F$5:$G$11,2,FALSE)</f>
        <v>#N/A</v>
      </c>
      <c r="E462" t="e">
        <f>IF(D462=Lookup!$G$5,E461+1,E461)</f>
        <v>#N/A</v>
      </c>
      <c r="F462" s="3" t="e">
        <f>INDEX(cards[Entities count],MATCH('card-code'!E462,cards[object_id order],0))</f>
        <v>#N/A</v>
      </c>
      <c r="G462" t="e">
        <f>IF(D461=Lookup!$G$9,1,IF(D461=Lookup!$G$10,G461+1,""))</f>
        <v>#N/A</v>
      </c>
      <c r="H462" t="e">
        <f>IF(F462=1,  IF(D462=Lookup!$G$9,2,1),  IF(G462&lt;F462-1,0,1)  )</f>
        <v>#N/A</v>
      </c>
      <c r="I462" t="e">
        <f>IF(D462&lt;&gt;Lookup!$G$7,0,IF(INDEX(cards[name],MATCH(E462,cards[object_id order],0))&lt;&gt;"",0,1))</f>
        <v>#N/A</v>
      </c>
      <c r="J462" t="e">
        <f>IF(D462&lt;&gt;Lookup!$G$7,0,IF(INDEX(cards[icon],MATCH(E462,cards[object_id order],0))&lt;&gt;"",0,1))</f>
        <v>#N/A</v>
      </c>
      <c r="K462" t="e">
        <f>IF(D462=Lookup!$G$6,INDEX(cards[object_id],MATCH('card-code'!E462,cards[object_id order],0)),"")</f>
        <v>#N/A</v>
      </c>
      <c r="L462" t="e">
        <f>IF(D462=Lookup!$G$7,INDEX(cards[name],MATCH('card-code'!E462,cards[object_id order],0)),"")</f>
        <v>#N/A</v>
      </c>
      <c r="M462" t="e">
        <f>IF($D462=Lookup!$L$9,INDEX(cards[icon],MATCH($E462,cards[object_id order],0)),"")</f>
        <v>#N/A</v>
      </c>
      <c r="N462" t="e">
        <f>IF(OR(D462=Lookup!$G$10,D462=Lookup!$G$11),INDEX(cards[[1]:[25]],MATCH($E462,cards[object_id order],0),'card-code'!G462),"")</f>
        <v>#N/A</v>
      </c>
      <c r="O462" t="str">
        <f t="shared" si="22"/>
        <v/>
      </c>
      <c r="P462" s="8" t="e">
        <f>INDEX(Lookup!$H$5:$H$11,MATCH(D462,Lookup!$G$5:$G$11,0))&amp;
K462&amp;L462&amp;M462&amp;N462&amp;
INDEX(Lookup!$I$5:$I$11,MATCH(D462,Lookup!$G$5:$G$11,0))</f>
        <v>#N/A</v>
      </c>
    </row>
    <row r="463" spans="2:16" x14ac:dyDescent="0.45">
      <c r="B463">
        <f t="shared" si="21"/>
        <v>461</v>
      </c>
      <c r="C463" t="e">
        <f t="shared" si="23"/>
        <v>#N/A</v>
      </c>
      <c r="D463" t="e">
        <f>VLOOKUP(C463,Lookup!$F$5:$G$11,2,FALSE)</f>
        <v>#N/A</v>
      </c>
      <c r="E463" t="e">
        <f>IF(D463=Lookup!$G$5,E462+1,E462)</f>
        <v>#N/A</v>
      </c>
      <c r="F463" s="3" t="e">
        <f>INDEX(cards[Entities count],MATCH('card-code'!E463,cards[object_id order],0))</f>
        <v>#N/A</v>
      </c>
      <c r="G463" t="e">
        <f>IF(D462=Lookup!$G$9,1,IF(D462=Lookup!$G$10,G462+1,""))</f>
        <v>#N/A</v>
      </c>
      <c r="H463" t="e">
        <f>IF(F463=1,  IF(D463=Lookup!$G$9,2,1),  IF(G463&lt;F463-1,0,1)  )</f>
        <v>#N/A</v>
      </c>
      <c r="I463" t="e">
        <f>IF(D463&lt;&gt;Lookup!$G$7,0,IF(INDEX(cards[name],MATCH(E463,cards[object_id order],0))&lt;&gt;"",0,1))</f>
        <v>#N/A</v>
      </c>
      <c r="J463" t="e">
        <f>IF(D463&lt;&gt;Lookup!$G$7,0,IF(INDEX(cards[icon],MATCH(E463,cards[object_id order],0))&lt;&gt;"",0,1))</f>
        <v>#N/A</v>
      </c>
      <c r="K463" t="e">
        <f>IF(D463=Lookup!$G$6,INDEX(cards[object_id],MATCH('card-code'!E463,cards[object_id order],0)),"")</f>
        <v>#N/A</v>
      </c>
      <c r="L463" t="e">
        <f>IF(D463=Lookup!$G$7,INDEX(cards[name],MATCH('card-code'!E463,cards[object_id order],0)),"")</f>
        <v>#N/A</v>
      </c>
      <c r="M463" t="e">
        <f>IF($D463=Lookup!$L$9,INDEX(cards[icon],MATCH($E463,cards[object_id order],0)),"")</f>
        <v>#N/A</v>
      </c>
      <c r="N463" t="e">
        <f>IF(OR(D463=Lookup!$G$10,D463=Lookup!$G$11),INDEX(cards[[1]:[25]],MATCH($E463,cards[object_id order],0),'card-code'!G463),"")</f>
        <v>#N/A</v>
      </c>
      <c r="O463" t="str">
        <f t="shared" si="22"/>
        <v/>
      </c>
      <c r="P463" s="8" t="e">
        <f>INDEX(Lookup!$H$5:$H$11,MATCH(D463,Lookup!$G$5:$G$11,0))&amp;
K463&amp;L463&amp;M463&amp;N463&amp;
INDEX(Lookup!$I$5:$I$11,MATCH(D463,Lookup!$G$5:$G$11,0))</f>
        <v>#N/A</v>
      </c>
    </row>
    <row r="464" spans="2:16" x14ac:dyDescent="0.45">
      <c r="B464">
        <f t="shared" si="21"/>
        <v>462</v>
      </c>
      <c r="C464" t="e">
        <f t="shared" si="23"/>
        <v>#N/A</v>
      </c>
      <c r="D464" t="e">
        <f>VLOOKUP(C464,Lookup!$F$5:$G$11,2,FALSE)</f>
        <v>#N/A</v>
      </c>
      <c r="E464" t="e">
        <f>IF(D464=Lookup!$G$5,E463+1,E463)</f>
        <v>#N/A</v>
      </c>
      <c r="F464" s="3" t="e">
        <f>INDEX(cards[Entities count],MATCH('card-code'!E464,cards[object_id order],0))</f>
        <v>#N/A</v>
      </c>
      <c r="G464" t="e">
        <f>IF(D463=Lookup!$G$9,1,IF(D463=Lookup!$G$10,G463+1,""))</f>
        <v>#N/A</v>
      </c>
      <c r="H464" t="e">
        <f>IF(F464=1,  IF(D464=Lookup!$G$9,2,1),  IF(G464&lt;F464-1,0,1)  )</f>
        <v>#N/A</v>
      </c>
      <c r="I464" t="e">
        <f>IF(D464&lt;&gt;Lookup!$G$7,0,IF(INDEX(cards[name],MATCH(E464,cards[object_id order],0))&lt;&gt;"",0,1))</f>
        <v>#N/A</v>
      </c>
      <c r="J464" t="e">
        <f>IF(D464&lt;&gt;Lookup!$G$7,0,IF(INDEX(cards[icon],MATCH(E464,cards[object_id order],0))&lt;&gt;"",0,1))</f>
        <v>#N/A</v>
      </c>
      <c r="K464" t="e">
        <f>IF(D464=Lookup!$G$6,INDEX(cards[object_id],MATCH('card-code'!E464,cards[object_id order],0)),"")</f>
        <v>#N/A</v>
      </c>
      <c r="L464" t="e">
        <f>IF(D464=Lookup!$G$7,INDEX(cards[name],MATCH('card-code'!E464,cards[object_id order],0)),"")</f>
        <v>#N/A</v>
      </c>
      <c r="M464" t="e">
        <f>IF($D464=Lookup!$L$9,INDEX(cards[icon],MATCH($E464,cards[object_id order],0)),"")</f>
        <v>#N/A</v>
      </c>
      <c r="N464" t="e">
        <f>IF(OR(D464=Lookup!$G$10,D464=Lookup!$G$11),INDEX(cards[[1]:[25]],MATCH($E464,cards[object_id order],0),'card-code'!G464),"")</f>
        <v>#N/A</v>
      </c>
      <c r="O464" t="str">
        <f t="shared" si="22"/>
        <v/>
      </c>
      <c r="P464" s="8" t="e">
        <f>INDEX(Lookup!$H$5:$H$11,MATCH(D464,Lookup!$G$5:$G$11,0))&amp;
K464&amp;L464&amp;M464&amp;N464&amp;
INDEX(Lookup!$I$5:$I$11,MATCH(D464,Lookup!$G$5:$G$11,0))</f>
        <v>#N/A</v>
      </c>
    </row>
    <row r="465" spans="2:16" x14ac:dyDescent="0.45">
      <c r="B465">
        <f t="shared" si="21"/>
        <v>463</v>
      </c>
      <c r="C465" t="e">
        <f t="shared" si="23"/>
        <v>#N/A</v>
      </c>
      <c r="D465" t="e">
        <f>VLOOKUP(C465,Lookup!$F$5:$G$11,2,FALSE)</f>
        <v>#N/A</v>
      </c>
      <c r="E465" t="e">
        <f>IF(D465=Lookup!$G$5,E464+1,E464)</f>
        <v>#N/A</v>
      </c>
      <c r="F465" s="3" t="e">
        <f>INDEX(cards[Entities count],MATCH('card-code'!E465,cards[object_id order],0))</f>
        <v>#N/A</v>
      </c>
      <c r="G465" t="e">
        <f>IF(D464=Lookup!$G$9,1,IF(D464=Lookup!$G$10,G464+1,""))</f>
        <v>#N/A</v>
      </c>
      <c r="H465" t="e">
        <f>IF(F465=1,  IF(D465=Lookup!$G$9,2,1),  IF(G465&lt;F465-1,0,1)  )</f>
        <v>#N/A</v>
      </c>
      <c r="I465" t="e">
        <f>IF(D465&lt;&gt;Lookup!$G$7,0,IF(INDEX(cards[name],MATCH(E465,cards[object_id order],0))&lt;&gt;"",0,1))</f>
        <v>#N/A</v>
      </c>
      <c r="J465" t="e">
        <f>IF(D465&lt;&gt;Lookup!$G$7,0,IF(INDEX(cards[icon],MATCH(E465,cards[object_id order],0))&lt;&gt;"",0,1))</f>
        <v>#N/A</v>
      </c>
      <c r="K465" t="e">
        <f>IF(D465=Lookup!$G$6,INDEX(cards[object_id],MATCH('card-code'!E465,cards[object_id order],0)),"")</f>
        <v>#N/A</v>
      </c>
      <c r="L465" t="e">
        <f>IF(D465=Lookup!$G$7,INDEX(cards[name],MATCH('card-code'!E465,cards[object_id order],0)),"")</f>
        <v>#N/A</v>
      </c>
      <c r="M465" t="e">
        <f>IF($D465=Lookup!$L$9,INDEX(cards[icon],MATCH($E465,cards[object_id order],0)),"")</f>
        <v>#N/A</v>
      </c>
      <c r="N465" t="e">
        <f>IF(OR(D465=Lookup!$G$10,D465=Lookup!$G$11),INDEX(cards[[1]:[25]],MATCH($E465,cards[object_id order],0),'card-code'!G465),"")</f>
        <v>#N/A</v>
      </c>
      <c r="O465" t="str">
        <f t="shared" si="22"/>
        <v/>
      </c>
      <c r="P465" s="8" t="e">
        <f>INDEX(Lookup!$H$5:$H$11,MATCH(D465,Lookup!$G$5:$G$11,0))&amp;
K465&amp;L465&amp;M465&amp;N465&amp;
INDEX(Lookup!$I$5:$I$11,MATCH(D465,Lookup!$G$5:$G$11,0))</f>
        <v>#N/A</v>
      </c>
    </row>
    <row r="466" spans="2:16" x14ac:dyDescent="0.45">
      <c r="B466">
        <f t="shared" si="21"/>
        <v>464</v>
      </c>
      <c r="C466" t="e">
        <f t="shared" si="23"/>
        <v>#N/A</v>
      </c>
      <c r="D466" t="e">
        <f>VLOOKUP(C466,Lookup!$F$5:$G$11,2,FALSE)</f>
        <v>#N/A</v>
      </c>
      <c r="E466" t="e">
        <f>IF(D466=Lookup!$G$5,E465+1,E465)</f>
        <v>#N/A</v>
      </c>
      <c r="F466" s="3" t="e">
        <f>INDEX(cards[Entities count],MATCH('card-code'!E466,cards[object_id order],0))</f>
        <v>#N/A</v>
      </c>
      <c r="G466" t="e">
        <f>IF(D465=Lookup!$G$9,1,IF(D465=Lookup!$G$10,G465+1,""))</f>
        <v>#N/A</v>
      </c>
      <c r="H466" t="e">
        <f>IF(F466=1,  IF(D466=Lookup!$G$9,2,1),  IF(G466&lt;F466-1,0,1)  )</f>
        <v>#N/A</v>
      </c>
      <c r="I466" t="e">
        <f>IF(D466&lt;&gt;Lookup!$G$7,0,IF(INDEX(cards[name],MATCH(E466,cards[object_id order],0))&lt;&gt;"",0,1))</f>
        <v>#N/A</v>
      </c>
      <c r="J466" t="e">
        <f>IF(D466&lt;&gt;Lookup!$G$7,0,IF(INDEX(cards[icon],MATCH(E466,cards[object_id order],0))&lt;&gt;"",0,1))</f>
        <v>#N/A</v>
      </c>
      <c r="K466" t="e">
        <f>IF(D466=Lookup!$G$6,INDEX(cards[object_id],MATCH('card-code'!E466,cards[object_id order],0)),"")</f>
        <v>#N/A</v>
      </c>
      <c r="L466" t="e">
        <f>IF(D466=Lookup!$G$7,INDEX(cards[name],MATCH('card-code'!E466,cards[object_id order],0)),"")</f>
        <v>#N/A</v>
      </c>
      <c r="M466" t="e">
        <f>IF($D466=Lookup!$L$9,INDEX(cards[icon],MATCH($E466,cards[object_id order],0)),"")</f>
        <v>#N/A</v>
      </c>
      <c r="N466" t="e">
        <f>IF(OR(D466=Lookup!$G$10,D466=Lookup!$G$11),INDEX(cards[[1]:[25]],MATCH($E466,cards[object_id order],0),'card-code'!G466),"")</f>
        <v>#N/A</v>
      </c>
      <c r="O466" t="str">
        <f t="shared" si="22"/>
        <v/>
      </c>
      <c r="P466" s="8" t="e">
        <f>INDEX(Lookup!$H$5:$H$11,MATCH(D466,Lookup!$G$5:$G$11,0))&amp;
K466&amp;L466&amp;M466&amp;N466&amp;
INDEX(Lookup!$I$5:$I$11,MATCH(D466,Lookup!$G$5:$G$11,0))</f>
        <v>#N/A</v>
      </c>
    </row>
    <row r="467" spans="2:16" x14ac:dyDescent="0.45">
      <c r="B467">
        <f t="shared" si="21"/>
        <v>465</v>
      </c>
      <c r="C467" t="e">
        <f t="shared" si="23"/>
        <v>#N/A</v>
      </c>
      <c r="D467" t="e">
        <f>VLOOKUP(C467,Lookup!$F$5:$G$11,2,FALSE)</f>
        <v>#N/A</v>
      </c>
      <c r="E467" t="e">
        <f>IF(D467=Lookup!$G$5,E466+1,E466)</f>
        <v>#N/A</v>
      </c>
      <c r="F467" s="3" t="e">
        <f>INDEX(cards[Entities count],MATCH('card-code'!E467,cards[object_id order],0))</f>
        <v>#N/A</v>
      </c>
      <c r="G467" t="e">
        <f>IF(D466=Lookup!$G$9,1,IF(D466=Lookup!$G$10,G466+1,""))</f>
        <v>#N/A</v>
      </c>
      <c r="H467" t="e">
        <f>IF(F467=1,  IF(D467=Lookup!$G$9,2,1),  IF(G467&lt;F467-1,0,1)  )</f>
        <v>#N/A</v>
      </c>
      <c r="I467" t="e">
        <f>IF(D467&lt;&gt;Lookup!$G$7,0,IF(INDEX(cards[name],MATCH(E467,cards[object_id order],0))&lt;&gt;"",0,1))</f>
        <v>#N/A</v>
      </c>
      <c r="J467" t="e">
        <f>IF(D467&lt;&gt;Lookup!$G$7,0,IF(INDEX(cards[icon],MATCH(E467,cards[object_id order],0))&lt;&gt;"",0,1))</f>
        <v>#N/A</v>
      </c>
      <c r="K467" t="e">
        <f>IF(D467=Lookup!$G$6,INDEX(cards[object_id],MATCH('card-code'!E467,cards[object_id order],0)),"")</f>
        <v>#N/A</v>
      </c>
      <c r="L467" t="e">
        <f>IF(D467=Lookup!$G$7,INDEX(cards[name],MATCH('card-code'!E467,cards[object_id order],0)),"")</f>
        <v>#N/A</v>
      </c>
      <c r="M467" t="e">
        <f>IF($D467=Lookup!$L$9,INDEX(cards[icon],MATCH($E467,cards[object_id order],0)),"")</f>
        <v>#N/A</v>
      </c>
      <c r="N467" t="e">
        <f>IF(OR(D467=Lookup!$G$10,D467=Lookup!$G$11),INDEX(cards[[1]:[25]],MATCH($E467,cards[object_id order],0),'card-code'!G467),"")</f>
        <v>#N/A</v>
      </c>
      <c r="O467" t="str">
        <f t="shared" si="22"/>
        <v/>
      </c>
      <c r="P467" s="8" t="e">
        <f>INDEX(Lookup!$H$5:$H$11,MATCH(D467,Lookup!$G$5:$G$11,0))&amp;
K467&amp;L467&amp;M467&amp;N467&amp;
INDEX(Lookup!$I$5:$I$11,MATCH(D467,Lookup!$G$5:$G$11,0))</f>
        <v>#N/A</v>
      </c>
    </row>
    <row r="468" spans="2:16" x14ac:dyDescent="0.45">
      <c r="B468">
        <f t="shared" si="21"/>
        <v>466</v>
      </c>
      <c r="C468" t="e">
        <f t="shared" si="23"/>
        <v>#N/A</v>
      </c>
      <c r="D468" t="e">
        <f>VLOOKUP(C468,Lookup!$F$5:$G$11,2,FALSE)</f>
        <v>#N/A</v>
      </c>
      <c r="E468" t="e">
        <f>IF(D468=Lookup!$G$5,E467+1,E467)</f>
        <v>#N/A</v>
      </c>
      <c r="F468" s="3" t="e">
        <f>INDEX(cards[Entities count],MATCH('card-code'!E468,cards[object_id order],0))</f>
        <v>#N/A</v>
      </c>
      <c r="G468" t="e">
        <f>IF(D467=Lookup!$G$9,1,IF(D467=Lookup!$G$10,G467+1,""))</f>
        <v>#N/A</v>
      </c>
      <c r="H468" t="e">
        <f>IF(F468=1,  IF(D468=Lookup!$G$9,2,1),  IF(G468&lt;F468-1,0,1)  )</f>
        <v>#N/A</v>
      </c>
      <c r="I468" t="e">
        <f>IF(D468&lt;&gt;Lookup!$G$7,0,IF(INDEX(cards[name],MATCH(E468,cards[object_id order],0))&lt;&gt;"",0,1))</f>
        <v>#N/A</v>
      </c>
      <c r="J468" t="e">
        <f>IF(D468&lt;&gt;Lookup!$G$7,0,IF(INDEX(cards[icon],MATCH(E468,cards[object_id order],0))&lt;&gt;"",0,1))</f>
        <v>#N/A</v>
      </c>
      <c r="K468" t="e">
        <f>IF(D468=Lookup!$G$6,INDEX(cards[object_id],MATCH('card-code'!E468,cards[object_id order],0)),"")</f>
        <v>#N/A</v>
      </c>
      <c r="L468" t="e">
        <f>IF(D468=Lookup!$G$7,INDEX(cards[name],MATCH('card-code'!E468,cards[object_id order],0)),"")</f>
        <v>#N/A</v>
      </c>
      <c r="M468" t="e">
        <f>IF($D468=Lookup!$L$9,INDEX(cards[icon],MATCH($E468,cards[object_id order],0)),"")</f>
        <v>#N/A</v>
      </c>
      <c r="N468" t="e">
        <f>IF(OR(D468=Lookup!$G$10,D468=Lookup!$G$11),INDEX(cards[[1]:[25]],MATCH($E468,cards[object_id order],0),'card-code'!G468),"")</f>
        <v>#N/A</v>
      </c>
      <c r="O468" t="str">
        <f t="shared" si="22"/>
        <v/>
      </c>
      <c r="P468" s="8" t="e">
        <f>INDEX(Lookup!$H$5:$H$11,MATCH(D468,Lookup!$G$5:$G$11,0))&amp;
K468&amp;L468&amp;M468&amp;N468&amp;
INDEX(Lookup!$I$5:$I$11,MATCH(D468,Lookup!$G$5:$G$11,0))</f>
        <v>#N/A</v>
      </c>
    </row>
    <row r="469" spans="2:16" x14ac:dyDescent="0.45">
      <c r="B469">
        <f t="shared" si="21"/>
        <v>467</v>
      </c>
      <c r="C469" t="e">
        <f t="shared" si="23"/>
        <v>#N/A</v>
      </c>
      <c r="D469" t="e">
        <f>VLOOKUP(C469,Lookup!$F$5:$G$11,2,FALSE)</f>
        <v>#N/A</v>
      </c>
      <c r="E469" t="e">
        <f>IF(D469=Lookup!$G$5,E468+1,E468)</f>
        <v>#N/A</v>
      </c>
      <c r="F469" s="3" t="e">
        <f>INDEX(cards[Entities count],MATCH('card-code'!E469,cards[object_id order],0))</f>
        <v>#N/A</v>
      </c>
      <c r="G469" t="e">
        <f>IF(D468=Lookup!$G$9,1,IF(D468=Lookup!$G$10,G468+1,""))</f>
        <v>#N/A</v>
      </c>
      <c r="H469" t="e">
        <f>IF(F469=1,  IF(D469=Lookup!$G$9,2,1),  IF(G469&lt;F469-1,0,1)  )</f>
        <v>#N/A</v>
      </c>
      <c r="I469" t="e">
        <f>IF(D469&lt;&gt;Lookup!$G$7,0,IF(INDEX(cards[name],MATCH(E469,cards[object_id order],0))&lt;&gt;"",0,1))</f>
        <v>#N/A</v>
      </c>
      <c r="J469" t="e">
        <f>IF(D469&lt;&gt;Lookup!$G$7,0,IF(INDEX(cards[icon],MATCH(E469,cards[object_id order],0))&lt;&gt;"",0,1))</f>
        <v>#N/A</v>
      </c>
      <c r="K469" t="e">
        <f>IF(D469=Lookup!$G$6,INDEX(cards[object_id],MATCH('card-code'!E469,cards[object_id order],0)),"")</f>
        <v>#N/A</v>
      </c>
      <c r="L469" t="e">
        <f>IF(D469=Lookup!$G$7,INDEX(cards[name],MATCH('card-code'!E469,cards[object_id order],0)),"")</f>
        <v>#N/A</v>
      </c>
      <c r="M469" t="e">
        <f>IF($D469=Lookup!$L$9,INDEX(cards[icon],MATCH($E469,cards[object_id order],0)),"")</f>
        <v>#N/A</v>
      </c>
      <c r="N469" t="e">
        <f>IF(OR(D469=Lookup!$G$10,D469=Lookup!$G$11),INDEX(cards[[1]:[25]],MATCH($E469,cards[object_id order],0),'card-code'!G469),"")</f>
        <v>#N/A</v>
      </c>
      <c r="O469" t="str">
        <f t="shared" si="22"/>
        <v/>
      </c>
      <c r="P469" s="8" t="e">
        <f>INDEX(Lookup!$H$5:$H$11,MATCH(D469,Lookup!$G$5:$G$11,0))&amp;
K469&amp;L469&amp;M469&amp;N469&amp;
INDEX(Lookup!$I$5:$I$11,MATCH(D469,Lookup!$G$5:$G$11,0))</f>
        <v>#N/A</v>
      </c>
    </row>
    <row r="470" spans="2:16" x14ac:dyDescent="0.45">
      <c r="B470">
        <f t="shared" si="21"/>
        <v>468</v>
      </c>
      <c r="C470" t="e">
        <f t="shared" si="23"/>
        <v>#N/A</v>
      </c>
      <c r="D470" t="e">
        <f>VLOOKUP(C470,Lookup!$F$5:$G$11,2,FALSE)</f>
        <v>#N/A</v>
      </c>
      <c r="E470" t="e">
        <f>IF(D470=Lookup!$G$5,E469+1,E469)</f>
        <v>#N/A</v>
      </c>
      <c r="F470" s="3" t="e">
        <f>INDEX(cards[Entities count],MATCH('card-code'!E470,cards[object_id order],0))</f>
        <v>#N/A</v>
      </c>
      <c r="G470" t="e">
        <f>IF(D469=Lookup!$G$9,1,IF(D469=Lookup!$G$10,G469+1,""))</f>
        <v>#N/A</v>
      </c>
      <c r="H470" t="e">
        <f>IF(F470=1,  IF(D470=Lookup!$G$9,2,1),  IF(G470&lt;F470-1,0,1)  )</f>
        <v>#N/A</v>
      </c>
      <c r="I470" t="e">
        <f>IF(D470&lt;&gt;Lookup!$G$7,0,IF(INDEX(cards[name],MATCH(E470,cards[object_id order],0))&lt;&gt;"",0,1))</f>
        <v>#N/A</v>
      </c>
      <c r="J470" t="e">
        <f>IF(D470&lt;&gt;Lookup!$G$7,0,IF(INDEX(cards[icon],MATCH(E470,cards[object_id order],0))&lt;&gt;"",0,1))</f>
        <v>#N/A</v>
      </c>
      <c r="K470" t="e">
        <f>IF(D470=Lookup!$G$6,INDEX(cards[object_id],MATCH('card-code'!E470,cards[object_id order],0)),"")</f>
        <v>#N/A</v>
      </c>
      <c r="L470" t="e">
        <f>IF(D470=Lookup!$G$7,INDEX(cards[name],MATCH('card-code'!E470,cards[object_id order],0)),"")</f>
        <v>#N/A</v>
      </c>
      <c r="M470" t="e">
        <f>IF($D470=Lookup!$L$9,INDEX(cards[icon],MATCH($E470,cards[object_id order],0)),"")</f>
        <v>#N/A</v>
      </c>
      <c r="N470" t="e">
        <f>IF(OR(D470=Lookup!$G$10,D470=Lookup!$G$11),INDEX(cards[[1]:[25]],MATCH($E470,cards[object_id order],0),'card-code'!G470),"")</f>
        <v>#N/A</v>
      </c>
      <c r="O470" t="str">
        <f t="shared" si="22"/>
        <v/>
      </c>
      <c r="P470" s="8" t="e">
        <f>INDEX(Lookup!$H$5:$H$11,MATCH(D470,Lookup!$G$5:$G$11,0))&amp;
K470&amp;L470&amp;M470&amp;N470&amp;
INDEX(Lookup!$I$5:$I$11,MATCH(D470,Lookup!$G$5:$G$11,0))</f>
        <v>#N/A</v>
      </c>
    </row>
    <row r="471" spans="2:16" x14ac:dyDescent="0.45">
      <c r="B471">
        <f t="shared" si="21"/>
        <v>469</v>
      </c>
      <c r="C471" t="e">
        <f t="shared" si="23"/>
        <v>#N/A</v>
      </c>
      <c r="D471" t="e">
        <f>VLOOKUP(C471,Lookup!$F$5:$G$11,2,FALSE)</f>
        <v>#N/A</v>
      </c>
      <c r="E471" t="e">
        <f>IF(D471=Lookup!$G$5,E470+1,E470)</f>
        <v>#N/A</v>
      </c>
      <c r="F471" s="3" t="e">
        <f>INDEX(cards[Entities count],MATCH('card-code'!E471,cards[object_id order],0))</f>
        <v>#N/A</v>
      </c>
      <c r="G471" t="e">
        <f>IF(D470=Lookup!$G$9,1,IF(D470=Lookup!$G$10,G470+1,""))</f>
        <v>#N/A</v>
      </c>
      <c r="H471" t="e">
        <f>IF(F471=1,  IF(D471=Lookup!$G$9,2,1),  IF(G471&lt;F471-1,0,1)  )</f>
        <v>#N/A</v>
      </c>
      <c r="I471" t="e">
        <f>IF(D471&lt;&gt;Lookup!$G$7,0,IF(INDEX(cards[name],MATCH(E471,cards[object_id order],0))&lt;&gt;"",0,1))</f>
        <v>#N/A</v>
      </c>
      <c r="J471" t="e">
        <f>IF(D471&lt;&gt;Lookup!$G$7,0,IF(INDEX(cards[icon],MATCH(E471,cards[object_id order],0))&lt;&gt;"",0,1))</f>
        <v>#N/A</v>
      </c>
      <c r="K471" t="e">
        <f>IF(D471=Lookup!$G$6,INDEX(cards[object_id],MATCH('card-code'!E471,cards[object_id order],0)),"")</f>
        <v>#N/A</v>
      </c>
      <c r="L471" t="e">
        <f>IF(D471=Lookup!$G$7,INDEX(cards[name],MATCH('card-code'!E471,cards[object_id order],0)),"")</f>
        <v>#N/A</v>
      </c>
      <c r="M471" t="e">
        <f>IF($D471=Lookup!$L$9,INDEX(cards[icon],MATCH($E471,cards[object_id order],0)),"")</f>
        <v>#N/A</v>
      </c>
      <c r="N471" t="e">
        <f>IF(OR(D471=Lookup!$G$10,D471=Lookup!$G$11),INDEX(cards[[1]:[25]],MATCH($E471,cards[object_id order],0),'card-code'!G471),"")</f>
        <v>#N/A</v>
      </c>
      <c r="O471" t="str">
        <f t="shared" si="22"/>
        <v/>
      </c>
      <c r="P471" s="8" t="e">
        <f>INDEX(Lookup!$H$5:$H$11,MATCH(D471,Lookup!$G$5:$G$11,0))&amp;
K471&amp;L471&amp;M471&amp;N471&amp;
INDEX(Lookup!$I$5:$I$11,MATCH(D471,Lookup!$G$5:$G$11,0))</f>
        <v>#N/A</v>
      </c>
    </row>
    <row r="472" spans="2:16" x14ac:dyDescent="0.45">
      <c r="B472">
        <f t="shared" si="21"/>
        <v>470</v>
      </c>
      <c r="C472" t="e">
        <f t="shared" si="23"/>
        <v>#N/A</v>
      </c>
      <c r="D472" t="e">
        <f>VLOOKUP(C472,Lookup!$F$5:$G$11,2,FALSE)</f>
        <v>#N/A</v>
      </c>
      <c r="E472" t="e">
        <f>IF(D472=Lookup!$G$5,E471+1,E471)</f>
        <v>#N/A</v>
      </c>
      <c r="F472" s="3" t="e">
        <f>INDEX(cards[Entities count],MATCH('card-code'!E472,cards[object_id order],0))</f>
        <v>#N/A</v>
      </c>
      <c r="G472" t="e">
        <f>IF(D471=Lookup!$G$9,1,IF(D471=Lookup!$G$10,G471+1,""))</f>
        <v>#N/A</v>
      </c>
      <c r="H472" t="e">
        <f>IF(F472=1,  IF(D472=Lookup!$G$9,2,1),  IF(G472&lt;F472-1,0,1)  )</f>
        <v>#N/A</v>
      </c>
      <c r="I472" t="e">
        <f>IF(D472&lt;&gt;Lookup!$G$7,0,IF(INDEX(cards[name],MATCH(E472,cards[object_id order],0))&lt;&gt;"",0,1))</f>
        <v>#N/A</v>
      </c>
      <c r="J472" t="e">
        <f>IF(D472&lt;&gt;Lookup!$G$7,0,IF(INDEX(cards[icon],MATCH(E472,cards[object_id order],0))&lt;&gt;"",0,1))</f>
        <v>#N/A</v>
      </c>
      <c r="K472" t="e">
        <f>IF(D472=Lookup!$G$6,INDEX(cards[object_id],MATCH('card-code'!E472,cards[object_id order],0)),"")</f>
        <v>#N/A</v>
      </c>
      <c r="L472" t="e">
        <f>IF(D472=Lookup!$G$7,INDEX(cards[name],MATCH('card-code'!E472,cards[object_id order],0)),"")</f>
        <v>#N/A</v>
      </c>
      <c r="M472" t="e">
        <f>IF($D472=Lookup!$L$9,INDEX(cards[icon],MATCH($E472,cards[object_id order],0)),"")</f>
        <v>#N/A</v>
      </c>
      <c r="N472" t="e">
        <f>IF(OR(D472=Lookup!$G$10,D472=Lookup!$G$11),INDEX(cards[[1]:[25]],MATCH($E472,cards[object_id order],0),'card-code'!G472),"")</f>
        <v>#N/A</v>
      </c>
      <c r="O472" t="str">
        <f t="shared" si="22"/>
        <v/>
      </c>
      <c r="P472" s="8" t="e">
        <f>INDEX(Lookup!$H$5:$H$11,MATCH(D472,Lookup!$G$5:$G$11,0))&amp;
K472&amp;L472&amp;M472&amp;N472&amp;
INDEX(Lookup!$I$5:$I$11,MATCH(D472,Lookup!$G$5:$G$11,0))</f>
        <v>#N/A</v>
      </c>
    </row>
    <row r="473" spans="2:16" x14ac:dyDescent="0.45">
      <c r="B473">
        <f t="shared" si="21"/>
        <v>471</v>
      </c>
      <c r="C473" t="e">
        <f t="shared" si="23"/>
        <v>#N/A</v>
      </c>
      <c r="D473" t="e">
        <f>VLOOKUP(C473,Lookup!$F$5:$G$11,2,FALSE)</f>
        <v>#N/A</v>
      </c>
      <c r="E473" t="e">
        <f>IF(D473=Lookup!$G$5,E472+1,E472)</f>
        <v>#N/A</v>
      </c>
      <c r="F473" s="3" t="e">
        <f>INDEX(cards[Entities count],MATCH('card-code'!E473,cards[object_id order],0))</f>
        <v>#N/A</v>
      </c>
      <c r="G473" t="e">
        <f>IF(D472=Lookup!$G$9,1,IF(D472=Lookup!$G$10,G472+1,""))</f>
        <v>#N/A</v>
      </c>
      <c r="H473" t="e">
        <f>IF(F473=1,  IF(D473=Lookup!$G$9,2,1),  IF(G473&lt;F473-1,0,1)  )</f>
        <v>#N/A</v>
      </c>
      <c r="I473" t="e">
        <f>IF(D473&lt;&gt;Lookup!$G$7,0,IF(INDEX(cards[name],MATCH(E473,cards[object_id order],0))&lt;&gt;"",0,1))</f>
        <v>#N/A</v>
      </c>
      <c r="J473" t="e">
        <f>IF(D473&lt;&gt;Lookup!$G$7,0,IF(INDEX(cards[icon],MATCH(E473,cards[object_id order],0))&lt;&gt;"",0,1))</f>
        <v>#N/A</v>
      </c>
      <c r="K473" t="e">
        <f>IF(D473=Lookup!$G$6,INDEX(cards[object_id],MATCH('card-code'!E473,cards[object_id order],0)),"")</f>
        <v>#N/A</v>
      </c>
      <c r="L473" t="e">
        <f>IF(D473=Lookup!$G$7,INDEX(cards[name],MATCH('card-code'!E473,cards[object_id order],0)),"")</f>
        <v>#N/A</v>
      </c>
      <c r="M473" t="e">
        <f>IF($D473=Lookup!$L$9,INDEX(cards[icon],MATCH($E473,cards[object_id order],0)),"")</f>
        <v>#N/A</v>
      </c>
      <c r="N473" t="e">
        <f>IF(OR(D473=Lookup!$G$10,D473=Lookup!$G$11),INDEX(cards[[1]:[25]],MATCH($E473,cards[object_id order],0),'card-code'!G473),"")</f>
        <v>#N/A</v>
      </c>
      <c r="O473" t="str">
        <f t="shared" si="22"/>
        <v/>
      </c>
      <c r="P473" s="8" t="e">
        <f>INDEX(Lookup!$H$5:$H$11,MATCH(D473,Lookup!$G$5:$G$11,0))&amp;
K473&amp;L473&amp;M473&amp;N473&amp;
INDEX(Lookup!$I$5:$I$11,MATCH(D473,Lookup!$G$5:$G$11,0))</f>
        <v>#N/A</v>
      </c>
    </row>
    <row r="474" spans="2:16" x14ac:dyDescent="0.45">
      <c r="B474">
        <f t="shared" si="21"/>
        <v>472</v>
      </c>
      <c r="C474" t="e">
        <f t="shared" si="23"/>
        <v>#N/A</v>
      </c>
      <c r="D474" t="e">
        <f>VLOOKUP(C474,Lookup!$F$5:$G$11,2,FALSE)</f>
        <v>#N/A</v>
      </c>
      <c r="E474" t="e">
        <f>IF(D474=Lookup!$G$5,E473+1,E473)</f>
        <v>#N/A</v>
      </c>
      <c r="F474" s="3" t="e">
        <f>INDEX(cards[Entities count],MATCH('card-code'!E474,cards[object_id order],0))</f>
        <v>#N/A</v>
      </c>
      <c r="G474" t="e">
        <f>IF(D473=Lookup!$G$9,1,IF(D473=Lookup!$G$10,G473+1,""))</f>
        <v>#N/A</v>
      </c>
      <c r="H474" t="e">
        <f>IF(F474=1,  IF(D474=Lookup!$G$9,2,1),  IF(G474&lt;F474-1,0,1)  )</f>
        <v>#N/A</v>
      </c>
      <c r="I474" t="e">
        <f>IF(D474&lt;&gt;Lookup!$G$7,0,IF(INDEX(cards[name],MATCH(E474,cards[object_id order],0))&lt;&gt;"",0,1))</f>
        <v>#N/A</v>
      </c>
      <c r="J474" t="e">
        <f>IF(D474&lt;&gt;Lookup!$G$7,0,IF(INDEX(cards[icon],MATCH(E474,cards[object_id order],0))&lt;&gt;"",0,1))</f>
        <v>#N/A</v>
      </c>
      <c r="K474" t="e">
        <f>IF(D474=Lookup!$G$6,INDEX(cards[object_id],MATCH('card-code'!E474,cards[object_id order],0)),"")</f>
        <v>#N/A</v>
      </c>
      <c r="L474" t="e">
        <f>IF(D474=Lookup!$G$7,INDEX(cards[name],MATCH('card-code'!E474,cards[object_id order],0)),"")</f>
        <v>#N/A</v>
      </c>
      <c r="M474" t="e">
        <f>IF($D474=Lookup!$L$9,INDEX(cards[icon],MATCH($E474,cards[object_id order],0)),"")</f>
        <v>#N/A</v>
      </c>
      <c r="N474" t="e">
        <f>IF(OR(D474=Lookup!$G$10,D474=Lookup!$G$11),INDEX(cards[[1]:[25]],MATCH($E474,cards[object_id order],0),'card-code'!G474),"")</f>
        <v>#N/A</v>
      </c>
      <c r="O474" t="str">
        <f t="shared" si="22"/>
        <v/>
      </c>
      <c r="P474" s="8" t="e">
        <f>INDEX(Lookup!$H$5:$H$11,MATCH(D474,Lookup!$G$5:$G$11,0))&amp;
K474&amp;L474&amp;M474&amp;N474&amp;
INDEX(Lookup!$I$5:$I$11,MATCH(D474,Lookup!$G$5:$G$11,0))</f>
        <v>#N/A</v>
      </c>
    </row>
    <row r="475" spans="2:16" x14ac:dyDescent="0.45">
      <c r="B475">
        <f t="shared" si="21"/>
        <v>473</v>
      </c>
      <c r="C475" t="e">
        <f t="shared" si="23"/>
        <v>#N/A</v>
      </c>
      <c r="D475" t="e">
        <f>VLOOKUP(C475,Lookup!$F$5:$G$11,2,FALSE)</f>
        <v>#N/A</v>
      </c>
      <c r="E475" t="e">
        <f>IF(D475=Lookup!$G$5,E474+1,E474)</f>
        <v>#N/A</v>
      </c>
      <c r="F475" s="3" t="e">
        <f>INDEX(cards[Entities count],MATCH('card-code'!E475,cards[object_id order],0))</f>
        <v>#N/A</v>
      </c>
      <c r="G475" t="e">
        <f>IF(D474=Lookup!$G$9,1,IF(D474=Lookup!$G$10,G474+1,""))</f>
        <v>#N/A</v>
      </c>
      <c r="H475" t="e">
        <f>IF(F475=1,  IF(D475=Lookup!$G$9,2,1),  IF(G475&lt;F475-1,0,1)  )</f>
        <v>#N/A</v>
      </c>
      <c r="I475" t="e">
        <f>IF(D475&lt;&gt;Lookup!$G$7,0,IF(INDEX(cards[name],MATCH(E475,cards[object_id order],0))&lt;&gt;"",0,1))</f>
        <v>#N/A</v>
      </c>
      <c r="J475" t="e">
        <f>IF(D475&lt;&gt;Lookup!$G$7,0,IF(INDEX(cards[icon],MATCH(E475,cards[object_id order],0))&lt;&gt;"",0,1))</f>
        <v>#N/A</v>
      </c>
      <c r="K475" t="e">
        <f>IF(D475=Lookup!$G$6,INDEX(cards[object_id],MATCH('card-code'!E475,cards[object_id order],0)),"")</f>
        <v>#N/A</v>
      </c>
      <c r="L475" t="e">
        <f>IF(D475=Lookup!$G$7,INDEX(cards[name],MATCH('card-code'!E475,cards[object_id order],0)),"")</f>
        <v>#N/A</v>
      </c>
      <c r="M475" t="e">
        <f>IF($D475=Lookup!$L$9,INDEX(cards[icon],MATCH($E475,cards[object_id order],0)),"")</f>
        <v>#N/A</v>
      </c>
      <c r="N475" t="e">
        <f>IF(OR(D475=Lookup!$G$10,D475=Lookup!$G$11),INDEX(cards[[1]:[25]],MATCH($E475,cards[object_id order],0),'card-code'!G475),"")</f>
        <v>#N/A</v>
      </c>
      <c r="O475" t="str">
        <f t="shared" si="22"/>
        <v/>
      </c>
      <c r="P475" s="8" t="e">
        <f>INDEX(Lookup!$H$5:$H$11,MATCH(D475,Lookup!$G$5:$G$11,0))&amp;
K475&amp;L475&amp;M475&amp;N475&amp;
INDEX(Lookup!$I$5:$I$11,MATCH(D475,Lookup!$G$5:$G$11,0))</f>
        <v>#N/A</v>
      </c>
    </row>
    <row r="476" spans="2:16" x14ac:dyDescent="0.45">
      <c r="B476">
        <f t="shared" si="21"/>
        <v>474</v>
      </c>
      <c r="C476" t="e">
        <f t="shared" si="23"/>
        <v>#N/A</v>
      </c>
      <c r="D476" t="e">
        <f>VLOOKUP(C476,Lookup!$F$5:$G$11,2,FALSE)</f>
        <v>#N/A</v>
      </c>
      <c r="E476" t="e">
        <f>IF(D476=Lookup!$G$5,E475+1,E475)</f>
        <v>#N/A</v>
      </c>
      <c r="F476" s="3" t="e">
        <f>INDEX(cards[Entities count],MATCH('card-code'!E476,cards[object_id order],0))</f>
        <v>#N/A</v>
      </c>
      <c r="G476" t="e">
        <f>IF(D475=Lookup!$G$9,1,IF(D475=Lookup!$G$10,G475+1,""))</f>
        <v>#N/A</v>
      </c>
      <c r="H476" t="e">
        <f>IF(F476=1,  IF(D476=Lookup!$G$9,2,1),  IF(G476&lt;F476-1,0,1)  )</f>
        <v>#N/A</v>
      </c>
      <c r="I476" t="e">
        <f>IF(D476&lt;&gt;Lookup!$G$7,0,IF(INDEX(cards[name],MATCH(E476,cards[object_id order],0))&lt;&gt;"",0,1))</f>
        <v>#N/A</v>
      </c>
      <c r="J476" t="e">
        <f>IF(D476&lt;&gt;Lookup!$G$7,0,IF(INDEX(cards[icon],MATCH(E476,cards[object_id order],0))&lt;&gt;"",0,1))</f>
        <v>#N/A</v>
      </c>
      <c r="K476" t="e">
        <f>IF(D476=Lookup!$G$6,INDEX(cards[object_id],MATCH('card-code'!E476,cards[object_id order],0)),"")</f>
        <v>#N/A</v>
      </c>
      <c r="L476" t="e">
        <f>IF(D476=Lookup!$G$7,INDEX(cards[name],MATCH('card-code'!E476,cards[object_id order],0)),"")</f>
        <v>#N/A</v>
      </c>
      <c r="M476" t="e">
        <f>IF($D476=Lookup!$L$9,INDEX(cards[icon],MATCH($E476,cards[object_id order],0)),"")</f>
        <v>#N/A</v>
      </c>
      <c r="N476" t="e">
        <f>IF(OR(D476=Lookup!$G$10,D476=Lookup!$G$11),INDEX(cards[[1]:[25]],MATCH($E476,cards[object_id order],0),'card-code'!G476),"")</f>
        <v>#N/A</v>
      </c>
      <c r="O476" t="str">
        <f t="shared" si="22"/>
        <v/>
      </c>
      <c r="P476" s="8" t="e">
        <f>INDEX(Lookup!$H$5:$H$11,MATCH(D476,Lookup!$G$5:$G$11,0))&amp;
K476&amp;L476&amp;M476&amp;N476&amp;
INDEX(Lookup!$I$5:$I$11,MATCH(D476,Lookup!$G$5:$G$11,0))</f>
        <v>#N/A</v>
      </c>
    </row>
    <row r="477" spans="2:16" x14ac:dyDescent="0.45">
      <c r="B477">
        <f t="shared" si="21"/>
        <v>475</v>
      </c>
      <c r="C477" t="e">
        <f t="shared" si="23"/>
        <v>#N/A</v>
      </c>
      <c r="D477" t="e">
        <f>VLOOKUP(C477,Lookup!$F$5:$G$11,2,FALSE)</f>
        <v>#N/A</v>
      </c>
      <c r="E477" t="e">
        <f>IF(D477=Lookup!$G$5,E476+1,E476)</f>
        <v>#N/A</v>
      </c>
      <c r="F477" s="3" t="e">
        <f>INDEX(cards[Entities count],MATCH('card-code'!E477,cards[object_id order],0))</f>
        <v>#N/A</v>
      </c>
      <c r="G477" t="e">
        <f>IF(D476=Lookup!$G$9,1,IF(D476=Lookup!$G$10,G476+1,""))</f>
        <v>#N/A</v>
      </c>
      <c r="H477" t="e">
        <f>IF(F477=1,  IF(D477=Lookup!$G$9,2,1),  IF(G477&lt;F477-1,0,1)  )</f>
        <v>#N/A</v>
      </c>
      <c r="I477" t="e">
        <f>IF(D477&lt;&gt;Lookup!$G$7,0,IF(INDEX(cards[name],MATCH(E477,cards[object_id order],0))&lt;&gt;"",0,1))</f>
        <v>#N/A</v>
      </c>
      <c r="J477" t="e">
        <f>IF(D477&lt;&gt;Lookup!$G$7,0,IF(INDEX(cards[icon],MATCH(E477,cards[object_id order],0))&lt;&gt;"",0,1))</f>
        <v>#N/A</v>
      </c>
      <c r="K477" t="e">
        <f>IF(D477=Lookup!$G$6,INDEX(cards[object_id],MATCH('card-code'!E477,cards[object_id order],0)),"")</f>
        <v>#N/A</v>
      </c>
      <c r="L477" t="e">
        <f>IF(D477=Lookup!$G$7,INDEX(cards[name],MATCH('card-code'!E477,cards[object_id order],0)),"")</f>
        <v>#N/A</v>
      </c>
      <c r="M477" t="e">
        <f>IF($D477=Lookup!$L$9,INDEX(cards[icon],MATCH($E477,cards[object_id order],0)),"")</f>
        <v>#N/A</v>
      </c>
      <c r="N477" t="e">
        <f>IF(OR(D477=Lookup!$G$10,D477=Lookup!$G$11),INDEX(cards[[1]:[25]],MATCH($E477,cards[object_id order],0),'card-code'!G477),"")</f>
        <v>#N/A</v>
      </c>
      <c r="O477" t="str">
        <f t="shared" si="22"/>
        <v/>
      </c>
      <c r="P477" s="8" t="e">
        <f>INDEX(Lookup!$H$5:$H$11,MATCH(D477,Lookup!$G$5:$G$11,0))&amp;
K477&amp;L477&amp;M477&amp;N477&amp;
INDEX(Lookup!$I$5:$I$11,MATCH(D477,Lookup!$G$5:$G$11,0))</f>
        <v>#N/A</v>
      </c>
    </row>
    <row r="478" spans="2:16" x14ac:dyDescent="0.45">
      <c r="B478">
        <f t="shared" si="21"/>
        <v>476</v>
      </c>
      <c r="C478" t="e">
        <f t="shared" si="23"/>
        <v>#N/A</v>
      </c>
      <c r="D478" t="e">
        <f>VLOOKUP(C478,Lookup!$F$5:$G$11,2,FALSE)</f>
        <v>#N/A</v>
      </c>
      <c r="E478" t="e">
        <f>IF(D478=Lookup!$G$5,E477+1,E477)</f>
        <v>#N/A</v>
      </c>
      <c r="F478" s="3" t="e">
        <f>INDEX(cards[Entities count],MATCH('card-code'!E478,cards[object_id order],0))</f>
        <v>#N/A</v>
      </c>
      <c r="G478" t="e">
        <f>IF(D477=Lookup!$G$9,1,IF(D477=Lookup!$G$10,G477+1,""))</f>
        <v>#N/A</v>
      </c>
      <c r="H478" t="e">
        <f>IF(F478=1,  IF(D478=Lookup!$G$9,2,1),  IF(G478&lt;F478-1,0,1)  )</f>
        <v>#N/A</v>
      </c>
      <c r="I478" t="e">
        <f>IF(D478&lt;&gt;Lookup!$G$7,0,IF(INDEX(cards[name],MATCH(E478,cards[object_id order],0))&lt;&gt;"",0,1))</f>
        <v>#N/A</v>
      </c>
      <c r="J478" t="e">
        <f>IF(D478&lt;&gt;Lookup!$G$7,0,IF(INDEX(cards[icon],MATCH(E478,cards[object_id order],0))&lt;&gt;"",0,1))</f>
        <v>#N/A</v>
      </c>
      <c r="K478" t="e">
        <f>IF(D478=Lookup!$G$6,INDEX(cards[object_id],MATCH('card-code'!E478,cards[object_id order],0)),"")</f>
        <v>#N/A</v>
      </c>
      <c r="L478" t="e">
        <f>IF(D478=Lookup!$G$7,INDEX(cards[name],MATCH('card-code'!E478,cards[object_id order],0)),"")</f>
        <v>#N/A</v>
      </c>
      <c r="M478" t="e">
        <f>IF($D478=Lookup!$L$9,INDEX(cards[icon],MATCH($E478,cards[object_id order],0)),"")</f>
        <v>#N/A</v>
      </c>
      <c r="N478" t="e">
        <f>IF(OR(D478=Lookup!$G$10,D478=Lookup!$G$11),INDEX(cards[[1]:[25]],MATCH($E478,cards[object_id order],0),'card-code'!G478),"")</f>
        <v>#N/A</v>
      </c>
      <c r="O478" t="str">
        <f t="shared" si="22"/>
        <v/>
      </c>
      <c r="P478" s="8" t="e">
        <f>INDEX(Lookup!$H$5:$H$11,MATCH(D478,Lookup!$G$5:$G$11,0))&amp;
K478&amp;L478&amp;M478&amp;N478&amp;
INDEX(Lookup!$I$5:$I$11,MATCH(D478,Lookup!$G$5:$G$11,0))</f>
        <v>#N/A</v>
      </c>
    </row>
    <row r="479" spans="2:16" x14ac:dyDescent="0.45">
      <c r="B479">
        <f t="shared" si="21"/>
        <v>477</v>
      </c>
      <c r="C479" t="e">
        <f t="shared" si="23"/>
        <v>#N/A</v>
      </c>
      <c r="D479" t="e">
        <f>VLOOKUP(C479,Lookup!$F$5:$G$11,2,FALSE)</f>
        <v>#N/A</v>
      </c>
      <c r="E479" t="e">
        <f>IF(D479=Lookup!$G$5,E478+1,E478)</f>
        <v>#N/A</v>
      </c>
      <c r="F479" s="3" t="e">
        <f>INDEX(cards[Entities count],MATCH('card-code'!E479,cards[object_id order],0))</f>
        <v>#N/A</v>
      </c>
      <c r="G479" t="e">
        <f>IF(D478=Lookup!$G$9,1,IF(D478=Lookup!$G$10,G478+1,""))</f>
        <v>#N/A</v>
      </c>
      <c r="H479" t="e">
        <f>IF(F479=1,  IF(D479=Lookup!$G$9,2,1),  IF(G479&lt;F479-1,0,1)  )</f>
        <v>#N/A</v>
      </c>
      <c r="I479" t="e">
        <f>IF(D479&lt;&gt;Lookup!$G$7,0,IF(INDEX(cards[name],MATCH(E479,cards[object_id order],0))&lt;&gt;"",0,1))</f>
        <v>#N/A</v>
      </c>
      <c r="J479" t="e">
        <f>IF(D479&lt;&gt;Lookup!$G$7,0,IF(INDEX(cards[icon],MATCH(E479,cards[object_id order],0))&lt;&gt;"",0,1))</f>
        <v>#N/A</v>
      </c>
      <c r="K479" t="e">
        <f>IF(D479=Lookup!$G$6,INDEX(cards[object_id],MATCH('card-code'!E479,cards[object_id order],0)),"")</f>
        <v>#N/A</v>
      </c>
      <c r="L479" t="e">
        <f>IF(D479=Lookup!$G$7,INDEX(cards[name],MATCH('card-code'!E479,cards[object_id order],0)),"")</f>
        <v>#N/A</v>
      </c>
      <c r="M479" t="e">
        <f>IF($D479=Lookup!$L$9,INDEX(cards[icon],MATCH($E479,cards[object_id order],0)),"")</f>
        <v>#N/A</v>
      </c>
      <c r="N479" t="e">
        <f>IF(OR(D479=Lookup!$G$10,D479=Lookup!$G$11),INDEX(cards[[1]:[25]],MATCH($E479,cards[object_id order],0),'card-code'!G479),"")</f>
        <v>#N/A</v>
      </c>
      <c r="O479" t="str">
        <f t="shared" si="22"/>
        <v/>
      </c>
      <c r="P479" s="8" t="e">
        <f>INDEX(Lookup!$H$5:$H$11,MATCH(D479,Lookup!$G$5:$G$11,0))&amp;
K479&amp;L479&amp;M479&amp;N479&amp;
INDEX(Lookup!$I$5:$I$11,MATCH(D479,Lookup!$G$5:$G$11,0))</f>
        <v>#N/A</v>
      </c>
    </row>
    <row r="480" spans="2:16" x14ac:dyDescent="0.45">
      <c r="B480">
        <f t="shared" si="21"/>
        <v>478</v>
      </c>
      <c r="C480" t="e">
        <f t="shared" si="23"/>
        <v>#N/A</v>
      </c>
      <c r="D480" t="e">
        <f>VLOOKUP(C480,Lookup!$F$5:$G$11,2,FALSE)</f>
        <v>#N/A</v>
      </c>
      <c r="E480" t="e">
        <f>IF(D480=Lookup!$G$5,E479+1,E479)</f>
        <v>#N/A</v>
      </c>
      <c r="F480" s="3" t="e">
        <f>INDEX(cards[Entities count],MATCH('card-code'!E480,cards[object_id order],0))</f>
        <v>#N/A</v>
      </c>
      <c r="G480" t="e">
        <f>IF(D479=Lookup!$G$9,1,IF(D479=Lookup!$G$10,G479+1,""))</f>
        <v>#N/A</v>
      </c>
      <c r="H480" t="e">
        <f>IF(F480=1,  IF(D480=Lookup!$G$9,2,1),  IF(G480&lt;F480-1,0,1)  )</f>
        <v>#N/A</v>
      </c>
      <c r="I480" t="e">
        <f>IF(D480&lt;&gt;Lookup!$G$7,0,IF(INDEX(cards[name],MATCH(E480,cards[object_id order],0))&lt;&gt;"",0,1))</f>
        <v>#N/A</v>
      </c>
      <c r="J480" t="e">
        <f>IF(D480&lt;&gt;Lookup!$G$7,0,IF(INDEX(cards[icon],MATCH(E480,cards[object_id order],0))&lt;&gt;"",0,1))</f>
        <v>#N/A</v>
      </c>
      <c r="K480" t="e">
        <f>IF(D480=Lookup!$G$6,INDEX(cards[object_id],MATCH('card-code'!E480,cards[object_id order],0)),"")</f>
        <v>#N/A</v>
      </c>
      <c r="L480" t="e">
        <f>IF(D480=Lookup!$G$7,INDEX(cards[name],MATCH('card-code'!E480,cards[object_id order],0)),"")</f>
        <v>#N/A</v>
      </c>
      <c r="M480" t="e">
        <f>IF($D480=Lookup!$L$9,INDEX(cards[icon],MATCH($E480,cards[object_id order],0)),"")</f>
        <v>#N/A</v>
      </c>
      <c r="N480" t="e">
        <f>IF(OR(D480=Lookup!$G$10,D480=Lookup!$G$11),INDEX(cards[[1]:[25]],MATCH($E480,cards[object_id order],0),'card-code'!G480),"")</f>
        <v>#N/A</v>
      </c>
      <c r="O480" t="str">
        <f t="shared" si="22"/>
        <v/>
      </c>
      <c r="P480" s="8" t="e">
        <f>INDEX(Lookup!$H$5:$H$11,MATCH(D480,Lookup!$G$5:$G$11,0))&amp;
K480&amp;L480&amp;M480&amp;N480&amp;
INDEX(Lookup!$I$5:$I$11,MATCH(D480,Lookup!$G$5:$G$11,0))</f>
        <v>#N/A</v>
      </c>
    </row>
    <row r="481" spans="2:16" x14ac:dyDescent="0.45">
      <c r="B481">
        <f t="shared" si="21"/>
        <v>479</v>
      </c>
      <c r="C481" t="e">
        <f t="shared" si="23"/>
        <v>#N/A</v>
      </c>
      <c r="D481" t="e">
        <f>VLOOKUP(C481,Lookup!$F$5:$G$11,2,FALSE)</f>
        <v>#N/A</v>
      </c>
      <c r="E481" t="e">
        <f>IF(D481=Lookup!$G$5,E480+1,E480)</f>
        <v>#N/A</v>
      </c>
      <c r="F481" s="3" t="e">
        <f>INDEX(cards[Entities count],MATCH('card-code'!E481,cards[object_id order],0))</f>
        <v>#N/A</v>
      </c>
      <c r="G481" t="e">
        <f>IF(D480=Lookup!$G$9,1,IF(D480=Lookup!$G$10,G480+1,""))</f>
        <v>#N/A</v>
      </c>
      <c r="H481" t="e">
        <f>IF(F481=1,  IF(D481=Lookup!$G$9,2,1),  IF(G481&lt;F481-1,0,1)  )</f>
        <v>#N/A</v>
      </c>
      <c r="I481" t="e">
        <f>IF(D481&lt;&gt;Lookup!$G$7,0,IF(INDEX(cards[name],MATCH(E481,cards[object_id order],0))&lt;&gt;"",0,1))</f>
        <v>#N/A</v>
      </c>
      <c r="J481" t="e">
        <f>IF(D481&lt;&gt;Lookup!$G$7,0,IF(INDEX(cards[icon],MATCH(E481,cards[object_id order],0))&lt;&gt;"",0,1))</f>
        <v>#N/A</v>
      </c>
      <c r="K481" t="e">
        <f>IF(D481=Lookup!$G$6,INDEX(cards[object_id],MATCH('card-code'!E481,cards[object_id order],0)),"")</f>
        <v>#N/A</v>
      </c>
      <c r="L481" t="e">
        <f>IF(D481=Lookup!$G$7,INDEX(cards[name],MATCH('card-code'!E481,cards[object_id order],0)),"")</f>
        <v>#N/A</v>
      </c>
      <c r="M481" t="e">
        <f>IF($D481=Lookup!$L$9,INDEX(cards[icon],MATCH($E481,cards[object_id order],0)),"")</f>
        <v>#N/A</v>
      </c>
      <c r="N481" t="e">
        <f>IF(OR(D481=Lookup!$G$10,D481=Lookup!$G$11),INDEX(cards[[1]:[25]],MATCH($E481,cards[object_id order],0),'card-code'!G481),"")</f>
        <v>#N/A</v>
      </c>
      <c r="O481" t="str">
        <f t="shared" si="22"/>
        <v/>
      </c>
      <c r="P481" s="8" t="e">
        <f>INDEX(Lookup!$H$5:$H$11,MATCH(D481,Lookup!$G$5:$G$11,0))&amp;
K481&amp;L481&amp;M481&amp;N481&amp;
INDEX(Lookup!$I$5:$I$11,MATCH(D481,Lookup!$G$5:$G$11,0))</f>
        <v>#N/A</v>
      </c>
    </row>
    <row r="482" spans="2:16" x14ac:dyDescent="0.45">
      <c r="B482">
        <f t="shared" si="21"/>
        <v>480</v>
      </c>
      <c r="C482" t="e">
        <f t="shared" si="23"/>
        <v>#N/A</v>
      </c>
      <c r="D482" t="e">
        <f>VLOOKUP(C482,Lookup!$F$5:$G$11,2,FALSE)</f>
        <v>#N/A</v>
      </c>
      <c r="E482" t="e">
        <f>IF(D482=Lookup!$G$5,E481+1,E481)</f>
        <v>#N/A</v>
      </c>
      <c r="F482" s="3" t="e">
        <f>INDEX(cards[Entities count],MATCH('card-code'!E482,cards[object_id order],0))</f>
        <v>#N/A</v>
      </c>
      <c r="G482" t="e">
        <f>IF(D481=Lookup!$G$9,1,IF(D481=Lookup!$G$10,G481+1,""))</f>
        <v>#N/A</v>
      </c>
      <c r="H482" t="e">
        <f>IF(F482=1,  IF(D482=Lookup!$G$9,2,1),  IF(G482&lt;F482-1,0,1)  )</f>
        <v>#N/A</v>
      </c>
      <c r="I482" t="e">
        <f>IF(D482&lt;&gt;Lookup!$G$7,0,IF(INDEX(cards[name],MATCH(E482,cards[object_id order],0))&lt;&gt;"",0,1))</f>
        <v>#N/A</v>
      </c>
      <c r="J482" t="e">
        <f>IF(D482&lt;&gt;Lookup!$G$7,0,IF(INDEX(cards[icon],MATCH(E482,cards[object_id order],0))&lt;&gt;"",0,1))</f>
        <v>#N/A</v>
      </c>
      <c r="K482" t="e">
        <f>IF(D482=Lookup!$G$6,INDEX(cards[object_id],MATCH('card-code'!E482,cards[object_id order],0)),"")</f>
        <v>#N/A</v>
      </c>
      <c r="L482" t="e">
        <f>IF(D482=Lookup!$G$7,INDEX(cards[name],MATCH('card-code'!E482,cards[object_id order],0)),"")</f>
        <v>#N/A</v>
      </c>
      <c r="M482" t="e">
        <f>IF($D482=Lookup!$L$9,INDEX(cards[icon],MATCH($E482,cards[object_id order],0)),"")</f>
        <v>#N/A</v>
      </c>
      <c r="N482" t="e">
        <f>IF(OR(D482=Lookup!$G$10,D482=Lookup!$G$11),INDEX(cards[[1]:[25]],MATCH($E482,cards[object_id order],0),'card-code'!G482),"")</f>
        <v>#N/A</v>
      </c>
      <c r="O482" t="str">
        <f t="shared" si="22"/>
        <v/>
      </c>
      <c r="P482" s="8" t="e">
        <f>INDEX(Lookup!$H$5:$H$11,MATCH(D482,Lookup!$G$5:$G$11,0))&amp;
K482&amp;L482&amp;M482&amp;N482&amp;
INDEX(Lookup!$I$5:$I$11,MATCH(D482,Lookup!$G$5:$G$11,0))</f>
        <v>#N/A</v>
      </c>
    </row>
    <row r="483" spans="2:16" x14ac:dyDescent="0.45">
      <c r="B483">
        <f t="shared" si="21"/>
        <v>481</v>
      </c>
      <c r="C483" t="e">
        <f t="shared" si="23"/>
        <v>#N/A</v>
      </c>
      <c r="D483" t="e">
        <f>VLOOKUP(C483,Lookup!$F$5:$G$11,2,FALSE)</f>
        <v>#N/A</v>
      </c>
      <c r="E483" t="e">
        <f>IF(D483=Lookup!$G$5,E482+1,E482)</f>
        <v>#N/A</v>
      </c>
      <c r="F483" s="3" t="e">
        <f>INDEX(cards[Entities count],MATCH('card-code'!E483,cards[object_id order],0))</f>
        <v>#N/A</v>
      </c>
      <c r="G483" t="e">
        <f>IF(D482=Lookup!$G$9,1,IF(D482=Lookup!$G$10,G482+1,""))</f>
        <v>#N/A</v>
      </c>
      <c r="H483" t="e">
        <f>IF(F483=1,  IF(D483=Lookup!$G$9,2,1),  IF(G483&lt;F483-1,0,1)  )</f>
        <v>#N/A</v>
      </c>
      <c r="I483" t="e">
        <f>IF(D483&lt;&gt;Lookup!$G$7,0,IF(INDEX(cards[name],MATCH(E483,cards[object_id order],0))&lt;&gt;"",0,1))</f>
        <v>#N/A</v>
      </c>
      <c r="J483" t="e">
        <f>IF(D483&lt;&gt;Lookup!$G$7,0,IF(INDEX(cards[icon],MATCH(E483,cards[object_id order],0))&lt;&gt;"",0,1))</f>
        <v>#N/A</v>
      </c>
      <c r="K483" t="e">
        <f>IF(D483=Lookup!$G$6,INDEX(cards[object_id],MATCH('card-code'!E483,cards[object_id order],0)),"")</f>
        <v>#N/A</v>
      </c>
      <c r="L483" t="e">
        <f>IF(D483=Lookup!$G$7,INDEX(cards[name],MATCH('card-code'!E483,cards[object_id order],0)),"")</f>
        <v>#N/A</v>
      </c>
      <c r="M483" t="e">
        <f>IF($D483=Lookup!$L$9,INDEX(cards[icon],MATCH($E483,cards[object_id order],0)),"")</f>
        <v>#N/A</v>
      </c>
      <c r="N483" t="e">
        <f>IF(OR(D483=Lookup!$G$10,D483=Lookup!$G$11),INDEX(cards[[1]:[25]],MATCH($E483,cards[object_id order],0),'card-code'!G483),"")</f>
        <v>#N/A</v>
      </c>
      <c r="O483" t="str">
        <f t="shared" si="22"/>
        <v/>
      </c>
      <c r="P483" s="8" t="e">
        <f>INDEX(Lookup!$H$5:$H$11,MATCH(D483,Lookup!$G$5:$G$11,0))&amp;
K483&amp;L483&amp;M483&amp;N483&amp;
INDEX(Lookup!$I$5:$I$11,MATCH(D483,Lookup!$G$5:$G$11,0))</f>
        <v>#N/A</v>
      </c>
    </row>
    <row r="484" spans="2:16" x14ac:dyDescent="0.45">
      <c r="B484">
        <f t="shared" si="21"/>
        <v>482</v>
      </c>
      <c r="C484" t="e">
        <f t="shared" si="23"/>
        <v>#N/A</v>
      </c>
      <c r="D484" t="e">
        <f>VLOOKUP(C484,Lookup!$F$5:$G$11,2,FALSE)</f>
        <v>#N/A</v>
      </c>
      <c r="E484" t="e">
        <f>IF(D484=Lookup!$G$5,E483+1,E483)</f>
        <v>#N/A</v>
      </c>
      <c r="F484" s="3" t="e">
        <f>INDEX(cards[Entities count],MATCH('card-code'!E484,cards[object_id order],0))</f>
        <v>#N/A</v>
      </c>
      <c r="G484" t="e">
        <f>IF(D483=Lookup!$G$9,1,IF(D483=Lookup!$G$10,G483+1,""))</f>
        <v>#N/A</v>
      </c>
      <c r="H484" t="e">
        <f>IF(F484=1,  IF(D484=Lookup!$G$9,2,1),  IF(G484&lt;F484-1,0,1)  )</f>
        <v>#N/A</v>
      </c>
      <c r="I484" t="e">
        <f>IF(D484&lt;&gt;Lookup!$G$7,0,IF(INDEX(cards[name],MATCH(E484,cards[object_id order],0))&lt;&gt;"",0,1))</f>
        <v>#N/A</v>
      </c>
      <c r="J484" t="e">
        <f>IF(D484&lt;&gt;Lookup!$G$7,0,IF(INDEX(cards[icon],MATCH(E484,cards[object_id order],0))&lt;&gt;"",0,1))</f>
        <v>#N/A</v>
      </c>
      <c r="K484" t="e">
        <f>IF(D484=Lookup!$G$6,INDEX(cards[object_id],MATCH('card-code'!E484,cards[object_id order],0)),"")</f>
        <v>#N/A</v>
      </c>
      <c r="L484" t="e">
        <f>IF(D484=Lookup!$G$7,INDEX(cards[name],MATCH('card-code'!E484,cards[object_id order],0)),"")</f>
        <v>#N/A</v>
      </c>
      <c r="M484" t="e">
        <f>IF($D484=Lookup!$L$9,INDEX(cards[icon],MATCH($E484,cards[object_id order],0)),"")</f>
        <v>#N/A</v>
      </c>
      <c r="N484" t="e">
        <f>IF(OR(D484=Lookup!$G$10,D484=Lookup!$G$11),INDEX(cards[[1]:[25]],MATCH($E484,cards[object_id order],0),'card-code'!G484),"")</f>
        <v>#N/A</v>
      </c>
      <c r="O484" t="str">
        <f t="shared" si="22"/>
        <v/>
      </c>
      <c r="P484" s="8" t="e">
        <f>INDEX(Lookup!$H$5:$H$11,MATCH(D484,Lookup!$G$5:$G$11,0))&amp;
K484&amp;L484&amp;M484&amp;N484&amp;
INDEX(Lookup!$I$5:$I$11,MATCH(D484,Lookup!$G$5:$G$11,0))</f>
        <v>#N/A</v>
      </c>
    </row>
    <row r="485" spans="2:16" x14ac:dyDescent="0.45">
      <c r="B485">
        <f t="shared" si="21"/>
        <v>483</v>
      </c>
      <c r="C485" t="e">
        <f t="shared" si="23"/>
        <v>#N/A</v>
      </c>
      <c r="D485" t="e">
        <f>VLOOKUP(C485,Lookup!$F$5:$G$11,2,FALSE)</f>
        <v>#N/A</v>
      </c>
      <c r="E485" t="e">
        <f>IF(D485=Lookup!$G$5,E484+1,E484)</f>
        <v>#N/A</v>
      </c>
      <c r="F485" s="3" t="e">
        <f>INDEX(cards[Entities count],MATCH('card-code'!E485,cards[object_id order],0))</f>
        <v>#N/A</v>
      </c>
      <c r="G485" t="e">
        <f>IF(D484=Lookup!$G$9,1,IF(D484=Lookup!$G$10,G484+1,""))</f>
        <v>#N/A</v>
      </c>
      <c r="H485" t="e">
        <f>IF(F485=1,  IF(D485=Lookup!$G$9,2,1),  IF(G485&lt;F485-1,0,1)  )</f>
        <v>#N/A</v>
      </c>
      <c r="I485" t="e">
        <f>IF(D485&lt;&gt;Lookup!$G$7,0,IF(INDEX(cards[name],MATCH(E485,cards[object_id order],0))&lt;&gt;"",0,1))</f>
        <v>#N/A</v>
      </c>
      <c r="J485" t="e">
        <f>IF(D485&lt;&gt;Lookup!$G$7,0,IF(INDEX(cards[icon],MATCH(E485,cards[object_id order],0))&lt;&gt;"",0,1))</f>
        <v>#N/A</v>
      </c>
      <c r="K485" t="e">
        <f>IF(D485=Lookup!$G$6,INDEX(cards[object_id],MATCH('card-code'!E485,cards[object_id order],0)),"")</f>
        <v>#N/A</v>
      </c>
      <c r="L485" t="e">
        <f>IF(D485=Lookup!$G$7,INDEX(cards[name],MATCH('card-code'!E485,cards[object_id order],0)),"")</f>
        <v>#N/A</v>
      </c>
      <c r="M485" t="e">
        <f>IF($D485=Lookup!$L$9,INDEX(cards[icon],MATCH($E485,cards[object_id order],0)),"")</f>
        <v>#N/A</v>
      </c>
      <c r="N485" t="e">
        <f>IF(OR(D485=Lookup!$G$10,D485=Lookup!$G$11),INDEX(cards[[1]:[25]],MATCH($E485,cards[object_id order],0),'card-code'!G485),"")</f>
        <v>#N/A</v>
      </c>
      <c r="O485" t="str">
        <f t="shared" si="22"/>
        <v/>
      </c>
      <c r="P485" s="8" t="e">
        <f>INDEX(Lookup!$H$5:$H$11,MATCH(D485,Lookup!$G$5:$G$11,0))&amp;
K485&amp;L485&amp;M485&amp;N485&amp;
INDEX(Lookup!$I$5:$I$11,MATCH(D485,Lookup!$G$5:$G$11,0))</f>
        <v>#N/A</v>
      </c>
    </row>
    <row r="486" spans="2:16" x14ac:dyDescent="0.45">
      <c r="B486">
        <f t="shared" si="21"/>
        <v>484</v>
      </c>
      <c r="C486" t="e">
        <f t="shared" si="23"/>
        <v>#N/A</v>
      </c>
      <c r="D486" t="e">
        <f>VLOOKUP(C486,Lookup!$F$5:$G$11,2,FALSE)</f>
        <v>#N/A</v>
      </c>
      <c r="E486" t="e">
        <f>IF(D486=Lookup!$G$5,E485+1,E485)</f>
        <v>#N/A</v>
      </c>
      <c r="F486" s="3" t="e">
        <f>INDEX(cards[Entities count],MATCH('card-code'!E486,cards[object_id order],0))</f>
        <v>#N/A</v>
      </c>
      <c r="G486" t="e">
        <f>IF(D485=Lookup!$G$9,1,IF(D485=Lookup!$G$10,G485+1,""))</f>
        <v>#N/A</v>
      </c>
      <c r="H486" t="e">
        <f>IF(F486=1,  IF(D486=Lookup!$G$9,2,1),  IF(G486&lt;F486-1,0,1)  )</f>
        <v>#N/A</v>
      </c>
      <c r="I486" t="e">
        <f>IF(D486&lt;&gt;Lookup!$G$7,0,IF(INDEX(cards[name],MATCH(E486,cards[object_id order],0))&lt;&gt;"",0,1))</f>
        <v>#N/A</v>
      </c>
      <c r="J486" t="e">
        <f>IF(D486&lt;&gt;Lookup!$G$7,0,IF(INDEX(cards[icon],MATCH(E486,cards[object_id order],0))&lt;&gt;"",0,1))</f>
        <v>#N/A</v>
      </c>
      <c r="K486" t="e">
        <f>IF(D486=Lookup!$G$6,INDEX(cards[object_id],MATCH('card-code'!E486,cards[object_id order],0)),"")</f>
        <v>#N/A</v>
      </c>
      <c r="L486" t="e">
        <f>IF(D486=Lookup!$G$7,INDEX(cards[name],MATCH('card-code'!E486,cards[object_id order],0)),"")</f>
        <v>#N/A</v>
      </c>
      <c r="M486" t="e">
        <f>IF($D486=Lookup!$L$9,INDEX(cards[icon],MATCH($E486,cards[object_id order],0)),"")</f>
        <v>#N/A</v>
      </c>
      <c r="N486" t="e">
        <f>IF(OR(D486=Lookup!$G$10,D486=Lookup!$G$11),INDEX(cards[[1]:[25]],MATCH($E486,cards[object_id order],0),'card-code'!G486),"")</f>
        <v>#N/A</v>
      </c>
      <c r="O486" t="str">
        <f t="shared" si="22"/>
        <v/>
      </c>
      <c r="P486" s="8" t="e">
        <f>INDEX(Lookup!$H$5:$H$11,MATCH(D486,Lookup!$G$5:$G$11,0))&amp;
K486&amp;L486&amp;M486&amp;N486&amp;
INDEX(Lookup!$I$5:$I$11,MATCH(D486,Lookup!$G$5:$G$11,0))</f>
        <v>#N/A</v>
      </c>
    </row>
    <row r="487" spans="2:16" x14ac:dyDescent="0.45">
      <c r="B487">
        <f t="shared" si="21"/>
        <v>485</v>
      </c>
      <c r="C487" t="e">
        <f t="shared" si="23"/>
        <v>#N/A</v>
      </c>
      <c r="D487" t="e">
        <f>VLOOKUP(C487,Lookup!$F$5:$G$11,2,FALSE)</f>
        <v>#N/A</v>
      </c>
      <c r="E487" t="e">
        <f>IF(D487=Lookup!$G$5,E486+1,E486)</f>
        <v>#N/A</v>
      </c>
      <c r="F487" s="3" t="e">
        <f>INDEX(cards[Entities count],MATCH('card-code'!E487,cards[object_id order],0))</f>
        <v>#N/A</v>
      </c>
      <c r="G487" t="e">
        <f>IF(D486=Lookup!$G$9,1,IF(D486=Lookup!$G$10,G486+1,""))</f>
        <v>#N/A</v>
      </c>
      <c r="H487" t="e">
        <f>IF(F487=1,  IF(D487=Lookup!$G$9,2,1),  IF(G487&lt;F487-1,0,1)  )</f>
        <v>#N/A</v>
      </c>
      <c r="I487" t="e">
        <f>IF(D487&lt;&gt;Lookup!$G$7,0,IF(INDEX(cards[name],MATCH(E487,cards[object_id order],0))&lt;&gt;"",0,1))</f>
        <v>#N/A</v>
      </c>
      <c r="J487" t="e">
        <f>IF(D487&lt;&gt;Lookup!$G$7,0,IF(INDEX(cards[icon],MATCH(E487,cards[object_id order],0))&lt;&gt;"",0,1))</f>
        <v>#N/A</v>
      </c>
      <c r="K487" t="e">
        <f>IF(D487=Lookup!$G$6,INDEX(cards[object_id],MATCH('card-code'!E487,cards[object_id order],0)),"")</f>
        <v>#N/A</v>
      </c>
      <c r="L487" t="e">
        <f>IF(D487=Lookup!$G$7,INDEX(cards[name],MATCH('card-code'!E487,cards[object_id order],0)),"")</f>
        <v>#N/A</v>
      </c>
      <c r="M487" t="e">
        <f>IF($D487=Lookup!$L$9,INDEX(cards[icon],MATCH($E487,cards[object_id order],0)),"")</f>
        <v>#N/A</v>
      </c>
      <c r="N487" t="e">
        <f>IF(OR(D487=Lookup!$G$10,D487=Lookup!$G$11),INDEX(cards[[1]:[25]],MATCH($E487,cards[object_id order],0),'card-code'!G487),"")</f>
        <v>#N/A</v>
      </c>
      <c r="O487" t="str">
        <f t="shared" si="22"/>
        <v/>
      </c>
      <c r="P487" s="8" t="e">
        <f>INDEX(Lookup!$H$5:$H$11,MATCH(D487,Lookup!$G$5:$G$11,0))&amp;
K487&amp;L487&amp;M487&amp;N487&amp;
INDEX(Lookup!$I$5:$I$11,MATCH(D487,Lookup!$G$5:$G$11,0))</f>
        <v>#N/A</v>
      </c>
    </row>
    <row r="488" spans="2:16" x14ac:dyDescent="0.45">
      <c r="B488">
        <f t="shared" si="21"/>
        <v>486</v>
      </c>
      <c r="C488" t="e">
        <f t="shared" si="23"/>
        <v>#N/A</v>
      </c>
      <c r="D488" t="e">
        <f>VLOOKUP(C488,Lookup!$F$5:$G$11,2,FALSE)</f>
        <v>#N/A</v>
      </c>
      <c r="E488" t="e">
        <f>IF(D488=Lookup!$G$5,E487+1,E487)</f>
        <v>#N/A</v>
      </c>
      <c r="F488" s="3" t="e">
        <f>INDEX(cards[Entities count],MATCH('card-code'!E488,cards[object_id order],0))</f>
        <v>#N/A</v>
      </c>
      <c r="G488" t="e">
        <f>IF(D487=Lookup!$G$9,1,IF(D487=Lookup!$G$10,G487+1,""))</f>
        <v>#N/A</v>
      </c>
      <c r="H488" t="e">
        <f>IF(F488=1,  IF(D488=Lookup!$G$9,2,1),  IF(G488&lt;F488-1,0,1)  )</f>
        <v>#N/A</v>
      </c>
      <c r="I488" t="e">
        <f>IF(D488&lt;&gt;Lookup!$G$7,0,IF(INDEX(cards[name],MATCH(E488,cards[object_id order],0))&lt;&gt;"",0,1))</f>
        <v>#N/A</v>
      </c>
      <c r="J488" t="e">
        <f>IF(D488&lt;&gt;Lookup!$G$7,0,IF(INDEX(cards[icon],MATCH(E488,cards[object_id order],0))&lt;&gt;"",0,1))</f>
        <v>#N/A</v>
      </c>
      <c r="K488" t="e">
        <f>IF(D488=Lookup!$G$6,INDEX(cards[object_id],MATCH('card-code'!E488,cards[object_id order],0)),"")</f>
        <v>#N/A</v>
      </c>
      <c r="L488" t="e">
        <f>IF(D488=Lookup!$G$7,INDEX(cards[name],MATCH('card-code'!E488,cards[object_id order],0)),"")</f>
        <v>#N/A</v>
      </c>
      <c r="M488" t="e">
        <f>IF($D488=Lookup!$L$9,INDEX(cards[icon],MATCH($E488,cards[object_id order],0)),"")</f>
        <v>#N/A</v>
      </c>
      <c r="N488" t="e">
        <f>IF(OR(D488=Lookup!$G$10,D488=Lookup!$G$11),INDEX(cards[[1]:[25]],MATCH($E488,cards[object_id order],0),'card-code'!G488),"")</f>
        <v>#N/A</v>
      </c>
      <c r="O488" t="str">
        <f t="shared" si="22"/>
        <v/>
      </c>
      <c r="P488" s="8" t="e">
        <f>INDEX(Lookup!$H$5:$H$11,MATCH(D488,Lookup!$G$5:$G$11,0))&amp;
K488&amp;L488&amp;M488&amp;N488&amp;
INDEX(Lookup!$I$5:$I$11,MATCH(D488,Lookup!$G$5:$G$11,0))</f>
        <v>#N/A</v>
      </c>
    </row>
    <row r="489" spans="2:16" x14ac:dyDescent="0.45">
      <c r="B489">
        <f t="shared" si="21"/>
        <v>487</v>
      </c>
      <c r="C489" t="e">
        <f t="shared" si="23"/>
        <v>#N/A</v>
      </c>
      <c r="D489" t="e">
        <f>VLOOKUP(C489,Lookup!$F$5:$G$11,2,FALSE)</f>
        <v>#N/A</v>
      </c>
      <c r="E489" t="e">
        <f>IF(D489=Lookup!$G$5,E488+1,E488)</f>
        <v>#N/A</v>
      </c>
      <c r="F489" s="3" t="e">
        <f>INDEX(cards[Entities count],MATCH('card-code'!E489,cards[object_id order],0))</f>
        <v>#N/A</v>
      </c>
      <c r="G489" t="e">
        <f>IF(D488=Lookup!$G$9,1,IF(D488=Lookup!$G$10,G488+1,""))</f>
        <v>#N/A</v>
      </c>
      <c r="H489" t="e">
        <f>IF(F489=1,  IF(D489=Lookup!$G$9,2,1),  IF(G489&lt;F489-1,0,1)  )</f>
        <v>#N/A</v>
      </c>
      <c r="I489" t="e">
        <f>IF(D489&lt;&gt;Lookup!$G$7,0,IF(INDEX(cards[name],MATCH(E489,cards[object_id order],0))&lt;&gt;"",0,1))</f>
        <v>#N/A</v>
      </c>
      <c r="J489" t="e">
        <f>IF(D489&lt;&gt;Lookup!$G$7,0,IF(INDEX(cards[icon],MATCH(E489,cards[object_id order],0))&lt;&gt;"",0,1))</f>
        <v>#N/A</v>
      </c>
      <c r="K489" t="e">
        <f>IF(D489=Lookup!$G$6,INDEX(cards[object_id],MATCH('card-code'!E489,cards[object_id order],0)),"")</f>
        <v>#N/A</v>
      </c>
      <c r="L489" t="e">
        <f>IF(D489=Lookup!$G$7,INDEX(cards[name],MATCH('card-code'!E489,cards[object_id order],0)),"")</f>
        <v>#N/A</v>
      </c>
      <c r="M489" t="e">
        <f>IF($D489=Lookup!$L$9,INDEX(cards[icon],MATCH($E489,cards[object_id order],0)),"")</f>
        <v>#N/A</v>
      </c>
      <c r="N489" t="e">
        <f>IF(OR(D489=Lookup!$G$10,D489=Lookup!$G$11),INDEX(cards[[1]:[25]],MATCH($E489,cards[object_id order],0),'card-code'!G489),"")</f>
        <v>#N/A</v>
      </c>
      <c r="O489" t="str">
        <f t="shared" si="22"/>
        <v/>
      </c>
      <c r="P489" s="8" t="e">
        <f>INDEX(Lookup!$H$5:$H$11,MATCH(D489,Lookup!$G$5:$G$11,0))&amp;
K489&amp;L489&amp;M489&amp;N489&amp;
INDEX(Lookup!$I$5:$I$11,MATCH(D489,Lookup!$G$5:$G$11,0))</f>
        <v>#N/A</v>
      </c>
    </row>
    <row r="490" spans="2:16" x14ac:dyDescent="0.45">
      <c r="B490">
        <f t="shared" si="21"/>
        <v>488</v>
      </c>
      <c r="C490" t="e">
        <f t="shared" si="23"/>
        <v>#N/A</v>
      </c>
      <c r="D490" t="e">
        <f>VLOOKUP(C490,Lookup!$F$5:$G$11,2,FALSE)</f>
        <v>#N/A</v>
      </c>
      <c r="E490" t="e">
        <f>IF(D490=Lookup!$G$5,E489+1,E489)</f>
        <v>#N/A</v>
      </c>
      <c r="F490" s="3" t="e">
        <f>INDEX(cards[Entities count],MATCH('card-code'!E490,cards[object_id order],0))</f>
        <v>#N/A</v>
      </c>
      <c r="G490" t="e">
        <f>IF(D489=Lookup!$G$9,1,IF(D489=Lookup!$G$10,G489+1,""))</f>
        <v>#N/A</v>
      </c>
      <c r="H490" t="e">
        <f>IF(F490=1,  IF(D490=Lookup!$G$9,2,1),  IF(G490&lt;F490-1,0,1)  )</f>
        <v>#N/A</v>
      </c>
      <c r="I490" t="e">
        <f>IF(D490&lt;&gt;Lookup!$G$7,0,IF(INDEX(cards[name],MATCH(E490,cards[object_id order],0))&lt;&gt;"",0,1))</f>
        <v>#N/A</v>
      </c>
      <c r="J490" t="e">
        <f>IF(D490&lt;&gt;Lookup!$G$7,0,IF(INDEX(cards[icon],MATCH(E490,cards[object_id order],0))&lt;&gt;"",0,1))</f>
        <v>#N/A</v>
      </c>
      <c r="K490" t="e">
        <f>IF(D490=Lookup!$G$6,INDEX(cards[object_id],MATCH('card-code'!E490,cards[object_id order],0)),"")</f>
        <v>#N/A</v>
      </c>
      <c r="L490" t="e">
        <f>IF(D490=Lookup!$G$7,INDEX(cards[name],MATCH('card-code'!E490,cards[object_id order],0)),"")</f>
        <v>#N/A</v>
      </c>
      <c r="M490" t="e">
        <f>IF($D490=Lookup!$L$9,INDEX(cards[icon],MATCH($E490,cards[object_id order],0)),"")</f>
        <v>#N/A</v>
      </c>
      <c r="N490" t="e">
        <f>IF(OR(D490=Lookup!$G$10,D490=Lookup!$G$11),INDEX(cards[[1]:[25]],MATCH($E490,cards[object_id order],0),'card-code'!G490),"")</f>
        <v>#N/A</v>
      </c>
      <c r="O490" t="str">
        <f t="shared" si="22"/>
        <v/>
      </c>
      <c r="P490" s="8" t="e">
        <f>INDEX(Lookup!$H$5:$H$11,MATCH(D490,Lookup!$G$5:$G$11,0))&amp;
K490&amp;L490&amp;M490&amp;N490&amp;
INDEX(Lookup!$I$5:$I$11,MATCH(D490,Lookup!$G$5:$G$11,0))</f>
        <v>#N/A</v>
      </c>
    </row>
    <row r="491" spans="2:16" x14ac:dyDescent="0.45">
      <c r="B491">
        <f t="shared" si="21"/>
        <v>489</v>
      </c>
      <c r="C491" t="e">
        <f t="shared" si="23"/>
        <v>#N/A</v>
      </c>
      <c r="D491" t="e">
        <f>VLOOKUP(C491,Lookup!$F$5:$G$11,2,FALSE)</f>
        <v>#N/A</v>
      </c>
      <c r="E491" t="e">
        <f>IF(D491=Lookup!$G$5,E490+1,E490)</f>
        <v>#N/A</v>
      </c>
      <c r="F491" s="3" t="e">
        <f>INDEX(cards[Entities count],MATCH('card-code'!E491,cards[object_id order],0))</f>
        <v>#N/A</v>
      </c>
      <c r="G491" t="e">
        <f>IF(D490=Lookup!$G$9,1,IF(D490=Lookup!$G$10,G490+1,""))</f>
        <v>#N/A</v>
      </c>
      <c r="H491" t="e">
        <f>IF(F491=1,  IF(D491=Lookup!$G$9,2,1),  IF(G491&lt;F491-1,0,1)  )</f>
        <v>#N/A</v>
      </c>
      <c r="I491" t="e">
        <f>IF(D491&lt;&gt;Lookup!$G$7,0,IF(INDEX(cards[name],MATCH(E491,cards[object_id order],0))&lt;&gt;"",0,1))</f>
        <v>#N/A</v>
      </c>
      <c r="J491" t="e">
        <f>IF(D491&lt;&gt;Lookup!$G$7,0,IF(INDEX(cards[icon],MATCH(E491,cards[object_id order],0))&lt;&gt;"",0,1))</f>
        <v>#N/A</v>
      </c>
      <c r="K491" t="e">
        <f>IF(D491=Lookup!$G$6,INDEX(cards[object_id],MATCH('card-code'!E491,cards[object_id order],0)),"")</f>
        <v>#N/A</v>
      </c>
      <c r="L491" t="e">
        <f>IF(D491=Lookup!$G$7,INDEX(cards[name],MATCH('card-code'!E491,cards[object_id order],0)),"")</f>
        <v>#N/A</v>
      </c>
      <c r="M491" t="e">
        <f>IF($D491=Lookup!$L$9,INDEX(cards[icon],MATCH($E491,cards[object_id order],0)),"")</f>
        <v>#N/A</v>
      </c>
      <c r="N491" t="e">
        <f>IF(OR(D491=Lookup!$G$10,D491=Lookup!$G$11),INDEX(cards[[1]:[25]],MATCH($E491,cards[object_id order],0),'card-code'!G491),"")</f>
        <v>#N/A</v>
      </c>
      <c r="O491" t="str">
        <f t="shared" si="22"/>
        <v/>
      </c>
      <c r="P491" s="8" t="e">
        <f>INDEX(Lookup!$H$5:$H$11,MATCH(D491,Lookup!$G$5:$G$11,0))&amp;
K491&amp;L491&amp;M491&amp;N491&amp;
INDEX(Lookup!$I$5:$I$11,MATCH(D491,Lookup!$G$5:$G$11,0))</f>
        <v>#N/A</v>
      </c>
    </row>
    <row r="492" spans="2:16" x14ac:dyDescent="0.45">
      <c r="B492">
        <f t="shared" si="21"/>
        <v>490</v>
      </c>
      <c r="C492" t="e">
        <f t="shared" si="23"/>
        <v>#N/A</v>
      </c>
      <c r="D492" t="e">
        <f>VLOOKUP(C492,Lookup!$F$5:$G$11,2,FALSE)</f>
        <v>#N/A</v>
      </c>
      <c r="E492" t="e">
        <f>IF(D492=Lookup!$G$5,E491+1,E491)</f>
        <v>#N/A</v>
      </c>
      <c r="F492" s="3" t="e">
        <f>INDEX(cards[Entities count],MATCH('card-code'!E492,cards[object_id order],0))</f>
        <v>#N/A</v>
      </c>
      <c r="G492" t="e">
        <f>IF(D491=Lookup!$G$9,1,IF(D491=Lookup!$G$10,G491+1,""))</f>
        <v>#N/A</v>
      </c>
      <c r="H492" t="e">
        <f>IF(F492=1,  IF(D492=Lookup!$G$9,2,1),  IF(G492&lt;F492-1,0,1)  )</f>
        <v>#N/A</v>
      </c>
      <c r="I492" t="e">
        <f>IF(D492&lt;&gt;Lookup!$G$7,0,IF(INDEX(cards[name],MATCH(E492,cards[object_id order],0))&lt;&gt;"",0,1))</f>
        <v>#N/A</v>
      </c>
      <c r="J492" t="e">
        <f>IF(D492&lt;&gt;Lookup!$G$7,0,IF(INDEX(cards[icon],MATCH(E492,cards[object_id order],0))&lt;&gt;"",0,1))</f>
        <v>#N/A</v>
      </c>
      <c r="K492" t="e">
        <f>IF(D492=Lookup!$G$6,INDEX(cards[object_id],MATCH('card-code'!E492,cards[object_id order],0)),"")</f>
        <v>#N/A</v>
      </c>
      <c r="L492" t="e">
        <f>IF(D492=Lookup!$G$7,INDEX(cards[name],MATCH('card-code'!E492,cards[object_id order],0)),"")</f>
        <v>#N/A</v>
      </c>
      <c r="M492" t="e">
        <f>IF($D492=Lookup!$L$9,INDEX(cards[icon],MATCH($E492,cards[object_id order],0)),"")</f>
        <v>#N/A</v>
      </c>
      <c r="N492" t="e">
        <f>IF(OR(D492=Lookup!$G$10,D492=Lookup!$G$11),INDEX(cards[[1]:[25]],MATCH($E492,cards[object_id order],0),'card-code'!G492),"")</f>
        <v>#N/A</v>
      </c>
      <c r="O492" t="str">
        <f t="shared" si="22"/>
        <v/>
      </c>
      <c r="P492" s="8" t="e">
        <f>INDEX(Lookup!$H$5:$H$11,MATCH(D492,Lookup!$G$5:$G$11,0))&amp;
K492&amp;L492&amp;M492&amp;N492&amp;
INDEX(Lookup!$I$5:$I$11,MATCH(D492,Lookup!$G$5:$G$11,0))</f>
        <v>#N/A</v>
      </c>
    </row>
    <row r="493" spans="2:16" x14ac:dyDescent="0.45">
      <c r="B493">
        <f t="shared" si="21"/>
        <v>491</v>
      </c>
      <c r="C493" t="e">
        <f t="shared" si="23"/>
        <v>#N/A</v>
      </c>
      <c r="D493" t="e">
        <f>VLOOKUP(C493,Lookup!$F$5:$G$11,2,FALSE)</f>
        <v>#N/A</v>
      </c>
      <c r="E493" t="e">
        <f>IF(D493=Lookup!$G$5,E492+1,E492)</f>
        <v>#N/A</v>
      </c>
      <c r="F493" s="3" t="e">
        <f>INDEX(cards[Entities count],MATCH('card-code'!E493,cards[object_id order],0))</f>
        <v>#N/A</v>
      </c>
      <c r="G493" t="e">
        <f>IF(D492=Lookup!$G$9,1,IF(D492=Lookup!$G$10,G492+1,""))</f>
        <v>#N/A</v>
      </c>
      <c r="H493" t="e">
        <f>IF(F493=1,  IF(D493=Lookup!$G$9,2,1),  IF(G493&lt;F493-1,0,1)  )</f>
        <v>#N/A</v>
      </c>
      <c r="I493" t="e">
        <f>IF(D493&lt;&gt;Lookup!$G$7,0,IF(INDEX(cards[name],MATCH(E493,cards[object_id order],0))&lt;&gt;"",0,1))</f>
        <v>#N/A</v>
      </c>
      <c r="J493" t="e">
        <f>IF(D493&lt;&gt;Lookup!$G$7,0,IF(INDEX(cards[icon],MATCH(E493,cards[object_id order],0))&lt;&gt;"",0,1))</f>
        <v>#N/A</v>
      </c>
      <c r="K493" t="e">
        <f>IF(D493=Lookup!$G$6,INDEX(cards[object_id],MATCH('card-code'!E493,cards[object_id order],0)),"")</f>
        <v>#N/A</v>
      </c>
      <c r="L493" t="e">
        <f>IF(D493=Lookup!$G$7,INDEX(cards[name],MATCH('card-code'!E493,cards[object_id order],0)),"")</f>
        <v>#N/A</v>
      </c>
      <c r="M493" t="e">
        <f>IF($D493=Lookup!$L$9,INDEX(cards[icon],MATCH($E493,cards[object_id order],0)),"")</f>
        <v>#N/A</v>
      </c>
      <c r="N493" t="e">
        <f>IF(OR(D493=Lookup!$G$10,D493=Lookup!$G$11),INDEX(cards[[1]:[25]],MATCH($E493,cards[object_id order],0),'card-code'!G493),"")</f>
        <v>#N/A</v>
      </c>
      <c r="O493" t="str">
        <f t="shared" si="22"/>
        <v/>
      </c>
      <c r="P493" s="8" t="e">
        <f>INDEX(Lookup!$H$5:$H$11,MATCH(D493,Lookup!$G$5:$G$11,0))&amp;
K493&amp;L493&amp;M493&amp;N493&amp;
INDEX(Lookup!$I$5:$I$11,MATCH(D493,Lookup!$G$5:$G$11,0))</f>
        <v>#N/A</v>
      </c>
    </row>
    <row r="494" spans="2:16" x14ac:dyDescent="0.45">
      <c r="B494">
        <f t="shared" si="21"/>
        <v>492</v>
      </c>
      <c r="C494" t="e">
        <f t="shared" si="23"/>
        <v>#N/A</v>
      </c>
      <c r="D494" t="e">
        <f>VLOOKUP(C494,Lookup!$F$5:$G$11,2,FALSE)</f>
        <v>#N/A</v>
      </c>
      <c r="E494" t="e">
        <f>IF(D494=Lookup!$G$5,E493+1,E493)</f>
        <v>#N/A</v>
      </c>
      <c r="F494" s="3" t="e">
        <f>INDEX(cards[Entities count],MATCH('card-code'!E494,cards[object_id order],0))</f>
        <v>#N/A</v>
      </c>
      <c r="G494" t="e">
        <f>IF(D493=Lookup!$G$9,1,IF(D493=Lookup!$G$10,G493+1,""))</f>
        <v>#N/A</v>
      </c>
      <c r="H494" t="e">
        <f>IF(F494=1,  IF(D494=Lookup!$G$9,2,1),  IF(G494&lt;F494-1,0,1)  )</f>
        <v>#N/A</v>
      </c>
      <c r="I494" t="e">
        <f>IF(D494&lt;&gt;Lookup!$G$7,0,IF(INDEX(cards[name],MATCH(E494,cards[object_id order],0))&lt;&gt;"",0,1))</f>
        <v>#N/A</v>
      </c>
      <c r="J494" t="e">
        <f>IF(D494&lt;&gt;Lookup!$G$7,0,IF(INDEX(cards[icon],MATCH(E494,cards[object_id order],0))&lt;&gt;"",0,1))</f>
        <v>#N/A</v>
      </c>
      <c r="K494" t="e">
        <f>IF(D494=Lookup!$G$6,INDEX(cards[object_id],MATCH('card-code'!E494,cards[object_id order],0)),"")</f>
        <v>#N/A</v>
      </c>
      <c r="L494" t="e">
        <f>IF(D494=Lookup!$G$7,INDEX(cards[name],MATCH('card-code'!E494,cards[object_id order],0)),"")</f>
        <v>#N/A</v>
      </c>
      <c r="M494" t="e">
        <f>IF($D494=Lookup!$L$9,INDEX(cards[icon],MATCH($E494,cards[object_id order],0)),"")</f>
        <v>#N/A</v>
      </c>
      <c r="N494" t="e">
        <f>IF(OR(D494=Lookup!$G$10,D494=Lookup!$G$11),INDEX(cards[[1]:[25]],MATCH($E494,cards[object_id order],0),'card-code'!G494),"")</f>
        <v>#N/A</v>
      </c>
      <c r="O494" t="str">
        <f t="shared" si="22"/>
        <v/>
      </c>
      <c r="P494" s="8" t="e">
        <f>INDEX(Lookup!$H$5:$H$11,MATCH(D494,Lookup!$G$5:$G$11,0))&amp;
K494&amp;L494&amp;M494&amp;N494&amp;
INDEX(Lookup!$I$5:$I$11,MATCH(D494,Lookup!$G$5:$G$11,0))</f>
        <v>#N/A</v>
      </c>
    </row>
    <row r="495" spans="2:16" x14ac:dyDescent="0.45">
      <c r="B495">
        <f t="shared" si="21"/>
        <v>493</v>
      </c>
      <c r="C495" t="e">
        <f t="shared" si="23"/>
        <v>#N/A</v>
      </c>
      <c r="D495" t="e">
        <f>VLOOKUP(C495,Lookup!$F$5:$G$11,2,FALSE)</f>
        <v>#N/A</v>
      </c>
      <c r="E495" t="e">
        <f>IF(D495=Lookup!$G$5,E494+1,E494)</f>
        <v>#N/A</v>
      </c>
      <c r="F495" s="3" t="e">
        <f>INDEX(cards[Entities count],MATCH('card-code'!E495,cards[object_id order],0))</f>
        <v>#N/A</v>
      </c>
      <c r="G495" t="e">
        <f>IF(D494=Lookup!$G$9,1,IF(D494=Lookup!$G$10,G494+1,""))</f>
        <v>#N/A</v>
      </c>
      <c r="H495" t="e">
        <f>IF(F495=1,  IF(D495=Lookup!$G$9,2,1),  IF(G495&lt;F495-1,0,1)  )</f>
        <v>#N/A</v>
      </c>
      <c r="I495" t="e">
        <f>IF(D495&lt;&gt;Lookup!$G$7,0,IF(INDEX(cards[name],MATCH(E495,cards[object_id order],0))&lt;&gt;"",0,1))</f>
        <v>#N/A</v>
      </c>
      <c r="J495" t="e">
        <f>IF(D495&lt;&gt;Lookup!$G$7,0,IF(INDEX(cards[icon],MATCH(E495,cards[object_id order],0))&lt;&gt;"",0,1))</f>
        <v>#N/A</v>
      </c>
      <c r="K495" t="e">
        <f>IF(D495=Lookup!$G$6,INDEX(cards[object_id],MATCH('card-code'!E495,cards[object_id order],0)),"")</f>
        <v>#N/A</v>
      </c>
      <c r="L495" t="e">
        <f>IF(D495=Lookup!$G$7,INDEX(cards[name],MATCH('card-code'!E495,cards[object_id order],0)),"")</f>
        <v>#N/A</v>
      </c>
      <c r="M495" t="e">
        <f>IF($D495=Lookup!$L$9,INDEX(cards[icon],MATCH($E495,cards[object_id order],0)),"")</f>
        <v>#N/A</v>
      </c>
      <c r="N495" t="e">
        <f>IF(OR(D495=Lookup!$G$10,D495=Lookup!$G$11),INDEX(cards[[1]:[25]],MATCH($E495,cards[object_id order],0),'card-code'!G495),"")</f>
        <v>#N/A</v>
      </c>
      <c r="O495" t="str">
        <f t="shared" si="22"/>
        <v/>
      </c>
      <c r="P495" s="8" t="e">
        <f>INDEX(Lookup!$H$5:$H$11,MATCH(D495,Lookup!$G$5:$G$11,0))&amp;
K495&amp;L495&amp;M495&amp;N495&amp;
INDEX(Lookup!$I$5:$I$11,MATCH(D495,Lookup!$G$5:$G$11,0))</f>
        <v>#N/A</v>
      </c>
    </row>
    <row r="496" spans="2:16" x14ac:dyDescent="0.45">
      <c r="B496">
        <f t="shared" si="21"/>
        <v>494</v>
      </c>
      <c r="C496" t="e">
        <f t="shared" si="23"/>
        <v>#N/A</v>
      </c>
      <c r="D496" t="e">
        <f>VLOOKUP(C496,Lookup!$F$5:$G$11,2,FALSE)</f>
        <v>#N/A</v>
      </c>
      <c r="E496" t="e">
        <f>IF(D496=Lookup!$G$5,E495+1,E495)</f>
        <v>#N/A</v>
      </c>
      <c r="F496" s="3" t="e">
        <f>INDEX(cards[Entities count],MATCH('card-code'!E496,cards[object_id order],0))</f>
        <v>#N/A</v>
      </c>
      <c r="G496" t="e">
        <f>IF(D495=Lookup!$G$9,1,IF(D495=Lookup!$G$10,G495+1,""))</f>
        <v>#N/A</v>
      </c>
      <c r="H496" t="e">
        <f>IF(F496=1,  IF(D496=Lookup!$G$9,2,1),  IF(G496&lt;F496-1,0,1)  )</f>
        <v>#N/A</v>
      </c>
      <c r="I496" t="e">
        <f>IF(D496&lt;&gt;Lookup!$G$7,0,IF(INDEX(cards[name],MATCH(E496,cards[object_id order],0))&lt;&gt;"",0,1))</f>
        <v>#N/A</v>
      </c>
      <c r="J496" t="e">
        <f>IF(D496&lt;&gt;Lookup!$G$7,0,IF(INDEX(cards[icon],MATCH(E496,cards[object_id order],0))&lt;&gt;"",0,1))</f>
        <v>#N/A</v>
      </c>
      <c r="K496" t="e">
        <f>IF(D496=Lookup!$G$6,INDEX(cards[object_id],MATCH('card-code'!E496,cards[object_id order],0)),"")</f>
        <v>#N/A</v>
      </c>
      <c r="L496" t="e">
        <f>IF(D496=Lookup!$G$7,INDEX(cards[name],MATCH('card-code'!E496,cards[object_id order],0)),"")</f>
        <v>#N/A</v>
      </c>
      <c r="M496" t="e">
        <f>IF($D496=Lookup!$L$9,INDEX(cards[icon],MATCH($E496,cards[object_id order],0)),"")</f>
        <v>#N/A</v>
      </c>
      <c r="N496" t="e">
        <f>IF(OR(D496=Lookup!$G$10,D496=Lookup!$G$11),INDEX(cards[[1]:[25]],MATCH($E496,cards[object_id order],0),'card-code'!G496),"")</f>
        <v>#N/A</v>
      </c>
      <c r="O496" t="str">
        <f t="shared" si="22"/>
        <v/>
      </c>
      <c r="P496" s="8" t="e">
        <f>INDEX(Lookup!$H$5:$H$11,MATCH(D496,Lookup!$G$5:$G$11,0))&amp;
K496&amp;L496&amp;M496&amp;N496&amp;
INDEX(Lookup!$I$5:$I$11,MATCH(D496,Lookup!$G$5:$G$11,0))</f>
        <v>#N/A</v>
      </c>
    </row>
    <row r="497" spans="2:16" x14ac:dyDescent="0.45">
      <c r="B497">
        <f t="shared" si="21"/>
        <v>495</v>
      </c>
      <c r="C497" t="e">
        <f t="shared" si="23"/>
        <v>#N/A</v>
      </c>
      <c r="D497" t="e">
        <f>VLOOKUP(C497,Lookup!$F$5:$G$11,2,FALSE)</f>
        <v>#N/A</v>
      </c>
      <c r="E497" t="e">
        <f>IF(D497=Lookup!$G$5,E496+1,E496)</f>
        <v>#N/A</v>
      </c>
      <c r="F497" s="3" t="e">
        <f>INDEX(cards[Entities count],MATCH('card-code'!E497,cards[object_id order],0))</f>
        <v>#N/A</v>
      </c>
      <c r="G497" t="e">
        <f>IF(D496=Lookup!$G$9,1,IF(D496=Lookup!$G$10,G496+1,""))</f>
        <v>#N/A</v>
      </c>
      <c r="H497" t="e">
        <f>IF(F497=1,  IF(D497=Lookup!$G$9,2,1),  IF(G497&lt;F497-1,0,1)  )</f>
        <v>#N/A</v>
      </c>
      <c r="I497" t="e">
        <f>IF(D497&lt;&gt;Lookup!$G$7,0,IF(INDEX(cards[name],MATCH(E497,cards[object_id order],0))&lt;&gt;"",0,1))</f>
        <v>#N/A</v>
      </c>
      <c r="J497" t="e">
        <f>IF(D497&lt;&gt;Lookup!$G$7,0,IF(INDEX(cards[icon],MATCH(E497,cards[object_id order],0))&lt;&gt;"",0,1))</f>
        <v>#N/A</v>
      </c>
      <c r="K497" t="e">
        <f>IF(D497=Lookup!$G$6,INDEX(cards[object_id],MATCH('card-code'!E497,cards[object_id order],0)),"")</f>
        <v>#N/A</v>
      </c>
      <c r="L497" t="e">
        <f>IF(D497=Lookup!$G$7,INDEX(cards[name],MATCH('card-code'!E497,cards[object_id order],0)),"")</f>
        <v>#N/A</v>
      </c>
      <c r="M497" t="e">
        <f>IF($D497=Lookup!$L$9,INDEX(cards[icon],MATCH($E497,cards[object_id order],0)),"")</f>
        <v>#N/A</v>
      </c>
      <c r="N497" t="e">
        <f>IF(OR(D497=Lookup!$G$10,D497=Lookup!$G$11),INDEX(cards[[1]:[25]],MATCH($E497,cards[object_id order],0),'card-code'!G497),"")</f>
        <v>#N/A</v>
      </c>
      <c r="O497" t="str">
        <f t="shared" si="22"/>
        <v/>
      </c>
      <c r="P497" s="8" t="e">
        <f>INDEX(Lookup!$H$5:$H$11,MATCH(D497,Lookup!$G$5:$G$11,0))&amp;
K497&amp;L497&amp;M497&amp;N497&amp;
INDEX(Lookup!$I$5:$I$11,MATCH(D497,Lookup!$G$5:$G$11,0))</f>
        <v>#N/A</v>
      </c>
    </row>
    <row r="498" spans="2:16" x14ac:dyDescent="0.45">
      <c r="B498">
        <f t="shared" si="21"/>
        <v>496</v>
      </c>
      <c r="C498" t="e">
        <f t="shared" si="23"/>
        <v>#N/A</v>
      </c>
      <c r="D498" t="e">
        <f>VLOOKUP(C498,Lookup!$F$5:$G$11,2,FALSE)</f>
        <v>#N/A</v>
      </c>
      <c r="E498" t="e">
        <f>IF(D498=Lookup!$G$5,E497+1,E497)</f>
        <v>#N/A</v>
      </c>
      <c r="F498" s="3" t="e">
        <f>INDEX(cards[Entities count],MATCH('card-code'!E498,cards[object_id order],0))</f>
        <v>#N/A</v>
      </c>
      <c r="G498" t="e">
        <f>IF(D497=Lookup!$G$9,1,IF(D497=Lookup!$G$10,G497+1,""))</f>
        <v>#N/A</v>
      </c>
      <c r="H498" t="e">
        <f>IF(F498=1,  IF(D498=Lookup!$G$9,2,1),  IF(G498&lt;F498-1,0,1)  )</f>
        <v>#N/A</v>
      </c>
      <c r="I498" t="e">
        <f>IF(D498&lt;&gt;Lookup!$G$7,0,IF(INDEX(cards[name],MATCH(E498,cards[object_id order],0))&lt;&gt;"",0,1))</f>
        <v>#N/A</v>
      </c>
      <c r="J498" t="e">
        <f>IF(D498&lt;&gt;Lookup!$G$7,0,IF(INDEX(cards[icon],MATCH(E498,cards[object_id order],0))&lt;&gt;"",0,1))</f>
        <v>#N/A</v>
      </c>
      <c r="K498" t="e">
        <f>IF(D498=Lookup!$G$6,INDEX(cards[object_id],MATCH('card-code'!E498,cards[object_id order],0)),"")</f>
        <v>#N/A</v>
      </c>
      <c r="L498" t="e">
        <f>IF(D498=Lookup!$G$7,INDEX(cards[name],MATCH('card-code'!E498,cards[object_id order],0)),"")</f>
        <v>#N/A</v>
      </c>
      <c r="M498" t="e">
        <f>IF($D498=Lookup!$L$9,INDEX(cards[icon],MATCH($E498,cards[object_id order],0)),"")</f>
        <v>#N/A</v>
      </c>
      <c r="N498" t="e">
        <f>IF(OR(D498=Lookup!$G$10,D498=Lookup!$G$11),INDEX(cards[[1]:[25]],MATCH($E498,cards[object_id order],0),'card-code'!G498),"")</f>
        <v>#N/A</v>
      </c>
      <c r="O498" t="str">
        <f t="shared" si="22"/>
        <v/>
      </c>
      <c r="P498" s="8" t="e">
        <f>INDEX(Lookup!$H$5:$H$11,MATCH(D498,Lookup!$G$5:$G$11,0))&amp;
K498&amp;L498&amp;M498&amp;N498&amp;
INDEX(Lookup!$I$5:$I$11,MATCH(D498,Lookup!$G$5:$G$11,0))</f>
        <v>#N/A</v>
      </c>
    </row>
    <row r="499" spans="2:16" x14ac:dyDescent="0.45">
      <c r="B499">
        <f t="shared" si="21"/>
        <v>497</v>
      </c>
      <c r="C499" t="e">
        <f t="shared" si="23"/>
        <v>#N/A</v>
      </c>
      <c r="D499" t="e">
        <f>VLOOKUP(C499,Lookup!$F$5:$G$11,2,FALSE)</f>
        <v>#N/A</v>
      </c>
      <c r="E499" t="e">
        <f>IF(D499=Lookup!$G$5,E498+1,E498)</f>
        <v>#N/A</v>
      </c>
      <c r="F499" s="3" t="e">
        <f>INDEX(cards[Entities count],MATCH('card-code'!E499,cards[object_id order],0))</f>
        <v>#N/A</v>
      </c>
      <c r="G499" t="e">
        <f>IF(D498=Lookup!$G$9,1,IF(D498=Lookup!$G$10,G498+1,""))</f>
        <v>#N/A</v>
      </c>
      <c r="H499" t="e">
        <f>IF(F499=1,  IF(D499=Lookup!$G$9,2,1),  IF(G499&lt;F499-1,0,1)  )</f>
        <v>#N/A</v>
      </c>
      <c r="I499" t="e">
        <f>IF(D499&lt;&gt;Lookup!$G$7,0,IF(INDEX(cards[name],MATCH(E499,cards[object_id order],0))&lt;&gt;"",0,1))</f>
        <v>#N/A</v>
      </c>
      <c r="J499" t="e">
        <f>IF(D499&lt;&gt;Lookup!$G$7,0,IF(INDEX(cards[icon],MATCH(E499,cards[object_id order],0))&lt;&gt;"",0,1))</f>
        <v>#N/A</v>
      </c>
      <c r="K499" t="e">
        <f>IF(D499=Lookup!$G$6,INDEX(cards[object_id],MATCH('card-code'!E499,cards[object_id order],0)),"")</f>
        <v>#N/A</v>
      </c>
      <c r="L499" t="e">
        <f>IF(D499=Lookup!$G$7,INDEX(cards[name],MATCH('card-code'!E499,cards[object_id order],0)),"")</f>
        <v>#N/A</v>
      </c>
      <c r="M499" t="e">
        <f>IF($D499=Lookup!$L$9,INDEX(cards[icon],MATCH($E499,cards[object_id order],0)),"")</f>
        <v>#N/A</v>
      </c>
      <c r="N499" t="e">
        <f>IF(OR(D499=Lookup!$G$10,D499=Lookup!$G$11),INDEX(cards[[1]:[25]],MATCH($E499,cards[object_id order],0),'card-code'!G499),"")</f>
        <v>#N/A</v>
      </c>
      <c r="O499" t="str">
        <f t="shared" si="22"/>
        <v/>
      </c>
      <c r="P499" s="8" t="e">
        <f>INDEX(Lookup!$H$5:$H$11,MATCH(D499,Lookup!$G$5:$G$11,0))&amp;
K499&amp;L499&amp;M499&amp;N499&amp;
INDEX(Lookup!$I$5:$I$11,MATCH(D499,Lookup!$G$5:$G$11,0))</f>
        <v>#N/A</v>
      </c>
    </row>
    <row r="500" spans="2:16" x14ac:dyDescent="0.45">
      <c r="B500">
        <f t="shared" si="21"/>
        <v>498</v>
      </c>
      <c r="C500" t="e">
        <f t="shared" si="23"/>
        <v>#N/A</v>
      </c>
      <c r="D500" t="e">
        <f>VLOOKUP(C500,Lookup!$F$5:$G$11,2,FALSE)</f>
        <v>#N/A</v>
      </c>
      <c r="E500" t="e">
        <f>IF(D500=Lookup!$G$5,E499+1,E499)</f>
        <v>#N/A</v>
      </c>
      <c r="F500" s="3" t="e">
        <f>INDEX(cards[Entities count],MATCH('card-code'!E500,cards[object_id order],0))</f>
        <v>#N/A</v>
      </c>
      <c r="G500" t="e">
        <f>IF(D499=Lookup!$G$9,1,IF(D499=Lookup!$G$10,G499+1,""))</f>
        <v>#N/A</v>
      </c>
      <c r="H500" t="e">
        <f>IF(F500=1,  IF(D500=Lookup!$G$9,2,1),  IF(G500&lt;F500-1,0,1)  )</f>
        <v>#N/A</v>
      </c>
      <c r="I500" t="e">
        <f>IF(D500&lt;&gt;Lookup!$G$7,0,IF(INDEX(cards[name],MATCH(E500,cards[object_id order],0))&lt;&gt;"",0,1))</f>
        <v>#N/A</v>
      </c>
      <c r="J500" t="e">
        <f>IF(D500&lt;&gt;Lookup!$G$7,0,IF(INDEX(cards[icon],MATCH(E500,cards[object_id order],0))&lt;&gt;"",0,1))</f>
        <v>#N/A</v>
      </c>
      <c r="K500" t="e">
        <f>IF(D500=Lookup!$G$6,INDEX(cards[object_id],MATCH('card-code'!E500,cards[object_id order],0)),"")</f>
        <v>#N/A</v>
      </c>
      <c r="L500" t="e">
        <f>IF(D500=Lookup!$G$7,INDEX(cards[name],MATCH('card-code'!E500,cards[object_id order],0)),"")</f>
        <v>#N/A</v>
      </c>
      <c r="M500" t="e">
        <f>IF($D500=Lookup!$L$9,INDEX(cards[icon],MATCH($E500,cards[object_id order],0)),"")</f>
        <v>#N/A</v>
      </c>
      <c r="N500" t="e">
        <f>IF(OR(D500=Lookup!$G$10,D500=Lookup!$G$11),INDEX(cards[[1]:[25]],MATCH($E500,cards[object_id order],0),'card-code'!G500),"")</f>
        <v>#N/A</v>
      </c>
      <c r="O500" t="str">
        <f t="shared" si="22"/>
        <v/>
      </c>
      <c r="P500" s="8" t="e">
        <f>INDEX(Lookup!$H$5:$H$11,MATCH(D500,Lookup!$G$5:$G$11,0))&amp;
K500&amp;L500&amp;M500&amp;N500&amp;
INDEX(Lookup!$I$5:$I$11,MATCH(D500,Lookup!$G$5:$G$11,0))</f>
        <v>#N/A</v>
      </c>
    </row>
    <row r="501" spans="2:16" x14ac:dyDescent="0.45">
      <c r="B501">
        <f t="shared" si="21"/>
        <v>499</v>
      </c>
      <c r="C501" t="e">
        <f t="shared" si="23"/>
        <v>#N/A</v>
      </c>
      <c r="D501" t="e">
        <f>VLOOKUP(C501,Lookup!$F$5:$G$11,2,FALSE)</f>
        <v>#N/A</v>
      </c>
      <c r="E501" t="e">
        <f>IF(D501=Lookup!$G$5,E500+1,E500)</f>
        <v>#N/A</v>
      </c>
      <c r="F501" s="3" t="e">
        <f>INDEX(cards[Entities count],MATCH('card-code'!E501,cards[object_id order],0))</f>
        <v>#N/A</v>
      </c>
      <c r="G501" t="e">
        <f>IF(D500=Lookup!$G$9,1,IF(D500=Lookup!$G$10,G500+1,""))</f>
        <v>#N/A</v>
      </c>
      <c r="H501" t="e">
        <f>IF(F501=1,  IF(D501=Lookup!$G$9,2,1),  IF(G501&lt;F501-1,0,1)  )</f>
        <v>#N/A</v>
      </c>
      <c r="I501" t="e">
        <f>IF(D501&lt;&gt;Lookup!$G$7,0,IF(INDEX(cards[name],MATCH(E501,cards[object_id order],0))&lt;&gt;"",0,1))</f>
        <v>#N/A</v>
      </c>
      <c r="J501" t="e">
        <f>IF(D501&lt;&gt;Lookup!$G$7,0,IF(INDEX(cards[icon],MATCH(E501,cards[object_id order],0))&lt;&gt;"",0,1))</f>
        <v>#N/A</v>
      </c>
      <c r="K501" t="e">
        <f>IF(D501=Lookup!$G$6,INDEX(cards[object_id],MATCH('card-code'!E501,cards[object_id order],0)),"")</f>
        <v>#N/A</v>
      </c>
      <c r="L501" t="e">
        <f>IF(D501=Lookup!$G$7,INDEX(cards[name],MATCH('card-code'!E501,cards[object_id order],0)),"")</f>
        <v>#N/A</v>
      </c>
      <c r="M501" t="e">
        <f>IF($D501=Lookup!$L$9,INDEX(cards[icon],MATCH($E501,cards[object_id order],0)),"")</f>
        <v>#N/A</v>
      </c>
      <c r="N501" t="e">
        <f>IF(OR(D501=Lookup!$G$10,D501=Lookup!$G$11),INDEX(cards[[1]:[25]],MATCH($E501,cards[object_id order],0),'card-code'!G501),"")</f>
        <v>#N/A</v>
      </c>
      <c r="O501" t="str">
        <f t="shared" si="22"/>
        <v/>
      </c>
      <c r="P501" s="8" t="e">
        <f>INDEX(Lookup!$H$5:$H$11,MATCH(D501,Lookup!$G$5:$G$11,0))&amp;
K501&amp;L501&amp;M501&amp;N501&amp;
INDEX(Lookup!$I$5:$I$11,MATCH(D501,Lookup!$G$5:$G$11,0))</f>
        <v>#N/A</v>
      </c>
    </row>
    <row r="502" spans="2:16" x14ac:dyDescent="0.45">
      <c r="B502">
        <f t="shared" si="21"/>
        <v>500</v>
      </c>
      <c r="C502" t="e">
        <f t="shared" si="23"/>
        <v>#N/A</v>
      </c>
      <c r="D502" t="e">
        <f>VLOOKUP(C502,Lookup!$F$5:$G$11,2,FALSE)</f>
        <v>#N/A</v>
      </c>
      <c r="E502" t="e">
        <f>IF(D502=Lookup!$G$5,E501+1,E501)</f>
        <v>#N/A</v>
      </c>
      <c r="F502" s="3" t="e">
        <f>INDEX(cards[Entities count],MATCH('card-code'!E502,cards[object_id order],0))</f>
        <v>#N/A</v>
      </c>
      <c r="G502" t="e">
        <f>IF(D501=Lookup!$G$9,1,IF(D501=Lookup!$G$10,G501+1,""))</f>
        <v>#N/A</v>
      </c>
      <c r="H502" t="e">
        <f>IF(F502=1,  IF(D502=Lookup!$G$9,2,1),  IF(G502&lt;F502-1,0,1)  )</f>
        <v>#N/A</v>
      </c>
      <c r="I502" t="e">
        <f>IF(D502&lt;&gt;Lookup!$G$7,0,IF(INDEX(cards[name],MATCH(E502,cards[object_id order],0))&lt;&gt;"",0,1))</f>
        <v>#N/A</v>
      </c>
      <c r="J502" t="e">
        <f>IF(D502&lt;&gt;Lookup!$G$7,0,IF(INDEX(cards[icon],MATCH(E502,cards[object_id order],0))&lt;&gt;"",0,1))</f>
        <v>#N/A</v>
      </c>
      <c r="K502" t="e">
        <f>IF(D502=Lookup!$G$6,INDEX(cards[object_id],MATCH('card-code'!E502,cards[object_id order],0)),"")</f>
        <v>#N/A</v>
      </c>
      <c r="L502" t="e">
        <f>IF(D502=Lookup!$G$7,INDEX(cards[name],MATCH('card-code'!E502,cards[object_id order],0)),"")</f>
        <v>#N/A</v>
      </c>
      <c r="M502" t="e">
        <f>IF($D502=Lookup!$L$9,INDEX(cards[icon],MATCH($E502,cards[object_id order],0)),"")</f>
        <v>#N/A</v>
      </c>
      <c r="N502" t="e">
        <f>IF(OR(D502=Lookup!$G$10,D502=Lookup!$G$11),INDEX(cards[[1]:[25]],MATCH($E502,cards[object_id order],0),'card-code'!G502),"")</f>
        <v>#N/A</v>
      </c>
      <c r="O502" t="str">
        <f t="shared" si="22"/>
        <v/>
      </c>
      <c r="P502" s="8" t="e">
        <f>INDEX(Lookup!$H$5:$H$11,MATCH(D502,Lookup!$G$5:$G$11,0))&amp;
K502&amp;L502&amp;M502&amp;N502&amp;
INDEX(Lookup!$I$5:$I$11,MATCH(D502,Lookup!$G$5:$G$11,0))</f>
        <v>#N/A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2"/>
  <sheetViews>
    <sheetView workbookViewId="0">
      <selection activeCell="F53" sqref="F53"/>
    </sheetView>
  </sheetViews>
  <sheetFormatPr defaultRowHeight="14.25" x14ac:dyDescent="0.45"/>
  <cols>
    <col min="1" max="1" width="2.3984375" customWidth="1"/>
    <col min="4" max="4" width="15.265625" bestFit="1" customWidth="1"/>
    <col min="7" max="7" width="10" bestFit="1" customWidth="1"/>
    <col min="8" max="15" width="10" customWidth="1"/>
    <col min="20" max="21" width="15.265625" bestFit="1" customWidth="1"/>
  </cols>
  <sheetData>
    <row r="1" spans="2:16" x14ac:dyDescent="0.45">
      <c r="H1" s="11" t="s">
        <v>744</v>
      </c>
      <c r="K1" s="11" t="s">
        <v>68</v>
      </c>
    </row>
    <row r="2" spans="2:16" x14ac:dyDescent="0.45">
      <c r="B2" s="11" t="s">
        <v>62</v>
      </c>
      <c r="C2" s="11" t="s">
        <v>745</v>
      </c>
      <c r="D2" s="11" t="s">
        <v>674</v>
      </c>
      <c r="E2" s="11" t="s">
        <v>671</v>
      </c>
      <c r="F2" s="11" t="s">
        <v>672</v>
      </c>
      <c r="G2" s="11" t="s">
        <v>673</v>
      </c>
      <c r="H2" s="11" t="s">
        <v>743</v>
      </c>
      <c r="I2" s="11" t="s">
        <v>740</v>
      </c>
      <c r="J2" s="11" t="s">
        <v>741</v>
      </c>
      <c r="K2" s="11" t="s">
        <v>403</v>
      </c>
      <c r="L2" s="11" t="s">
        <v>1</v>
      </c>
      <c r="M2" s="11" t="s">
        <v>205</v>
      </c>
      <c r="N2" s="11" t="s">
        <v>747</v>
      </c>
      <c r="O2" s="11" t="s">
        <v>680</v>
      </c>
      <c r="P2" s="11" t="s">
        <v>679</v>
      </c>
    </row>
    <row r="3" spans="2:16" x14ac:dyDescent="0.45">
      <c r="B3" s="5">
        <v>1</v>
      </c>
      <c r="C3" s="5"/>
      <c r="P3" s="20" t="s">
        <v>55</v>
      </c>
    </row>
    <row r="4" spans="2:16" x14ac:dyDescent="0.45">
      <c r="B4">
        <f>B3+1</f>
        <v>2</v>
      </c>
      <c r="P4" s="7" t="s">
        <v>690</v>
      </c>
    </row>
    <row r="5" spans="2:16" x14ac:dyDescent="0.45">
      <c r="B5">
        <f t="shared" ref="B5:B68" si="0">B4+1</f>
        <v>3</v>
      </c>
      <c r="C5" s="5">
        <v>1</v>
      </c>
      <c r="D5" t="str">
        <f>VLOOKUP(C5,Lookup!$K$5:$L$12,2,FALSE)</f>
        <v>blank</v>
      </c>
      <c r="E5" s="5">
        <v>1</v>
      </c>
      <c r="F5" s="3">
        <f>INDEX(views[Entities count],MATCH('view-code'!E5,views[object_id order],0))</f>
        <v>5</v>
      </c>
      <c r="G5" t="str">
        <f>IF(D4=Lookup!$L$10,1,IF(D4=Lookup!$L$11,G4+1,""))</f>
        <v/>
      </c>
      <c r="H5">
        <f>IF(F5=1,IF(D5=Lookup!$L$10,2,1),IF(G5&lt;F5-1,0,1))</f>
        <v>1</v>
      </c>
      <c r="I5">
        <f>IF(D5&lt;&gt;Lookup!$L$7,0,IF(INDEX(views[name],MATCH(E5,views[object_id order],0))&lt;&gt;"",0,1))</f>
        <v>0</v>
      </c>
      <c r="J5">
        <f>IF(D5&lt;&gt;Lookup!$L$7,0,IF(INDEX(views[icon],MATCH(E5,views[object_id order],0))&lt;&gt;"",0,1))</f>
        <v>0</v>
      </c>
      <c r="K5" t="str">
        <f>IF($D5=Lookup!$L$6,INDEX(views[object_id],MATCH($E5,views[object_id order],0)),"")</f>
        <v/>
      </c>
      <c r="L5" t="str">
        <f>IF($D5=Lookup!$L$8,INDEX(views[name],MATCH($E5,views[object_id order],0)),"")</f>
        <v/>
      </c>
      <c r="M5" t="str">
        <f>IF($D5=Lookup!$L$9,INDEX(views[icon],MATCH($E5,views[object_id order],0)),"")</f>
        <v/>
      </c>
      <c r="N5" t="str">
        <f>IF(OR(D5=Lookup!$L$11,D5=Lookup!$L$12),INDEX(views[[1]:[25]],MATCH($E5,views[object_id order],0),G5),"")</f>
        <v/>
      </c>
      <c r="O5" t="str">
        <f>IF(AND(NOT(ISNA(F4)),ISNA(F5)),"END","")</f>
        <v/>
      </c>
      <c r="P5" s="8" t="str">
        <f>INDEX(Lookup!$M$5:$M$12,MATCH(D5,Lookup!$L$5:$L$12,0))&amp;
K5&amp;L5&amp;M5&amp;N5&amp;
INDEX(Lookup!$N$5:$N$12,MATCH(D5,Lookup!$L$5:$L$12,0))</f>
        <v/>
      </c>
    </row>
    <row r="6" spans="2:16" x14ac:dyDescent="0.45">
      <c r="B6">
        <f t="shared" si="0"/>
        <v>4</v>
      </c>
      <c r="C6">
        <f>IF(C5=8,  1,  C5+SUM(H5:J5)  )</f>
        <v>2</v>
      </c>
      <c r="D6" t="str">
        <f>VLOOKUP(C6,Lookup!$K$5:$L$12,2,FALSE)</f>
        <v>card</v>
      </c>
      <c r="E6">
        <f>IF(D6=Lookup!$L$5,E5+1,E5)</f>
        <v>1</v>
      </c>
      <c r="F6" s="3">
        <f>INDEX(views[Entities count],MATCH('view-code'!E6,views[object_id order],0))</f>
        <v>5</v>
      </c>
      <c r="G6" t="str">
        <f>IF(D5=Lookup!$L$10,1,IF(D5=Lookup!$L$11,G5+1,""))</f>
        <v/>
      </c>
      <c r="H6">
        <f>IF(F6=1,IF(D6=Lookup!$L$10,2,1),IF(G6&lt;F6-1,0,1))</f>
        <v>1</v>
      </c>
      <c r="I6">
        <f>IF(D6&lt;&gt;Lookup!$L$7,0,IF(INDEX(views[name],MATCH(E6,views[object_id order],0))&lt;&gt;"",0,1))</f>
        <v>0</v>
      </c>
      <c r="J6">
        <f>IF(D6&lt;&gt;Lookup!$L$7,0,IF(INDEX(views[icon],MATCH(E6,views[object_id order],0))&lt;&gt;"",0,1))</f>
        <v>0</v>
      </c>
      <c r="K6" t="str">
        <f>IF($D6=Lookup!$L$6,INDEX(views[object_id],MATCH($E6,views[object_id order],0)),"")</f>
        <v>default_view</v>
      </c>
      <c r="L6" t="str">
        <f>IF($D6=Lookup!$L$8,INDEX(views[name],MATCH($E6,views[object_id order],0)),"")</f>
        <v/>
      </c>
      <c r="M6" t="str">
        <f>IF($D6=Lookup!$L$9,INDEX(views[icon],MATCH($E6,views[object_id order],0)),"")</f>
        <v/>
      </c>
      <c r="N6" t="str">
        <f>IF(OR(D6=Lookup!$L$11,D6=Lookup!$L$12),INDEX(views[[1]:[25]],MATCH($E6,views[object_id order],0),G6),"")</f>
        <v/>
      </c>
      <c r="O6" t="str">
        <f t="shared" ref="O6:O68" si="1">IF(AND(NOT(ISNA(F5)),ISNA(F6)),"END","")</f>
        <v/>
      </c>
      <c r="P6" s="8" t="str">
        <f>INDEX(Lookup!$M$5:$M$12,MATCH(D6,Lookup!$L$5:$L$12,0))&amp;
K6&amp;L6&amp;M6&amp;N6&amp;
INDEX(Lookup!$N$5:$N$12,MATCH(D6,Lookup!$L$5:$L$12,0))</f>
        <v>default_view:</v>
      </c>
    </row>
    <row r="7" spans="2:16" x14ac:dyDescent="0.45">
      <c r="B7">
        <f t="shared" si="0"/>
        <v>5</v>
      </c>
      <c r="C7">
        <f t="shared" ref="C7:C70" si="2">IF(C6=8,  1,  C6+SUM(H6:J6)  )</f>
        <v>3</v>
      </c>
      <c r="D7" t="str">
        <f>VLOOKUP(C7,Lookup!$K$5:$L$12,2,FALSE)</f>
        <v>view</v>
      </c>
      <c r="E7">
        <f>IF(D7=Lookup!$L$5,E6+1,E6)</f>
        <v>1</v>
      </c>
      <c r="F7" s="3">
        <f>INDEX(views[Entities count],MATCH('view-code'!E7,views[object_id order],0))</f>
        <v>5</v>
      </c>
      <c r="G7" t="str">
        <f>IF(D6=Lookup!$L$10,1,IF(D6=Lookup!$L$11,G6+1,""))</f>
        <v/>
      </c>
      <c r="H7">
        <f>IF(F7=1,IF(D7=Lookup!$L$10,2,1),IF(G7&lt;F7-1,0,1))</f>
        <v>1</v>
      </c>
      <c r="I7">
        <f>IF(D7&lt;&gt;Lookup!$L$7,0,IF(INDEX(views[name],MATCH(E7,views[object_id order],0))&lt;&gt;"",0,1))</f>
        <v>1</v>
      </c>
      <c r="J7">
        <f>IF(D7&lt;&gt;Lookup!$L$7,0,IF(INDEX(views[icon],MATCH(E7,views[object_id order],0))&lt;&gt;"",0,1))</f>
        <v>1</v>
      </c>
      <c r="K7" t="str">
        <f>IF($D7=Lookup!$L$6,INDEX(views[object_id],MATCH($E7,views[object_id order],0)),"")</f>
        <v/>
      </c>
      <c r="L7" t="str">
        <f>IF($D7=Lookup!$L$8,INDEX(views[name],MATCH($E7,views[object_id order],0)),"")</f>
        <v/>
      </c>
      <c r="M7" t="str">
        <f>IF($D7=Lookup!$L$9,INDEX(views[icon],MATCH($E7,views[object_id order],0)),"")</f>
        <v/>
      </c>
      <c r="N7" t="str">
        <f>IF(OR(D7=Lookup!$L$11,D7=Lookup!$L$12),INDEX(views[[1]:[25]],MATCH($E7,views[object_id order],0),G7),"")</f>
        <v/>
      </c>
      <c r="O7" t="str">
        <f t="shared" si="1"/>
        <v/>
      </c>
      <c r="P7" s="8" t="str">
        <f>INDEX(Lookup!$M$5:$M$12,MATCH(D7,Lookup!$L$5:$L$12,0))&amp;
K7&amp;L7&amp;M7&amp;N7&amp;
INDEX(Lookup!$N$5:$N$12,MATCH(D7,Lookup!$L$5:$L$12,0))</f>
        <v xml:space="preserve">  view: yes</v>
      </c>
    </row>
    <row r="8" spans="2:16" x14ac:dyDescent="0.45">
      <c r="B8">
        <f t="shared" si="0"/>
        <v>6</v>
      </c>
      <c r="C8">
        <f t="shared" si="2"/>
        <v>6</v>
      </c>
      <c r="D8" t="str">
        <f>VLOOKUP(C8,Lookup!$K$5:$L$12,2,FALSE)</f>
        <v>entities header</v>
      </c>
      <c r="E8">
        <f>IF(D8=Lookup!$L$5,E7+1,E7)</f>
        <v>1</v>
      </c>
      <c r="F8" s="3">
        <f>INDEX(views[Entities count],MATCH('view-code'!E8,views[object_id order],0))</f>
        <v>5</v>
      </c>
      <c r="G8" t="str">
        <f>IF(D7=Lookup!$L$10,1,IF(D7=Lookup!$L$11,G7+1,""))</f>
        <v/>
      </c>
      <c r="H8">
        <f>IF(F8=1,IF(D8=Lookup!$L$10,2,1),IF(G8&lt;F8-1,0,1))</f>
        <v>1</v>
      </c>
      <c r="I8">
        <f>IF(D8&lt;&gt;Lookup!$L$7,0,IF(INDEX(views[name],MATCH(E8,views[object_id order],0))&lt;&gt;"",0,1))</f>
        <v>0</v>
      </c>
      <c r="J8">
        <f>IF(D8&lt;&gt;Lookup!$L$7,0,IF(INDEX(views[icon],MATCH(E8,views[object_id order],0))&lt;&gt;"",0,1))</f>
        <v>0</v>
      </c>
      <c r="K8" t="str">
        <f>IF($D8=Lookup!$L$6,INDEX(views[object_id],MATCH($E8,views[object_id order],0)),"")</f>
        <v/>
      </c>
      <c r="L8" t="str">
        <f>IF($D8=Lookup!$L$8,INDEX(views[name],MATCH($E8,views[object_id order],0)),"")</f>
        <v/>
      </c>
      <c r="M8" t="str">
        <f>IF($D8=Lookup!$L$9,INDEX(views[icon],MATCH($E8,views[object_id order],0)),"")</f>
        <v/>
      </c>
      <c r="N8" t="str">
        <f>IF(OR(D8=Lookup!$L$11,D8=Lookup!$L$12),INDEX(views[[1]:[25]],MATCH($E8,views[object_id order],0),G8),"")</f>
        <v/>
      </c>
      <c r="O8" t="str">
        <f t="shared" si="1"/>
        <v/>
      </c>
      <c r="P8" s="8" t="str">
        <f>INDEX(Lookup!$M$5:$M$12,MATCH(D8,Lookup!$L$5:$L$12,0))&amp;
K8&amp;L8&amp;M8&amp;N8&amp;
INDEX(Lookup!$N$5:$N$12,MATCH(D8,Lookup!$L$5:$L$12,0))</f>
        <v xml:space="preserve">  entities:</v>
      </c>
    </row>
    <row r="9" spans="2:16" x14ac:dyDescent="0.45">
      <c r="B9">
        <f t="shared" si="0"/>
        <v>7</v>
      </c>
      <c r="C9">
        <f t="shared" si="2"/>
        <v>7</v>
      </c>
      <c r="D9" t="str">
        <f>VLOOKUP(C9,Lookup!$K$5:$L$12,2,FALSE)</f>
        <v>entities</v>
      </c>
      <c r="E9">
        <f>IF(D9=Lookup!$L$5,E8+1,E8)</f>
        <v>1</v>
      </c>
      <c r="F9" s="3">
        <f>INDEX(views[Entities count],MATCH('view-code'!E9,views[object_id order],0))</f>
        <v>5</v>
      </c>
      <c r="G9">
        <f>IF(D8=Lookup!$L$10,1,IF(D8=Lookup!$L$11,G8+1,""))</f>
        <v>1</v>
      </c>
      <c r="H9">
        <f>IF(F9=1,IF(D9=Lookup!$L$10,2,1),IF(G9&lt;F9-1,0,1))</f>
        <v>0</v>
      </c>
      <c r="I9">
        <f>IF(D9&lt;&gt;Lookup!$L$7,0,IF(INDEX(views[name],MATCH(E9,views[object_id order],0))&lt;&gt;"",0,1))</f>
        <v>0</v>
      </c>
      <c r="J9">
        <f>IF(D9&lt;&gt;Lookup!$L$7,0,IF(INDEX(views[icon],MATCH(E9,views[object_id order],0))&lt;&gt;"",0,1))</f>
        <v>0</v>
      </c>
      <c r="K9" t="str">
        <f>IF($D9=Lookup!$L$6,INDEX(views[object_id],MATCH($E9,views[object_id order],0)),"")</f>
        <v/>
      </c>
      <c r="L9" t="str">
        <f>IF($D9=Lookup!$L$8,INDEX(views[name],MATCH($E9,views[object_id order],0)),"")</f>
        <v/>
      </c>
      <c r="M9" t="str">
        <f>IF($D9=Lookup!$L$9,INDEX(views[icon],MATCH($E9,views[object_id order],0)),"")</f>
        <v/>
      </c>
      <c r="N9" t="str">
        <f>IF(OR(D9=Lookup!$L$11,D9=Lookup!$L$12),INDEX(views[[1]:[25]],MATCH($E9,views[object_id order],0),G9),"")</f>
        <v>group.living_room</v>
      </c>
      <c r="O9" t="str">
        <f t="shared" si="1"/>
        <v/>
      </c>
      <c r="P9" s="8" t="str">
        <f>INDEX(Lookup!$M$5:$M$12,MATCH(D9,Lookup!$L$5:$L$12,0))&amp;
K9&amp;L9&amp;M9&amp;N9&amp;
INDEX(Lookup!$N$5:$N$12,MATCH(D9,Lookup!$L$5:$L$12,0))</f>
        <v xml:space="preserve">    - group.living_room</v>
      </c>
    </row>
    <row r="10" spans="2:16" x14ac:dyDescent="0.45">
      <c r="B10">
        <f t="shared" si="0"/>
        <v>8</v>
      </c>
      <c r="C10">
        <f t="shared" si="2"/>
        <v>7</v>
      </c>
      <c r="D10" t="str">
        <f>VLOOKUP(C10,Lookup!$K$5:$L$12,2,FALSE)</f>
        <v>entities</v>
      </c>
      <c r="E10">
        <f>IF(D10=Lookup!$L$5,E9+1,E9)</f>
        <v>1</v>
      </c>
      <c r="F10" s="3">
        <f>INDEX(views[Entities count],MATCH('view-code'!E10,views[object_id order],0))</f>
        <v>5</v>
      </c>
      <c r="G10">
        <f>IF(D9=Lookup!$L$10,1,IF(D9=Lookup!$L$11,G9+1,""))</f>
        <v>2</v>
      </c>
      <c r="H10">
        <f>IF(F10=1,IF(D10=Lookup!$L$10,2,1),IF(G10&lt;F10-1,0,1))</f>
        <v>0</v>
      </c>
      <c r="I10">
        <f>IF(D10&lt;&gt;Lookup!$L$7,0,IF(INDEX(views[name],MATCH(E10,views[object_id order],0))&lt;&gt;"",0,1))</f>
        <v>0</v>
      </c>
      <c r="J10">
        <f>IF(D10&lt;&gt;Lookup!$L$7,0,IF(INDEX(views[icon],MATCH(E10,views[object_id order],0))&lt;&gt;"",0,1))</f>
        <v>0</v>
      </c>
      <c r="K10" t="str">
        <f>IF($D10=Lookup!$L$6,INDEX(views[object_id],MATCH($E10,views[object_id order],0)),"")</f>
        <v/>
      </c>
      <c r="L10" t="str">
        <f>IF($D10=Lookup!$L$8,INDEX(views[name],MATCH($E10,views[object_id order],0)),"")</f>
        <v/>
      </c>
      <c r="M10" t="str">
        <f>IF($D10=Lookup!$L$9,INDEX(views[icon],MATCH($E10,views[object_id order],0)),"")</f>
        <v/>
      </c>
      <c r="N10" t="str">
        <f>IF(OR(D10=Lookup!$L$11,D10=Lookup!$L$12),INDEX(views[[1]:[25]],MATCH($E10,views[object_id order],0),G10),"")</f>
        <v>group.bedroom</v>
      </c>
      <c r="O10" t="str">
        <f t="shared" si="1"/>
        <v/>
      </c>
      <c r="P10" s="8" t="str">
        <f>INDEX(Lookup!$M$5:$M$12,MATCH(D10,Lookup!$L$5:$L$12,0))&amp;
K10&amp;L10&amp;M10&amp;N10&amp;
INDEX(Lookup!$N$5:$N$12,MATCH(D10,Lookup!$L$5:$L$12,0))</f>
        <v xml:space="preserve">    - group.bedroom</v>
      </c>
    </row>
    <row r="11" spans="2:16" x14ac:dyDescent="0.45">
      <c r="B11">
        <f t="shared" si="0"/>
        <v>9</v>
      </c>
      <c r="C11">
        <f t="shared" si="2"/>
        <v>7</v>
      </c>
      <c r="D11" t="str">
        <f>VLOOKUP(C11,Lookup!$K$5:$L$12,2,FALSE)</f>
        <v>entities</v>
      </c>
      <c r="E11">
        <f>IF(D11=Lookup!$L$5,E10+1,E10)</f>
        <v>1</v>
      </c>
      <c r="F11" s="3">
        <f>INDEX(views[Entities count],MATCH('view-code'!E11,views[object_id order],0))</f>
        <v>5</v>
      </c>
      <c r="G11">
        <f>IF(D10=Lookup!$L$10,1,IF(D10=Lookup!$L$11,G10+1,""))</f>
        <v>3</v>
      </c>
      <c r="H11">
        <f>IF(F11=1,IF(D11=Lookup!$L$10,2,1),IF(G11&lt;F11-1,0,1))</f>
        <v>0</v>
      </c>
      <c r="I11">
        <f>IF(D11&lt;&gt;Lookup!$L$7,0,IF(INDEX(views[name],MATCH(E11,views[object_id order],0))&lt;&gt;"",0,1))</f>
        <v>0</v>
      </c>
      <c r="J11">
        <f>IF(D11&lt;&gt;Lookup!$L$7,0,IF(INDEX(views[icon],MATCH(E11,views[object_id order],0))&lt;&gt;"",0,1))</f>
        <v>0</v>
      </c>
      <c r="K11" t="str">
        <f>IF($D11=Lookup!$L$6,INDEX(views[object_id],MATCH($E11,views[object_id order],0)),"")</f>
        <v/>
      </c>
      <c r="L11" t="str">
        <f>IF($D11=Lookup!$L$8,INDEX(views[name],MATCH($E11,views[object_id order],0)),"")</f>
        <v/>
      </c>
      <c r="M11" t="str">
        <f>IF($D11=Lookup!$L$9,INDEX(views[icon],MATCH($E11,views[object_id order],0)),"")</f>
        <v/>
      </c>
      <c r="N11" t="str">
        <f>IF(OR(D11=Lookup!$L$11,D11=Lookup!$L$12),INDEX(views[[1]:[25]],MATCH($E11,views[object_id order],0),G11),"")</f>
        <v>group.alarm_clock</v>
      </c>
      <c r="O11" t="str">
        <f t="shared" si="1"/>
        <v/>
      </c>
      <c r="P11" s="8" t="str">
        <f>INDEX(Lookup!$M$5:$M$12,MATCH(D11,Lookup!$L$5:$L$12,0))&amp;
K11&amp;L11&amp;M11&amp;N11&amp;
INDEX(Lookup!$N$5:$N$12,MATCH(D11,Lookup!$L$5:$L$12,0))</f>
        <v xml:space="preserve">    - group.alarm_clock</v>
      </c>
    </row>
    <row r="12" spans="2:16" x14ac:dyDescent="0.45">
      <c r="B12">
        <f t="shared" si="0"/>
        <v>10</v>
      </c>
      <c r="C12">
        <f t="shared" si="2"/>
        <v>7</v>
      </c>
      <c r="D12" t="str">
        <f>VLOOKUP(C12,Lookup!$K$5:$L$12,2,FALSE)</f>
        <v>entities</v>
      </c>
      <c r="E12">
        <f>IF(D12=Lookup!$L$5,E11+1,E11)</f>
        <v>1</v>
      </c>
      <c r="F12" s="3">
        <f>INDEX(views[Entities count],MATCH('view-code'!E12,views[object_id order],0))</f>
        <v>5</v>
      </c>
      <c r="G12">
        <f>IF(D11=Lookup!$L$10,1,IF(D11=Lookup!$L$11,G11+1,""))</f>
        <v>4</v>
      </c>
      <c r="H12">
        <f>IF(F12=1,IF(D12=Lookup!$L$10,2,1),IF(G12&lt;F12-1,0,1))</f>
        <v>1</v>
      </c>
      <c r="I12">
        <f>IF(D12&lt;&gt;Lookup!$L$7,0,IF(INDEX(views[name],MATCH(E12,views[object_id order],0))&lt;&gt;"",0,1))</f>
        <v>0</v>
      </c>
      <c r="J12">
        <f>IF(D12&lt;&gt;Lookup!$L$7,0,IF(INDEX(views[icon],MATCH(E12,views[object_id order],0))&lt;&gt;"",0,1))</f>
        <v>0</v>
      </c>
      <c r="K12" t="str">
        <f>IF($D12=Lookup!$L$6,INDEX(views[object_id],MATCH($E12,views[object_id order],0)),"")</f>
        <v/>
      </c>
      <c r="L12" t="str">
        <f>IF($D12=Lookup!$L$8,INDEX(views[name],MATCH($E12,views[object_id order],0)),"")</f>
        <v/>
      </c>
      <c r="M12" t="str">
        <f>IF($D12=Lookup!$L$9,INDEX(views[icon],MATCH($E12,views[object_id order],0)),"")</f>
        <v/>
      </c>
      <c r="N12" t="str">
        <f>IF(OR(D12=Lookup!$L$11,D12=Lookup!$L$12),INDEX(views[[1]:[25]],MATCH($E12,views[object_id order],0),G12),"")</f>
        <v>group.status</v>
      </c>
      <c r="O12" t="str">
        <f t="shared" si="1"/>
        <v/>
      </c>
      <c r="P12" s="8" t="str">
        <f>INDEX(Lookup!$M$5:$M$12,MATCH(D12,Lookup!$L$5:$L$12,0))&amp;
K12&amp;L12&amp;M12&amp;N12&amp;
INDEX(Lookup!$N$5:$N$12,MATCH(D12,Lookup!$L$5:$L$12,0))</f>
        <v xml:space="preserve">    - group.status</v>
      </c>
    </row>
    <row r="13" spans="2:16" x14ac:dyDescent="0.45">
      <c r="B13">
        <f t="shared" si="0"/>
        <v>11</v>
      </c>
      <c r="C13">
        <f t="shared" si="2"/>
        <v>8</v>
      </c>
      <c r="D13" t="str">
        <f>VLOOKUP(C13,Lookup!$K$5:$L$12,2,FALSE)</f>
        <v>entities end</v>
      </c>
      <c r="E13">
        <f>IF(D13=Lookup!$L$5,E12+1,E12)</f>
        <v>1</v>
      </c>
      <c r="F13" s="3">
        <f>INDEX(views[Entities count],MATCH('view-code'!E13,views[object_id order],0))</f>
        <v>5</v>
      </c>
      <c r="G13">
        <f>IF(D12=Lookup!$L$10,1,IF(D12=Lookup!$L$11,G12+1,""))</f>
        <v>5</v>
      </c>
      <c r="H13">
        <f>IF(F13=1,IF(D13=Lookup!$L$10,2,1),IF(G13&lt;F13-1,0,1))</f>
        <v>1</v>
      </c>
      <c r="I13">
        <f>IF(D13&lt;&gt;Lookup!$L$7,0,IF(INDEX(views[name],MATCH(E13,views[object_id order],0))&lt;&gt;"",0,1))</f>
        <v>0</v>
      </c>
      <c r="J13">
        <f>IF(D13&lt;&gt;Lookup!$L$7,0,IF(INDEX(views[icon],MATCH(E13,views[object_id order],0))&lt;&gt;"",0,1))</f>
        <v>0</v>
      </c>
      <c r="K13" t="str">
        <f>IF($D13=Lookup!$L$6,INDEX(views[object_id],MATCH($E13,views[object_id order],0)),"")</f>
        <v/>
      </c>
      <c r="L13" t="str">
        <f>IF($D13=Lookup!$L$8,INDEX(views[name],MATCH($E13,views[object_id order],0)),"")</f>
        <v/>
      </c>
      <c r="M13" t="str">
        <f>IF($D13=Lookup!$L$9,INDEX(views[icon],MATCH($E13,views[object_id order],0)),"")</f>
        <v/>
      </c>
      <c r="N13" t="str">
        <f>IF(OR(D13=Lookup!$L$11,D13=Lookup!$L$12),INDEX(views[[1]:[25]],MATCH($E13,views[object_id order],0),G13),"")</f>
        <v>media_player.living_room_tv</v>
      </c>
      <c r="O13" t="str">
        <f t="shared" si="1"/>
        <v/>
      </c>
      <c r="P13" s="8" t="str">
        <f>INDEX(Lookup!$M$5:$M$12,MATCH(D13,Lookup!$L$5:$L$12,0))&amp;
K13&amp;L13&amp;M13&amp;N13&amp;
INDEX(Lookup!$N$5:$N$12,MATCH(D13,Lookup!$L$5:$L$12,0))</f>
        <v xml:space="preserve">    - media_player.living_room_tv</v>
      </c>
    </row>
    <row r="14" spans="2:16" x14ac:dyDescent="0.45">
      <c r="B14">
        <f t="shared" si="0"/>
        <v>12</v>
      </c>
      <c r="C14">
        <f t="shared" si="2"/>
        <v>1</v>
      </c>
      <c r="D14" t="str">
        <f>VLOOKUP(C14,Lookup!$K$5:$L$12,2,FALSE)</f>
        <v>blank</v>
      </c>
      <c r="E14">
        <f>IF(D14=Lookup!$L$5,E13+1,E13)</f>
        <v>2</v>
      </c>
      <c r="F14" s="3">
        <f>INDEX(views[Entities count],MATCH('view-code'!E14,views[object_id order],0))</f>
        <v>3</v>
      </c>
      <c r="G14" t="str">
        <f>IF(D13=Lookup!$L$10,1,IF(D13=Lookup!$L$11,G13+1,""))</f>
        <v/>
      </c>
      <c r="H14">
        <f>IF(F14=1,IF(D14=Lookup!$L$10,2,1),IF(G14&lt;F14-1,0,1))</f>
        <v>1</v>
      </c>
      <c r="I14">
        <f>IF(D14&lt;&gt;Lookup!$L$7,0,IF(INDEX(views[name],MATCH(E14,views[object_id order],0))&lt;&gt;"",0,1))</f>
        <v>0</v>
      </c>
      <c r="J14">
        <f>IF(D14&lt;&gt;Lookup!$L$7,0,IF(INDEX(views[icon],MATCH(E14,views[object_id order],0))&lt;&gt;"",0,1))</f>
        <v>0</v>
      </c>
      <c r="K14" t="str">
        <f>IF($D14=Lookup!$L$6,INDEX(views[object_id],MATCH($E14,views[object_id order],0)),"")</f>
        <v/>
      </c>
      <c r="L14" t="str">
        <f>IF($D14=Lookup!$L$8,INDEX(views[name],MATCH($E14,views[object_id order],0)),"")</f>
        <v/>
      </c>
      <c r="M14" t="str">
        <f>IF($D14=Lookup!$L$9,INDEX(views[icon],MATCH($E14,views[object_id order],0)),"")</f>
        <v/>
      </c>
      <c r="N14" t="str">
        <f>IF(OR(D14=Lookup!$L$11,D14=Lookup!$L$12),INDEX(views[[1]:[25]],MATCH($E14,views[object_id order],0),G14),"")</f>
        <v/>
      </c>
      <c r="O14" t="str">
        <f t="shared" si="1"/>
        <v/>
      </c>
      <c r="P14" s="8" t="str">
        <f>INDEX(Lookup!$M$5:$M$12,MATCH(D14,Lookup!$L$5:$L$12,0))&amp;
K14&amp;L14&amp;M14&amp;N14&amp;
INDEX(Lookup!$N$5:$N$12,MATCH(D14,Lookup!$L$5:$L$12,0))</f>
        <v/>
      </c>
    </row>
    <row r="15" spans="2:16" x14ac:dyDescent="0.45">
      <c r="B15">
        <f t="shared" si="0"/>
        <v>13</v>
      </c>
      <c r="C15">
        <f t="shared" si="2"/>
        <v>2</v>
      </c>
      <c r="D15" t="str">
        <f>VLOOKUP(C15,Lookup!$K$5:$L$12,2,FALSE)</f>
        <v>card</v>
      </c>
      <c r="E15">
        <f>IF(D15=Lookup!$L$5,E14+1,E14)</f>
        <v>2</v>
      </c>
      <c r="F15" s="3">
        <f>INDEX(views[Entities count],MATCH('view-code'!E15,views[object_id order],0))</f>
        <v>3</v>
      </c>
      <c r="G15" t="str">
        <f>IF(D14=Lookup!$L$10,1,IF(D14=Lookup!$L$11,G14+1,""))</f>
        <v/>
      </c>
      <c r="H15">
        <f>IF(F15=1,IF(D15=Lookup!$L$10,2,1),IF(G15&lt;F15-1,0,1))</f>
        <v>1</v>
      </c>
      <c r="I15">
        <f>IF(D15&lt;&gt;Lookup!$L$7,0,IF(INDEX(views[name],MATCH(E15,views[object_id order],0))&lt;&gt;"",0,1))</f>
        <v>0</v>
      </c>
      <c r="J15">
        <f>IF(D15&lt;&gt;Lookup!$L$7,0,IF(INDEX(views[icon],MATCH(E15,views[object_id order],0))&lt;&gt;"",0,1))</f>
        <v>0</v>
      </c>
      <c r="K15" t="str">
        <f>IF($D15=Lookup!$L$6,INDEX(views[object_id],MATCH($E15,views[object_id order],0)),"")</f>
        <v>bedroom_view</v>
      </c>
      <c r="L15" t="str">
        <f>IF($D15=Lookup!$L$8,INDEX(views[name],MATCH($E15,views[object_id order],0)),"")</f>
        <v/>
      </c>
      <c r="M15" t="str">
        <f>IF($D15=Lookup!$L$9,INDEX(views[icon],MATCH($E15,views[object_id order],0)),"")</f>
        <v/>
      </c>
      <c r="N15" t="str">
        <f>IF(OR(D15=Lookup!$L$11,D15=Lookup!$L$12),INDEX(views[[1]:[25]],MATCH($E15,views[object_id order],0),G15),"")</f>
        <v/>
      </c>
      <c r="O15" t="str">
        <f t="shared" si="1"/>
        <v/>
      </c>
      <c r="P15" s="8" t="str">
        <f>INDEX(Lookup!$M$5:$M$12,MATCH(D15,Lookup!$L$5:$L$12,0))&amp;
K15&amp;L15&amp;M15&amp;N15&amp;
INDEX(Lookup!$N$5:$N$12,MATCH(D15,Lookup!$L$5:$L$12,0))</f>
        <v>bedroom_view:</v>
      </c>
    </row>
    <row r="16" spans="2:16" x14ac:dyDescent="0.45">
      <c r="B16">
        <f t="shared" si="0"/>
        <v>14</v>
      </c>
      <c r="C16">
        <f t="shared" si="2"/>
        <v>3</v>
      </c>
      <c r="D16" t="str">
        <f>VLOOKUP(C16,Lookup!$K$5:$L$12,2,FALSE)</f>
        <v>view</v>
      </c>
      <c r="E16">
        <f>IF(D16=Lookup!$L$5,E15+1,E15)</f>
        <v>2</v>
      </c>
      <c r="F16" s="3">
        <f>INDEX(views[Entities count],MATCH('view-code'!E16,views[object_id order],0))</f>
        <v>3</v>
      </c>
      <c r="G16" t="str">
        <f>IF(D15=Lookup!$L$10,1,IF(D15=Lookup!$L$11,G15+1,""))</f>
        <v/>
      </c>
      <c r="H16">
        <f>IF(F16=1,IF(D16=Lookup!$L$10,2,1),IF(G16&lt;F16-1,0,1))</f>
        <v>1</v>
      </c>
      <c r="I16">
        <f>IF(D16&lt;&gt;Lookup!$L$7,0,IF(INDEX(views[name],MATCH(E16,views[object_id order],0))&lt;&gt;"",0,1))</f>
        <v>0</v>
      </c>
      <c r="J16">
        <f>IF(D16&lt;&gt;Lookup!$L$7,0,IF(INDEX(views[icon],MATCH(E16,views[object_id order],0))&lt;&gt;"",0,1))</f>
        <v>0</v>
      </c>
      <c r="K16" t="str">
        <f>IF($D16=Lookup!$L$6,INDEX(views[object_id],MATCH($E16,views[object_id order],0)),"")</f>
        <v/>
      </c>
      <c r="L16" t="str">
        <f>IF($D16=Lookup!$L$8,INDEX(views[name],MATCH($E16,views[object_id order],0)),"")</f>
        <v/>
      </c>
      <c r="M16" t="str">
        <f>IF($D16=Lookup!$L$9,INDEX(views[icon],MATCH($E16,views[object_id order],0)),"")</f>
        <v/>
      </c>
      <c r="N16" t="str">
        <f>IF(OR(D16=Lookup!$L$11,D16=Lookup!$L$12),INDEX(views[[1]:[25]],MATCH($E16,views[object_id order],0),G16),"")</f>
        <v/>
      </c>
      <c r="O16" t="str">
        <f t="shared" si="1"/>
        <v/>
      </c>
      <c r="P16" s="8" t="str">
        <f>INDEX(Lookup!$M$5:$M$12,MATCH(D16,Lookup!$L$5:$L$12,0))&amp;
K16&amp;L16&amp;M16&amp;N16&amp;
INDEX(Lookup!$N$5:$N$12,MATCH(D16,Lookup!$L$5:$L$12,0))</f>
        <v xml:space="preserve">  view: yes</v>
      </c>
    </row>
    <row r="17" spans="2:16" x14ac:dyDescent="0.45">
      <c r="B17">
        <f t="shared" si="0"/>
        <v>15</v>
      </c>
      <c r="C17">
        <f t="shared" si="2"/>
        <v>4</v>
      </c>
      <c r="D17" t="str">
        <f>VLOOKUP(C17,Lookup!$K$5:$L$12,2,FALSE)</f>
        <v>name</v>
      </c>
      <c r="E17">
        <f>IF(D17=Lookup!$L$5,E16+1,E16)</f>
        <v>2</v>
      </c>
      <c r="F17" s="3">
        <f>INDEX(views[Entities count],MATCH('view-code'!E17,views[object_id order],0))</f>
        <v>3</v>
      </c>
      <c r="G17" t="str">
        <f>IF(D16=Lookup!$L$10,1,IF(D16=Lookup!$L$11,G16+1,""))</f>
        <v/>
      </c>
      <c r="H17">
        <f>IF(F17=1,IF(D17=Lookup!$L$10,2,1),IF(G17&lt;F17-1,0,1))</f>
        <v>1</v>
      </c>
      <c r="I17">
        <f>IF(D17&lt;&gt;Lookup!$L$7,0,IF(INDEX(views[name],MATCH(E17,views[object_id order],0))&lt;&gt;"",0,1))</f>
        <v>0</v>
      </c>
      <c r="J17">
        <f>IF(D17&lt;&gt;Lookup!$L$7,0,IF(INDEX(views[icon],MATCH(E17,views[object_id order],0))&lt;&gt;"",0,1))</f>
        <v>0</v>
      </c>
      <c r="K17" t="str">
        <f>IF($D17=Lookup!$L$6,INDEX(views[object_id],MATCH($E17,views[object_id order],0)),"")</f>
        <v/>
      </c>
      <c r="L17" t="str">
        <f>IF($D17=Lookup!$L$8,INDEX(views[name],MATCH($E17,views[object_id order],0)),"")</f>
        <v>Bedroom</v>
      </c>
      <c r="M17" t="str">
        <f>IF($D17=Lookup!$L$9,INDEX(views[icon],MATCH($E17,views[object_id order],0)),"")</f>
        <v/>
      </c>
      <c r="N17" t="str">
        <f>IF(OR(D17=Lookup!$L$11,D17=Lookup!$L$12),INDEX(views[[1]:[25]],MATCH($E17,views[object_id order],0),G17),"")</f>
        <v/>
      </c>
      <c r="O17" t="str">
        <f t="shared" si="1"/>
        <v/>
      </c>
      <c r="P17" s="8" t="str">
        <f>INDEX(Lookup!$M$5:$M$12,MATCH(D17,Lookup!$L$5:$L$12,0))&amp;
K17&amp;L17&amp;M17&amp;N17&amp;
INDEX(Lookup!$N$5:$N$12,MATCH(D17,Lookup!$L$5:$L$12,0))</f>
        <v xml:space="preserve">  name: "Bedroom"</v>
      </c>
    </row>
    <row r="18" spans="2:16" x14ac:dyDescent="0.45">
      <c r="B18">
        <f t="shared" si="0"/>
        <v>16</v>
      </c>
      <c r="C18">
        <f t="shared" si="2"/>
        <v>5</v>
      </c>
      <c r="D18" t="str">
        <f>VLOOKUP(C18,Lookup!$K$5:$L$12,2,FALSE)</f>
        <v>icon</v>
      </c>
      <c r="E18">
        <f>IF(D18=Lookup!$L$5,E17+1,E17)</f>
        <v>2</v>
      </c>
      <c r="F18" s="3">
        <f>INDEX(views[Entities count],MATCH('view-code'!E18,views[object_id order],0))</f>
        <v>3</v>
      </c>
      <c r="G18" t="str">
        <f>IF(D17=Lookup!$L$10,1,IF(D17=Lookup!$L$11,G17+1,""))</f>
        <v/>
      </c>
      <c r="H18">
        <f>IF(F18=1,IF(D18=Lookup!$L$10,2,1),IF(G18&lt;F18-1,0,1))</f>
        <v>1</v>
      </c>
      <c r="I18">
        <f>IF(D18&lt;&gt;Lookup!$L$7,0,IF(INDEX(views[name],MATCH(E18,views[object_id order],0))&lt;&gt;"",0,1))</f>
        <v>0</v>
      </c>
      <c r="J18">
        <f>IF(D18&lt;&gt;Lookup!$L$7,0,IF(INDEX(views[icon],MATCH(E18,views[object_id order],0))&lt;&gt;"",0,1))</f>
        <v>0</v>
      </c>
      <c r="K18" t="str">
        <f>IF($D18=Lookup!$L$6,INDEX(views[object_id],MATCH($E18,views[object_id order],0)),"")</f>
        <v/>
      </c>
      <c r="L18" t="str">
        <f>IF($D18=Lookup!$L$8,INDEX(views[name],MATCH($E18,views[object_id order],0)),"")</f>
        <v/>
      </c>
      <c r="M18" t="str">
        <f>IF($D18=Lookup!$L$9,INDEX(views[icon],MATCH($E18,views[object_id order],0)),"")</f>
        <v>mdi:hotel</v>
      </c>
      <c r="N18" t="str">
        <f>IF(OR(D18=Lookup!$L$11,D18=Lookup!$L$12),INDEX(views[[1]:[25]],MATCH($E18,views[object_id order],0),G18),"")</f>
        <v/>
      </c>
      <c r="O18" t="str">
        <f t="shared" si="1"/>
        <v/>
      </c>
      <c r="P18" s="8" t="str">
        <f>INDEX(Lookup!$M$5:$M$12,MATCH(D18,Lookup!$L$5:$L$12,0))&amp;
K18&amp;L18&amp;M18&amp;N18&amp;
INDEX(Lookup!$N$5:$N$12,MATCH(D18,Lookup!$L$5:$L$12,0))</f>
        <v xml:space="preserve">  icon: mdi:hotel</v>
      </c>
    </row>
    <row r="19" spans="2:16" x14ac:dyDescent="0.45">
      <c r="B19">
        <f t="shared" si="0"/>
        <v>17</v>
      </c>
      <c r="C19">
        <f t="shared" si="2"/>
        <v>6</v>
      </c>
      <c r="D19" t="str">
        <f>VLOOKUP(C19,Lookup!$K$5:$L$12,2,FALSE)</f>
        <v>entities header</v>
      </c>
      <c r="E19">
        <f>IF(D19=Lookup!$L$5,E18+1,E18)</f>
        <v>2</v>
      </c>
      <c r="F19" s="3">
        <f>INDEX(views[Entities count],MATCH('view-code'!E19,views[object_id order],0))</f>
        <v>3</v>
      </c>
      <c r="G19" t="str">
        <f>IF(D18=Lookup!$L$10,1,IF(D18=Lookup!$L$11,G18+1,""))</f>
        <v/>
      </c>
      <c r="H19">
        <f>IF(F19=1,IF(D19=Lookup!$L$10,2,1),IF(G19&lt;F19-1,0,1))</f>
        <v>1</v>
      </c>
      <c r="I19">
        <f>IF(D19&lt;&gt;Lookup!$L$7,0,IF(INDEX(views[name],MATCH(E19,views[object_id order],0))&lt;&gt;"",0,1))</f>
        <v>0</v>
      </c>
      <c r="J19">
        <f>IF(D19&lt;&gt;Lookup!$L$7,0,IF(INDEX(views[icon],MATCH(E19,views[object_id order],0))&lt;&gt;"",0,1))</f>
        <v>0</v>
      </c>
      <c r="K19" t="str">
        <f>IF($D19=Lookup!$L$6,INDEX(views[object_id],MATCH($E19,views[object_id order],0)),"")</f>
        <v/>
      </c>
      <c r="L19" t="str">
        <f>IF($D19=Lookup!$L$8,INDEX(views[name],MATCH($E19,views[object_id order],0)),"")</f>
        <v/>
      </c>
      <c r="M19" t="str">
        <f>IF($D19=Lookup!$L$9,INDEX(views[icon],MATCH($E19,views[object_id order],0)),"")</f>
        <v/>
      </c>
      <c r="N19" t="str">
        <f>IF(OR(D19=Lookup!$L$11,D19=Lookup!$L$12),INDEX(views[[1]:[25]],MATCH($E19,views[object_id order],0),G19),"")</f>
        <v/>
      </c>
      <c r="O19" t="str">
        <f t="shared" si="1"/>
        <v/>
      </c>
      <c r="P19" s="8" t="str">
        <f>INDEX(Lookup!$M$5:$M$12,MATCH(D19,Lookup!$L$5:$L$12,0))&amp;
K19&amp;L19&amp;M19&amp;N19&amp;
INDEX(Lookup!$N$5:$N$12,MATCH(D19,Lookup!$L$5:$L$12,0))</f>
        <v xml:space="preserve">  entities:</v>
      </c>
    </row>
    <row r="20" spans="2:16" x14ac:dyDescent="0.45">
      <c r="B20">
        <f t="shared" si="0"/>
        <v>18</v>
      </c>
      <c r="C20">
        <f t="shared" si="2"/>
        <v>7</v>
      </c>
      <c r="D20" t="str">
        <f>VLOOKUP(C20,Lookup!$K$5:$L$12,2,FALSE)</f>
        <v>entities</v>
      </c>
      <c r="E20">
        <f>IF(D20=Lookup!$L$5,E19+1,E19)</f>
        <v>2</v>
      </c>
      <c r="F20" s="3">
        <f>INDEX(views[Entities count],MATCH('view-code'!E20,views[object_id order],0))</f>
        <v>3</v>
      </c>
      <c r="G20">
        <f>IF(D19=Lookup!$L$10,1,IF(D19=Lookup!$L$11,G19+1,""))</f>
        <v>1</v>
      </c>
      <c r="H20">
        <f>IF(F20=1,IF(D20=Lookup!$L$10,2,1),IF(G20&lt;F20-1,0,1))</f>
        <v>0</v>
      </c>
      <c r="I20">
        <f>IF(D20&lt;&gt;Lookup!$L$7,0,IF(INDEX(views[name],MATCH(E20,views[object_id order],0))&lt;&gt;"",0,1))</f>
        <v>0</v>
      </c>
      <c r="J20">
        <f>IF(D20&lt;&gt;Lookup!$L$7,0,IF(INDEX(views[icon],MATCH(E20,views[object_id order],0))&lt;&gt;"",0,1))</f>
        <v>0</v>
      </c>
      <c r="K20" t="str">
        <f>IF($D20=Lookup!$L$6,INDEX(views[object_id],MATCH($E20,views[object_id order],0)),"")</f>
        <v/>
      </c>
      <c r="L20" t="str">
        <f>IF($D20=Lookup!$L$8,INDEX(views[name],MATCH($E20,views[object_id order],0)),"")</f>
        <v/>
      </c>
      <c r="M20" t="str">
        <f>IF($D20=Lookup!$L$9,INDEX(views[icon],MATCH($E20,views[object_id order],0)),"")</f>
        <v/>
      </c>
      <c r="N20" t="str">
        <f>IF(OR(D20=Lookup!$L$11,D20=Lookup!$L$12),INDEX(views[[1]:[25]],MATCH($E20,views[object_id order],0),G20),"")</f>
        <v>group.bedroom</v>
      </c>
      <c r="O20" t="str">
        <f t="shared" si="1"/>
        <v/>
      </c>
      <c r="P20" s="8" t="str">
        <f>INDEX(Lookup!$M$5:$M$12,MATCH(D20,Lookup!$L$5:$L$12,0))&amp;
K20&amp;L20&amp;M20&amp;N20&amp;
INDEX(Lookup!$N$5:$N$12,MATCH(D20,Lookup!$L$5:$L$12,0))</f>
        <v xml:space="preserve">    - group.bedroom</v>
      </c>
    </row>
    <row r="21" spans="2:16" x14ac:dyDescent="0.45">
      <c r="B21">
        <f t="shared" si="0"/>
        <v>19</v>
      </c>
      <c r="C21">
        <f t="shared" si="2"/>
        <v>7</v>
      </c>
      <c r="D21" t="str">
        <f>VLOOKUP(C21,Lookup!$K$5:$L$12,2,FALSE)</f>
        <v>entities</v>
      </c>
      <c r="E21">
        <f>IF(D21=Lookup!$L$5,E20+1,E20)</f>
        <v>2</v>
      </c>
      <c r="F21" s="3">
        <f>INDEX(views[Entities count],MATCH('view-code'!E21,views[object_id order],0))</f>
        <v>3</v>
      </c>
      <c r="G21">
        <f>IF(D20=Lookup!$L$10,1,IF(D20=Lookup!$L$11,G20+1,""))</f>
        <v>2</v>
      </c>
      <c r="H21">
        <f>IF(F21=1,IF(D21=Lookup!$L$10,2,1),IF(G21&lt;F21-1,0,1))</f>
        <v>1</v>
      </c>
      <c r="I21">
        <f>IF(D21&lt;&gt;Lookup!$L$7,0,IF(INDEX(views[name],MATCH(E21,views[object_id order],0))&lt;&gt;"",0,1))</f>
        <v>0</v>
      </c>
      <c r="J21">
        <f>IF(D21&lt;&gt;Lookup!$L$7,0,IF(INDEX(views[icon],MATCH(E21,views[object_id order],0))&lt;&gt;"",0,1))</f>
        <v>0</v>
      </c>
      <c r="K21" t="str">
        <f>IF($D21=Lookup!$L$6,INDEX(views[object_id],MATCH($E21,views[object_id order],0)),"")</f>
        <v/>
      </c>
      <c r="L21" t="str">
        <f>IF($D21=Lookup!$L$8,INDEX(views[name],MATCH($E21,views[object_id order],0)),"")</f>
        <v/>
      </c>
      <c r="M21" t="str">
        <f>IF($D21=Lookup!$L$9,INDEX(views[icon],MATCH($E21,views[object_id order],0)),"")</f>
        <v/>
      </c>
      <c r="N21" t="str">
        <f>IF(OR(D21=Lookup!$L$11,D21=Lookup!$L$12),INDEX(views[[1]:[25]],MATCH($E21,views[object_id order],0),G21),"")</f>
        <v>group.alarm_clock</v>
      </c>
      <c r="O21" t="str">
        <f t="shared" si="1"/>
        <v/>
      </c>
      <c r="P21" s="8" t="str">
        <f>INDEX(Lookup!$M$5:$M$12,MATCH(D21,Lookup!$L$5:$L$12,0))&amp;
K21&amp;L21&amp;M21&amp;N21&amp;
INDEX(Lookup!$N$5:$N$12,MATCH(D21,Lookup!$L$5:$L$12,0))</f>
        <v xml:space="preserve">    - group.alarm_clock</v>
      </c>
    </row>
    <row r="22" spans="2:16" x14ac:dyDescent="0.45">
      <c r="B22">
        <f t="shared" si="0"/>
        <v>20</v>
      </c>
      <c r="C22">
        <f t="shared" si="2"/>
        <v>8</v>
      </c>
      <c r="D22" t="str">
        <f>VLOOKUP(C22,Lookup!$K$5:$L$12,2,FALSE)</f>
        <v>entities end</v>
      </c>
      <c r="E22">
        <f>IF(D22=Lookup!$L$5,E21+1,E21)</f>
        <v>2</v>
      </c>
      <c r="F22" s="3">
        <f>INDEX(views[Entities count],MATCH('view-code'!E22,views[object_id order],0))</f>
        <v>3</v>
      </c>
      <c r="G22">
        <f>IF(D21=Lookup!$L$10,1,IF(D21=Lookup!$L$11,G21+1,""))</f>
        <v>3</v>
      </c>
      <c r="H22">
        <f>IF(F22=1,IF(D22=Lookup!$L$10,2,1),IF(G22&lt;F22-1,0,1))</f>
        <v>1</v>
      </c>
      <c r="I22">
        <f>IF(D22&lt;&gt;Lookup!$L$7,0,IF(INDEX(views[name],MATCH(E22,views[object_id order],0))&lt;&gt;"",0,1))</f>
        <v>0</v>
      </c>
      <c r="J22">
        <f>IF(D22&lt;&gt;Lookup!$L$7,0,IF(INDEX(views[icon],MATCH(E22,views[object_id order],0))&lt;&gt;"",0,1))</f>
        <v>0</v>
      </c>
      <c r="K22" t="str">
        <f>IF($D22=Lookup!$L$6,INDEX(views[object_id],MATCH($E22,views[object_id order],0)),"")</f>
        <v/>
      </c>
      <c r="L22" t="str">
        <f>IF($D22=Lookup!$L$8,INDEX(views[name],MATCH($E22,views[object_id order],0)),"")</f>
        <v/>
      </c>
      <c r="M22" t="str">
        <f>IF($D22=Lookup!$L$9,INDEX(views[icon],MATCH($E22,views[object_id order],0)),"")</f>
        <v/>
      </c>
      <c r="N22" t="str">
        <f>IF(OR(D22=Lookup!$L$11,D22=Lookup!$L$12),INDEX(views[[1]:[25]],MATCH($E22,views[object_id order],0),G22),"")</f>
        <v>group.bedroom_devices</v>
      </c>
      <c r="O22" t="str">
        <f t="shared" si="1"/>
        <v/>
      </c>
      <c r="P22" s="8" t="str">
        <f>INDEX(Lookup!$M$5:$M$12,MATCH(D22,Lookup!$L$5:$L$12,0))&amp;
K22&amp;L22&amp;M22&amp;N22&amp;
INDEX(Lookup!$N$5:$N$12,MATCH(D22,Lookup!$L$5:$L$12,0))</f>
        <v xml:space="preserve">    - group.bedroom_devices</v>
      </c>
    </row>
    <row r="23" spans="2:16" x14ac:dyDescent="0.45">
      <c r="B23">
        <f t="shared" si="0"/>
        <v>21</v>
      </c>
      <c r="C23">
        <f t="shared" si="2"/>
        <v>1</v>
      </c>
      <c r="D23" t="str">
        <f>VLOOKUP(C23,Lookup!$K$5:$L$12,2,FALSE)</f>
        <v>blank</v>
      </c>
      <c r="E23">
        <f>IF(D23=Lookup!$L$5,E22+1,E22)</f>
        <v>3</v>
      </c>
      <c r="F23" s="3">
        <f>INDEX(views[Entities count],MATCH('view-code'!E23,views[object_id order],0))</f>
        <v>2</v>
      </c>
      <c r="G23" t="str">
        <f>IF(D22=Lookup!$L$10,1,IF(D22=Lookup!$L$11,G22+1,""))</f>
        <v/>
      </c>
      <c r="H23">
        <f>IF(F23=1,IF(D23=Lookup!$L$10,2,1),IF(G23&lt;F23-1,0,1))</f>
        <v>1</v>
      </c>
      <c r="I23">
        <f>IF(D23&lt;&gt;Lookup!$L$7,0,IF(INDEX(views[name],MATCH(E23,views[object_id order],0))&lt;&gt;"",0,1))</f>
        <v>0</v>
      </c>
      <c r="J23">
        <f>IF(D23&lt;&gt;Lookup!$L$7,0,IF(INDEX(views[icon],MATCH(E23,views[object_id order],0))&lt;&gt;"",0,1))</f>
        <v>0</v>
      </c>
      <c r="K23" t="str">
        <f>IF($D23=Lookup!$L$6,INDEX(views[object_id],MATCH($E23,views[object_id order],0)),"")</f>
        <v/>
      </c>
      <c r="L23" t="str">
        <f>IF($D23=Lookup!$L$8,INDEX(views[name],MATCH($E23,views[object_id order],0)),"")</f>
        <v/>
      </c>
      <c r="M23" t="str">
        <f>IF($D23=Lookup!$L$9,INDEX(views[icon],MATCH($E23,views[object_id order],0)),"")</f>
        <v/>
      </c>
      <c r="N23" t="str">
        <f>IF(OR(D23=Lookup!$L$11,D23=Lookup!$L$12),INDEX(views[[1]:[25]],MATCH($E23,views[object_id order],0),G23),"")</f>
        <v/>
      </c>
      <c r="O23" t="str">
        <f t="shared" si="1"/>
        <v/>
      </c>
      <c r="P23" s="8" t="str">
        <f>INDEX(Lookup!$M$5:$M$12,MATCH(D23,Lookup!$L$5:$L$12,0))&amp;
K23&amp;L23&amp;M23&amp;N23&amp;
INDEX(Lookup!$N$5:$N$12,MATCH(D23,Lookup!$L$5:$L$12,0))</f>
        <v/>
      </c>
    </row>
    <row r="24" spans="2:16" x14ac:dyDescent="0.45">
      <c r="B24">
        <f t="shared" si="0"/>
        <v>22</v>
      </c>
      <c r="C24">
        <f t="shared" si="2"/>
        <v>2</v>
      </c>
      <c r="D24" t="str">
        <f>VLOOKUP(C24,Lookup!$K$5:$L$12,2,FALSE)</f>
        <v>card</v>
      </c>
      <c r="E24">
        <f>IF(D24=Lookup!$L$5,E23+1,E23)</f>
        <v>3</v>
      </c>
      <c r="F24" s="3">
        <f>INDEX(views[Entities count],MATCH('view-code'!E24,views[object_id order],0))</f>
        <v>2</v>
      </c>
      <c r="G24" t="str">
        <f>IF(D23=Lookup!$L$10,1,IF(D23=Lookup!$L$11,G23+1,""))</f>
        <v/>
      </c>
      <c r="H24">
        <f>IF(F24=1,IF(D24=Lookup!$L$10,2,1),IF(G24&lt;F24-1,0,1))</f>
        <v>1</v>
      </c>
      <c r="I24">
        <f>IF(D24&lt;&gt;Lookup!$L$7,0,IF(INDEX(views[name],MATCH(E24,views[object_id order],0))&lt;&gt;"",0,1))</f>
        <v>0</v>
      </c>
      <c r="J24">
        <f>IF(D24&lt;&gt;Lookup!$L$7,0,IF(INDEX(views[icon],MATCH(E24,views[object_id order],0))&lt;&gt;"",0,1))</f>
        <v>0</v>
      </c>
      <c r="K24" t="str">
        <f>IF($D24=Lookup!$L$6,INDEX(views[object_id],MATCH($E24,views[object_id order],0)),"")</f>
        <v>living_room_view</v>
      </c>
      <c r="L24" t="str">
        <f>IF($D24=Lookup!$L$8,INDEX(views[name],MATCH($E24,views[object_id order],0)),"")</f>
        <v/>
      </c>
      <c r="M24" t="str">
        <f>IF($D24=Lookup!$L$9,INDEX(views[icon],MATCH($E24,views[object_id order],0)),"")</f>
        <v/>
      </c>
      <c r="N24" t="str">
        <f>IF(OR(D24=Lookup!$L$11,D24=Lookup!$L$12),INDEX(views[[1]:[25]],MATCH($E24,views[object_id order],0),G24),"")</f>
        <v/>
      </c>
      <c r="O24" t="str">
        <f t="shared" si="1"/>
        <v/>
      </c>
      <c r="P24" s="8" t="str">
        <f>INDEX(Lookup!$M$5:$M$12,MATCH(D24,Lookup!$L$5:$L$12,0))&amp;
K24&amp;L24&amp;M24&amp;N24&amp;
INDEX(Lookup!$N$5:$N$12,MATCH(D24,Lookup!$L$5:$L$12,0))</f>
        <v>living_room_view:</v>
      </c>
    </row>
    <row r="25" spans="2:16" x14ac:dyDescent="0.45">
      <c r="B25">
        <f t="shared" si="0"/>
        <v>23</v>
      </c>
      <c r="C25">
        <f t="shared" si="2"/>
        <v>3</v>
      </c>
      <c r="D25" t="str">
        <f>VLOOKUP(C25,Lookup!$K$5:$L$12,2,FALSE)</f>
        <v>view</v>
      </c>
      <c r="E25">
        <f>IF(D25=Lookup!$L$5,E24+1,E24)</f>
        <v>3</v>
      </c>
      <c r="F25" s="3">
        <f>INDEX(views[Entities count],MATCH('view-code'!E25,views[object_id order],0))</f>
        <v>2</v>
      </c>
      <c r="G25" t="str">
        <f>IF(D24=Lookup!$L$10,1,IF(D24=Lookup!$L$11,G24+1,""))</f>
        <v/>
      </c>
      <c r="H25">
        <f>IF(F25=1,IF(D25=Lookup!$L$10,2,1),IF(G25&lt;F25-1,0,1))</f>
        <v>1</v>
      </c>
      <c r="I25">
        <f>IF(D25&lt;&gt;Lookup!$L$7,0,IF(INDEX(views[name],MATCH(E25,views[object_id order],0))&lt;&gt;"",0,1))</f>
        <v>0</v>
      </c>
      <c r="J25">
        <f>IF(D25&lt;&gt;Lookup!$L$7,0,IF(INDEX(views[icon],MATCH(E25,views[object_id order],0))&lt;&gt;"",0,1))</f>
        <v>0</v>
      </c>
      <c r="K25" t="str">
        <f>IF($D25=Lookup!$L$6,INDEX(views[object_id],MATCH($E25,views[object_id order],0)),"")</f>
        <v/>
      </c>
      <c r="L25" t="str">
        <f>IF($D25=Lookup!$L$8,INDEX(views[name],MATCH($E25,views[object_id order],0)),"")</f>
        <v/>
      </c>
      <c r="M25" t="str">
        <f>IF($D25=Lookup!$L$9,INDEX(views[icon],MATCH($E25,views[object_id order],0)),"")</f>
        <v/>
      </c>
      <c r="N25" t="str">
        <f>IF(OR(D25=Lookup!$L$11,D25=Lookup!$L$12),INDEX(views[[1]:[25]],MATCH($E25,views[object_id order],0),G25),"")</f>
        <v/>
      </c>
      <c r="O25" t="str">
        <f t="shared" si="1"/>
        <v/>
      </c>
      <c r="P25" s="8" t="str">
        <f>INDEX(Lookup!$M$5:$M$12,MATCH(D25,Lookup!$L$5:$L$12,0))&amp;
K25&amp;L25&amp;M25&amp;N25&amp;
INDEX(Lookup!$N$5:$N$12,MATCH(D25,Lookup!$L$5:$L$12,0))</f>
        <v xml:space="preserve">  view: yes</v>
      </c>
    </row>
    <row r="26" spans="2:16" x14ac:dyDescent="0.45">
      <c r="B26">
        <f t="shared" si="0"/>
        <v>24</v>
      </c>
      <c r="C26">
        <f t="shared" si="2"/>
        <v>4</v>
      </c>
      <c r="D26" t="str">
        <f>VLOOKUP(C26,Lookup!$K$5:$L$12,2,FALSE)</f>
        <v>name</v>
      </c>
      <c r="E26">
        <f>IF(D26=Lookup!$L$5,E25+1,E25)</f>
        <v>3</v>
      </c>
      <c r="F26" s="3">
        <f>INDEX(views[Entities count],MATCH('view-code'!E26,views[object_id order],0))</f>
        <v>2</v>
      </c>
      <c r="G26" t="str">
        <f>IF(D25=Lookup!$L$10,1,IF(D25=Lookup!$L$11,G25+1,""))</f>
        <v/>
      </c>
      <c r="H26">
        <f>IF(F26=1,IF(D26=Lookup!$L$10,2,1),IF(G26&lt;F26-1,0,1))</f>
        <v>1</v>
      </c>
      <c r="I26">
        <f>IF(D26&lt;&gt;Lookup!$L$7,0,IF(INDEX(views[name],MATCH(E26,views[object_id order],0))&lt;&gt;"",0,1))</f>
        <v>0</v>
      </c>
      <c r="J26">
        <f>IF(D26&lt;&gt;Lookup!$L$7,0,IF(INDEX(views[icon],MATCH(E26,views[object_id order],0))&lt;&gt;"",0,1))</f>
        <v>0</v>
      </c>
      <c r="K26" t="str">
        <f>IF($D26=Lookup!$L$6,INDEX(views[object_id],MATCH($E26,views[object_id order],0)),"")</f>
        <v/>
      </c>
      <c r="L26" t="str">
        <f>IF($D26=Lookup!$L$8,INDEX(views[name],MATCH($E26,views[object_id order],0)),"")</f>
        <v>Living Room</v>
      </c>
      <c r="M26" t="str">
        <f>IF($D26=Lookup!$L$9,INDEX(views[icon],MATCH($E26,views[object_id order],0)),"")</f>
        <v/>
      </c>
      <c r="N26" t="str">
        <f>IF(OR(D26=Lookup!$L$11,D26=Lookup!$L$12),INDEX(views[[1]:[25]],MATCH($E26,views[object_id order],0),G26),"")</f>
        <v/>
      </c>
      <c r="O26" t="str">
        <f t="shared" si="1"/>
        <v/>
      </c>
      <c r="P26" s="8" t="str">
        <f>INDEX(Lookup!$M$5:$M$12,MATCH(D26,Lookup!$L$5:$L$12,0))&amp;
K26&amp;L26&amp;M26&amp;N26&amp;
INDEX(Lookup!$N$5:$N$12,MATCH(D26,Lookup!$L$5:$L$12,0))</f>
        <v xml:space="preserve">  name: "Living Room"</v>
      </c>
    </row>
    <row r="27" spans="2:16" x14ac:dyDescent="0.45">
      <c r="B27">
        <f t="shared" si="0"/>
        <v>25</v>
      </c>
      <c r="C27">
        <f t="shared" si="2"/>
        <v>5</v>
      </c>
      <c r="D27" t="str">
        <f>VLOOKUP(C27,Lookup!$K$5:$L$12,2,FALSE)</f>
        <v>icon</v>
      </c>
      <c r="E27">
        <f>IF(D27=Lookup!$L$5,E26+1,E26)</f>
        <v>3</v>
      </c>
      <c r="F27" s="3">
        <f>INDEX(views[Entities count],MATCH('view-code'!E27,views[object_id order],0))</f>
        <v>2</v>
      </c>
      <c r="G27" t="str">
        <f>IF(D26=Lookup!$L$10,1,IF(D26=Lookup!$L$11,G26+1,""))</f>
        <v/>
      </c>
      <c r="H27">
        <f>IF(F27=1,IF(D27=Lookup!$L$10,2,1),IF(G27&lt;F27-1,0,1))</f>
        <v>1</v>
      </c>
      <c r="I27">
        <f>IF(D27&lt;&gt;Lookup!$L$7,0,IF(INDEX(views[name],MATCH(E27,views[object_id order],0))&lt;&gt;"",0,1))</f>
        <v>0</v>
      </c>
      <c r="J27">
        <f>IF(D27&lt;&gt;Lookup!$L$7,0,IF(INDEX(views[icon],MATCH(E27,views[object_id order],0))&lt;&gt;"",0,1))</f>
        <v>0</v>
      </c>
      <c r="K27" t="str">
        <f>IF($D27=Lookup!$L$6,INDEX(views[object_id],MATCH($E27,views[object_id order],0)),"")</f>
        <v/>
      </c>
      <c r="L27" t="str">
        <f>IF($D27=Lookup!$L$8,INDEX(views[name],MATCH($E27,views[object_id order],0)),"")</f>
        <v/>
      </c>
      <c r="M27" t="str">
        <f>IF($D27=Lookup!$L$9,INDEX(views[icon],MATCH($E27,views[object_id order],0)),"")</f>
        <v>mdi:sofa</v>
      </c>
      <c r="N27" t="str">
        <f>IF(OR(D27=Lookup!$L$11,D27=Lookup!$L$12),INDEX(views[[1]:[25]],MATCH($E27,views[object_id order],0),G27),"")</f>
        <v/>
      </c>
      <c r="O27" t="str">
        <f t="shared" si="1"/>
        <v/>
      </c>
      <c r="P27" s="8" t="str">
        <f>INDEX(Lookup!$M$5:$M$12,MATCH(D27,Lookup!$L$5:$L$12,0))&amp;
K27&amp;L27&amp;M27&amp;N27&amp;
INDEX(Lookup!$N$5:$N$12,MATCH(D27,Lookup!$L$5:$L$12,0))</f>
        <v xml:space="preserve">  icon: mdi:sofa</v>
      </c>
    </row>
    <row r="28" spans="2:16" x14ac:dyDescent="0.45">
      <c r="B28">
        <f t="shared" si="0"/>
        <v>26</v>
      </c>
      <c r="C28">
        <f t="shared" si="2"/>
        <v>6</v>
      </c>
      <c r="D28" t="str">
        <f>VLOOKUP(C28,Lookup!$K$5:$L$12,2,FALSE)</f>
        <v>entities header</v>
      </c>
      <c r="E28">
        <f>IF(D28=Lookup!$L$5,E27+1,E27)</f>
        <v>3</v>
      </c>
      <c r="F28" s="3">
        <f>INDEX(views[Entities count],MATCH('view-code'!E28,views[object_id order],0))</f>
        <v>2</v>
      </c>
      <c r="G28" t="str">
        <f>IF(D27=Lookup!$L$10,1,IF(D27=Lookup!$L$11,G27+1,""))</f>
        <v/>
      </c>
      <c r="H28">
        <f>IF(F28=1,IF(D28=Lookup!$L$10,2,1),IF(G28&lt;F28-1,0,1))</f>
        <v>1</v>
      </c>
      <c r="I28">
        <f>IF(D28&lt;&gt;Lookup!$L$7,0,IF(INDEX(views[name],MATCH(E28,views[object_id order],0))&lt;&gt;"",0,1))</f>
        <v>0</v>
      </c>
      <c r="J28">
        <f>IF(D28&lt;&gt;Lookup!$L$7,0,IF(INDEX(views[icon],MATCH(E28,views[object_id order],0))&lt;&gt;"",0,1))</f>
        <v>0</v>
      </c>
      <c r="K28" t="str">
        <f>IF($D28=Lookup!$L$6,INDEX(views[object_id],MATCH($E28,views[object_id order],0)),"")</f>
        <v/>
      </c>
      <c r="L28" t="str">
        <f>IF($D28=Lookup!$L$8,INDEX(views[name],MATCH($E28,views[object_id order],0)),"")</f>
        <v/>
      </c>
      <c r="M28" t="str">
        <f>IF($D28=Lookup!$L$9,INDEX(views[icon],MATCH($E28,views[object_id order],0)),"")</f>
        <v/>
      </c>
      <c r="N28" t="str">
        <f>IF(OR(D28=Lookup!$L$11,D28=Lookup!$L$12),INDEX(views[[1]:[25]],MATCH($E28,views[object_id order],0),G28),"")</f>
        <v/>
      </c>
      <c r="O28" t="str">
        <f t="shared" si="1"/>
        <v/>
      </c>
      <c r="P28" s="8" t="str">
        <f>INDEX(Lookup!$M$5:$M$12,MATCH(D28,Lookup!$L$5:$L$12,0))&amp;
K28&amp;L28&amp;M28&amp;N28&amp;
INDEX(Lookup!$N$5:$N$12,MATCH(D28,Lookup!$L$5:$L$12,0))</f>
        <v xml:space="preserve">  entities:</v>
      </c>
    </row>
    <row r="29" spans="2:16" x14ac:dyDescent="0.45">
      <c r="B29">
        <f t="shared" si="0"/>
        <v>27</v>
      </c>
      <c r="C29">
        <f t="shared" si="2"/>
        <v>7</v>
      </c>
      <c r="D29" t="str">
        <f>VLOOKUP(C29,Lookup!$K$5:$L$12,2,FALSE)</f>
        <v>entities</v>
      </c>
      <c r="E29">
        <f>IF(D29=Lookup!$L$5,E28+1,E28)</f>
        <v>3</v>
      </c>
      <c r="F29" s="3">
        <f>INDEX(views[Entities count],MATCH('view-code'!E29,views[object_id order],0))</f>
        <v>2</v>
      </c>
      <c r="G29">
        <f>IF(D28=Lookup!$L$10,1,IF(D28=Lookup!$L$11,G28+1,""))</f>
        <v>1</v>
      </c>
      <c r="H29">
        <f>IF(F29=1,IF(D29=Lookup!$L$10,2,1),IF(G29&lt;F29-1,0,1))</f>
        <v>1</v>
      </c>
      <c r="I29">
        <f>IF(D29&lt;&gt;Lookup!$L$7,0,IF(INDEX(views[name],MATCH(E29,views[object_id order],0))&lt;&gt;"",0,1))</f>
        <v>0</v>
      </c>
      <c r="J29">
        <f>IF(D29&lt;&gt;Lookup!$L$7,0,IF(INDEX(views[icon],MATCH(E29,views[object_id order],0))&lt;&gt;"",0,1))</f>
        <v>0</v>
      </c>
      <c r="K29" t="str">
        <f>IF($D29=Lookup!$L$6,INDEX(views[object_id],MATCH($E29,views[object_id order],0)),"")</f>
        <v/>
      </c>
      <c r="L29" t="str">
        <f>IF($D29=Lookup!$L$8,INDEX(views[name],MATCH($E29,views[object_id order],0)),"")</f>
        <v/>
      </c>
      <c r="M29" t="str">
        <f>IF($D29=Lookup!$L$9,INDEX(views[icon],MATCH($E29,views[object_id order],0)),"")</f>
        <v/>
      </c>
      <c r="N29" t="str">
        <f>IF(OR(D29=Lookup!$L$11,D29=Lookup!$L$12),INDEX(views[[1]:[25]],MATCH($E29,views[object_id order],0),G29),"")</f>
        <v>group.living_room</v>
      </c>
      <c r="O29" t="str">
        <f t="shared" si="1"/>
        <v/>
      </c>
      <c r="P29" s="8" t="str">
        <f>INDEX(Lookup!$M$5:$M$12,MATCH(D29,Lookup!$L$5:$L$12,0))&amp;
K29&amp;L29&amp;M29&amp;N29&amp;
INDEX(Lookup!$N$5:$N$12,MATCH(D29,Lookup!$L$5:$L$12,0))</f>
        <v xml:space="preserve">    - group.living_room</v>
      </c>
    </row>
    <row r="30" spans="2:16" x14ac:dyDescent="0.45">
      <c r="B30">
        <f t="shared" si="0"/>
        <v>28</v>
      </c>
      <c r="C30">
        <f t="shared" si="2"/>
        <v>8</v>
      </c>
      <c r="D30" t="str">
        <f>VLOOKUP(C30,Lookup!$K$5:$L$12,2,FALSE)</f>
        <v>entities end</v>
      </c>
      <c r="E30">
        <f>IF(D30=Lookup!$L$5,E29+1,E29)</f>
        <v>3</v>
      </c>
      <c r="F30" s="3">
        <f>INDEX(views[Entities count],MATCH('view-code'!E30,views[object_id order],0))</f>
        <v>2</v>
      </c>
      <c r="G30">
        <f>IF(D29=Lookup!$L$10,1,IF(D29=Lookup!$L$11,G29+1,""))</f>
        <v>2</v>
      </c>
      <c r="H30">
        <f>IF(F30=1,IF(D30=Lookup!$L$10,2,1),IF(G30&lt;F30-1,0,1))</f>
        <v>1</v>
      </c>
      <c r="I30">
        <f>IF(D30&lt;&gt;Lookup!$L$7,0,IF(INDEX(views[name],MATCH(E30,views[object_id order],0))&lt;&gt;"",0,1))</f>
        <v>0</v>
      </c>
      <c r="J30">
        <f>IF(D30&lt;&gt;Lookup!$L$7,0,IF(INDEX(views[icon],MATCH(E30,views[object_id order],0))&lt;&gt;"",0,1))</f>
        <v>0</v>
      </c>
      <c r="K30" t="str">
        <f>IF($D30=Lookup!$L$6,INDEX(views[object_id],MATCH($E30,views[object_id order],0)),"")</f>
        <v/>
      </c>
      <c r="L30" t="str">
        <f>IF($D30=Lookup!$L$8,INDEX(views[name],MATCH($E30,views[object_id order],0)),"")</f>
        <v/>
      </c>
      <c r="M30" t="str">
        <f>IF($D30=Lookup!$L$9,INDEX(views[icon],MATCH($E30,views[object_id order],0)),"")</f>
        <v/>
      </c>
      <c r="N30" t="str">
        <f>IF(OR(D30=Lookup!$L$11,D30=Lookup!$L$12),INDEX(views[[1]:[25]],MATCH($E30,views[object_id order],0),G30),"")</f>
        <v>media_player.living_room_tv</v>
      </c>
      <c r="O30" t="str">
        <f t="shared" si="1"/>
        <v/>
      </c>
      <c r="P30" s="8" t="str">
        <f>INDEX(Lookup!$M$5:$M$12,MATCH(D30,Lookup!$L$5:$L$12,0))&amp;
K30&amp;L30&amp;M30&amp;N30&amp;
INDEX(Lookup!$N$5:$N$12,MATCH(D30,Lookup!$L$5:$L$12,0))</f>
        <v xml:space="preserve">    - media_player.living_room_tv</v>
      </c>
    </row>
    <row r="31" spans="2:16" x14ac:dyDescent="0.45">
      <c r="B31">
        <f t="shared" si="0"/>
        <v>29</v>
      </c>
      <c r="C31">
        <f t="shared" si="2"/>
        <v>1</v>
      </c>
      <c r="D31" t="str">
        <f>VLOOKUP(C31,Lookup!$K$5:$L$12,2,FALSE)</f>
        <v>blank</v>
      </c>
      <c r="E31">
        <f>IF(D31=Lookup!$L$5,E30+1,E30)</f>
        <v>4</v>
      </c>
      <c r="F31" s="3">
        <f>INDEX(views[Entities count],MATCH('view-code'!E31,views[object_id order],0))</f>
        <v>2</v>
      </c>
      <c r="G31" t="str">
        <f>IF(D30=Lookup!$L$10,1,IF(D30=Lookup!$L$11,G30+1,""))</f>
        <v/>
      </c>
      <c r="H31">
        <f>IF(F31=1,IF(D31=Lookup!$L$10,2,1),IF(G31&lt;F31-1,0,1))</f>
        <v>1</v>
      </c>
      <c r="I31">
        <f>IF(D31&lt;&gt;Lookup!$L$7,0,IF(INDEX(views[name],MATCH(E31,views[object_id order],0))&lt;&gt;"",0,1))</f>
        <v>0</v>
      </c>
      <c r="J31">
        <f>IF(D31&lt;&gt;Lookup!$L$7,0,IF(INDEX(views[icon],MATCH(E31,views[object_id order],0))&lt;&gt;"",0,1))</f>
        <v>0</v>
      </c>
      <c r="K31" t="str">
        <f>IF($D31=Lookup!$L$6,INDEX(views[object_id],MATCH($E31,views[object_id order],0)),"")</f>
        <v/>
      </c>
      <c r="L31" t="str">
        <f>IF($D31=Lookup!$L$8,INDEX(views[name],MATCH($E31,views[object_id order],0)),"")</f>
        <v/>
      </c>
      <c r="M31" t="str">
        <f>IF($D31=Lookup!$L$9,INDEX(views[icon],MATCH($E31,views[object_id order],0)),"")</f>
        <v/>
      </c>
      <c r="N31" t="str">
        <f>IF(OR(D31=Lookup!$L$11,D31=Lookup!$L$12),INDEX(views[[1]:[25]],MATCH($E31,views[object_id order],0),G31),"")</f>
        <v/>
      </c>
      <c r="O31" t="str">
        <f t="shared" si="1"/>
        <v/>
      </c>
      <c r="P31" s="8" t="str">
        <f>INDEX(Lookup!$M$5:$M$12,MATCH(D31,Lookup!$L$5:$L$12,0))&amp;
K31&amp;L31&amp;M31&amp;N31&amp;
INDEX(Lookup!$N$5:$N$12,MATCH(D31,Lookup!$L$5:$L$12,0))</f>
        <v/>
      </c>
    </row>
    <row r="32" spans="2:16" x14ac:dyDescent="0.45">
      <c r="B32">
        <f t="shared" si="0"/>
        <v>30</v>
      </c>
      <c r="C32">
        <f t="shared" si="2"/>
        <v>2</v>
      </c>
      <c r="D32" t="str">
        <f>VLOOKUP(C32,Lookup!$K$5:$L$12,2,FALSE)</f>
        <v>card</v>
      </c>
      <c r="E32">
        <f>IF(D32=Lookup!$L$5,E31+1,E31)</f>
        <v>4</v>
      </c>
      <c r="F32" s="3">
        <f>INDEX(views[Entities count],MATCH('view-code'!E32,views[object_id order],0))</f>
        <v>2</v>
      </c>
      <c r="G32" t="str">
        <f>IF(D31=Lookup!$L$10,1,IF(D31=Lookup!$L$11,G31+1,""))</f>
        <v/>
      </c>
      <c r="H32">
        <f>IF(F32=1,IF(D32=Lookup!$L$10,2,1),IF(G32&lt;F32-1,0,1))</f>
        <v>1</v>
      </c>
      <c r="I32">
        <f>IF(D32&lt;&gt;Lookup!$L$7,0,IF(INDEX(views[name],MATCH(E32,views[object_id order],0))&lt;&gt;"",0,1))</f>
        <v>0</v>
      </c>
      <c r="J32">
        <f>IF(D32&lt;&gt;Lookup!$L$7,0,IF(INDEX(views[icon],MATCH(E32,views[object_id order],0))&lt;&gt;"",0,1))</f>
        <v>0</v>
      </c>
      <c r="K32" t="str">
        <f>IF($D32=Lookup!$L$6,INDEX(views[object_id],MATCH($E32,views[object_id order],0)),"")</f>
        <v>environment_view</v>
      </c>
      <c r="L32" t="str">
        <f>IF($D32=Lookup!$L$8,INDEX(views[name],MATCH($E32,views[object_id order],0)),"")</f>
        <v/>
      </c>
      <c r="M32" t="str">
        <f>IF($D32=Lookup!$L$9,INDEX(views[icon],MATCH($E32,views[object_id order],0)),"")</f>
        <v/>
      </c>
      <c r="N32" t="str">
        <f>IF(OR(D32=Lookup!$L$11,D32=Lookup!$L$12),INDEX(views[[1]:[25]],MATCH($E32,views[object_id order],0),G32),"")</f>
        <v/>
      </c>
      <c r="O32" t="str">
        <f t="shared" si="1"/>
        <v/>
      </c>
      <c r="P32" s="8" t="str">
        <f>INDEX(Lookup!$M$5:$M$12,MATCH(D32,Lookup!$L$5:$L$12,0))&amp;
K32&amp;L32&amp;M32&amp;N32&amp;
INDEX(Lookup!$N$5:$N$12,MATCH(D32,Lookup!$L$5:$L$12,0))</f>
        <v>environment_view:</v>
      </c>
    </row>
    <row r="33" spans="2:16" x14ac:dyDescent="0.45">
      <c r="B33">
        <f t="shared" si="0"/>
        <v>31</v>
      </c>
      <c r="C33">
        <f t="shared" si="2"/>
        <v>3</v>
      </c>
      <c r="D33" t="str">
        <f>VLOOKUP(C33,Lookup!$K$5:$L$12,2,FALSE)</f>
        <v>view</v>
      </c>
      <c r="E33">
        <f>IF(D33=Lookup!$L$5,E32+1,E32)</f>
        <v>4</v>
      </c>
      <c r="F33" s="3">
        <f>INDEX(views[Entities count],MATCH('view-code'!E33,views[object_id order],0))</f>
        <v>2</v>
      </c>
      <c r="G33" t="str">
        <f>IF(D32=Lookup!$L$10,1,IF(D32=Lookup!$L$11,G32+1,""))</f>
        <v/>
      </c>
      <c r="H33">
        <f>IF(F33=1,IF(D33=Lookup!$L$10,2,1),IF(G33&lt;F33-1,0,1))</f>
        <v>1</v>
      </c>
      <c r="I33">
        <f>IF(D33&lt;&gt;Lookup!$L$7,0,IF(INDEX(views[name],MATCH(E33,views[object_id order],0))&lt;&gt;"",0,1))</f>
        <v>0</v>
      </c>
      <c r="J33">
        <f>IF(D33&lt;&gt;Lookup!$L$7,0,IF(INDEX(views[icon],MATCH(E33,views[object_id order],0))&lt;&gt;"",0,1))</f>
        <v>0</v>
      </c>
      <c r="K33" t="str">
        <f>IF($D33=Lookup!$L$6,INDEX(views[object_id],MATCH($E33,views[object_id order],0)),"")</f>
        <v/>
      </c>
      <c r="L33" t="str">
        <f>IF($D33=Lookup!$L$8,INDEX(views[name],MATCH($E33,views[object_id order],0)),"")</f>
        <v/>
      </c>
      <c r="M33" t="str">
        <f>IF($D33=Lookup!$L$9,INDEX(views[icon],MATCH($E33,views[object_id order],0)),"")</f>
        <v/>
      </c>
      <c r="N33" t="str">
        <f>IF(OR(D33=Lookup!$L$11,D33=Lookup!$L$12),INDEX(views[[1]:[25]],MATCH($E33,views[object_id order],0),G33),"")</f>
        <v/>
      </c>
      <c r="O33" t="str">
        <f t="shared" si="1"/>
        <v/>
      </c>
      <c r="P33" s="8" t="str">
        <f>INDEX(Lookup!$M$5:$M$12,MATCH(D33,Lookup!$L$5:$L$12,0))&amp;
K33&amp;L33&amp;M33&amp;N33&amp;
INDEX(Lookup!$N$5:$N$12,MATCH(D33,Lookup!$L$5:$L$12,0))</f>
        <v xml:space="preserve">  view: yes</v>
      </c>
    </row>
    <row r="34" spans="2:16" x14ac:dyDescent="0.45">
      <c r="B34">
        <f t="shared" si="0"/>
        <v>32</v>
      </c>
      <c r="C34">
        <f t="shared" si="2"/>
        <v>4</v>
      </c>
      <c r="D34" t="str">
        <f>VLOOKUP(C34,Lookup!$K$5:$L$12,2,FALSE)</f>
        <v>name</v>
      </c>
      <c r="E34">
        <f>IF(D34=Lookup!$L$5,E33+1,E33)</f>
        <v>4</v>
      </c>
      <c r="F34" s="3">
        <f>INDEX(views[Entities count],MATCH('view-code'!E34,views[object_id order],0))</f>
        <v>2</v>
      </c>
      <c r="G34" t="str">
        <f>IF(D33=Lookup!$L$10,1,IF(D33=Lookup!$L$11,G33+1,""))</f>
        <v/>
      </c>
      <c r="H34">
        <f>IF(F34=1,IF(D34=Lookup!$L$10,2,1),IF(G34&lt;F34-1,0,1))</f>
        <v>1</v>
      </c>
      <c r="I34">
        <f>IF(D34&lt;&gt;Lookup!$L$7,0,IF(INDEX(views[name],MATCH(E34,views[object_id order],0))&lt;&gt;"",0,1))</f>
        <v>0</v>
      </c>
      <c r="J34">
        <f>IF(D34&lt;&gt;Lookup!$L$7,0,IF(INDEX(views[icon],MATCH(E34,views[object_id order],0))&lt;&gt;"",0,1))</f>
        <v>0</v>
      </c>
      <c r="K34" t="str">
        <f>IF($D34=Lookup!$L$6,INDEX(views[object_id],MATCH($E34,views[object_id order],0)),"")</f>
        <v/>
      </c>
      <c r="L34" t="str">
        <f>IF($D34=Lookup!$L$8,INDEX(views[name],MATCH($E34,views[object_id order],0)),"")</f>
        <v>Environment</v>
      </c>
      <c r="M34" t="str">
        <f>IF($D34=Lookup!$L$9,INDEX(views[icon],MATCH($E34,views[object_id order],0)),"")</f>
        <v/>
      </c>
      <c r="N34" t="str">
        <f>IF(OR(D34=Lookup!$L$11,D34=Lookup!$L$12),INDEX(views[[1]:[25]],MATCH($E34,views[object_id order],0),G34),"")</f>
        <v/>
      </c>
      <c r="O34" t="str">
        <f t="shared" si="1"/>
        <v/>
      </c>
      <c r="P34" s="8" t="str">
        <f>INDEX(Lookup!$M$5:$M$12,MATCH(D34,Lookup!$L$5:$L$12,0))&amp;
K34&amp;L34&amp;M34&amp;N34&amp;
INDEX(Lookup!$N$5:$N$12,MATCH(D34,Lookup!$L$5:$L$12,0))</f>
        <v xml:space="preserve">  name: "Environment"</v>
      </c>
    </row>
    <row r="35" spans="2:16" x14ac:dyDescent="0.45">
      <c r="B35">
        <f t="shared" si="0"/>
        <v>33</v>
      </c>
      <c r="C35">
        <f t="shared" si="2"/>
        <v>5</v>
      </c>
      <c r="D35" t="str">
        <f>VLOOKUP(C35,Lookup!$K$5:$L$12,2,FALSE)</f>
        <v>icon</v>
      </c>
      <c r="E35">
        <f>IF(D35=Lookup!$L$5,E34+1,E34)</f>
        <v>4</v>
      </c>
      <c r="F35" s="3">
        <f>INDEX(views[Entities count],MATCH('view-code'!E35,views[object_id order],0))</f>
        <v>2</v>
      </c>
      <c r="G35" t="str">
        <f>IF(D34=Lookup!$L$10,1,IF(D34=Lookup!$L$11,G34+1,""))</f>
        <v/>
      </c>
      <c r="H35">
        <f>IF(F35=1,IF(D35=Lookup!$L$10,2,1),IF(G35&lt;F35-1,0,1))</f>
        <v>1</v>
      </c>
      <c r="I35">
        <f>IF(D35&lt;&gt;Lookup!$L$7,0,IF(INDEX(views[name],MATCH(E35,views[object_id order],0))&lt;&gt;"",0,1))</f>
        <v>0</v>
      </c>
      <c r="J35">
        <f>IF(D35&lt;&gt;Lookup!$L$7,0,IF(INDEX(views[icon],MATCH(E35,views[object_id order],0))&lt;&gt;"",0,1))</f>
        <v>0</v>
      </c>
      <c r="K35" t="str">
        <f>IF($D35=Lookup!$L$6,INDEX(views[object_id],MATCH($E35,views[object_id order],0)),"")</f>
        <v/>
      </c>
      <c r="L35" t="str">
        <f>IF($D35=Lookup!$L$8,INDEX(views[name],MATCH($E35,views[object_id order],0)),"")</f>
        <v/>
      </c>
      <c r="M35" t="str">
        <f>IF($D35=Lookup!$L$9,INDEX(views[icon],MATCH($E35,views[object_id order],0)),"")</f>
        <v>mdi:thermometer</v>
      </c>
      <c r="N35" t="str">
        <f>IF(OR(D35=Lookup!$L$11,D35=Lookup!$L$12),INDEX(views[[1]:[25]],MATCH($E35,views[object_id order],0),G35),"")</f>
        <v/>
      </c>
      <c r="O35" t="str">
        <f t="shared" si="1"/>
        <v/>
      </c>
      <c r="P35" s="8" t="str">
        <f>INDEX(Lookup!$M$5:$M$12,MATCH(D35,Lookup!$L$5:$L$12,0))&amp;
K35&amp;L35&amp;M35&amp;N35&amp;
INDEX(Lookup!$N$5:$N$12,MATCH(D35,Lookup!$L$5:$L$12,0))</f>
        <v xml:space="preserve">  icon: mdi:thermometer</v>
      </c>
    </row>
    <row r="36" spans="2:16" x14ac:dyDescent="0.45">
      <c r="B36">
        <f t="shared" si="0"/>
        <v>34</v>
      </c>
      <c r="C36">
        <f t="shared" si="2"/>
        <v>6</v>
      </c>
      <c r="D36" t="str">
        <f>VLOOKUP(C36,Lookup!$K$5:$L$12,2,FALSE)</f>
        <v>entities header</v>
      </c>
      <c r="E36">
        <f>IF(D36=Lookup!$L$5,E35+1,E35)</f>
        <v>4</v>
      </c>
      <c r="F36" s="3">
        <f>INDEX(views[Entities count],MATCH('view-code'!E36,views[object_id order],0))</f>
        <v>2</v>
      </c>
      <c r="G36" t="str">
        <f>IF(D35=Lookup!$L$10,1,IF(D35=Lookup!$L$11,G35+1,""))</f>
        <v/>
      </c>
      <c r="H36">
        <f>IF(F36=1,IF(D36=Lookup!$L$10,2,1),IF(G36&lt;F36-1,0,1))</f>
        <v>1</v>
      </c>
      <c r="I36">
        <f>IF(D36&lt;&gt;Lookup!$L$7,0,IF(INDEX(views[name],MATCH(E36,views[object_id order],0))&lt;&gt;"",0,1))</f>
        <v>0</v>
      </c>
      <c r="J36">
        <f>IF(D36&lt;&gt;Lookup!$L$7,0,IF(INDEX(views[icon],MATCH(E36,views[object_id order],0))&lt;&gt;"",0,1))</f>
        <v>0</v>
      </c>
      <c r="K36" t="str">
        <f>IF($D36=Lookup!$L$6,INDEX(views[object_id],MATCH($E36,views[object_id order],0)),"")</f>
        <v/>
      </c>
      <c r="L36" t="str">
        <f>IF($D36=Lookup!$L$8,INDEX(views[name],MATCH($E36,views[object_id order],0)),"")</f>
        <v/>
      </c>
      <c r="M36" t="str">
        <f>IF($D36=Lookup!$L$9,INDEX(views[icon],MATCH($E36,views[object_id order],0)),"")</f>
        <v/>
      </c>
      <c r="N36" t="str">
        <f>IF(OR(D36=Lookup!$L$11,D36=Lookup!$L$12),INDEX(views[[1]:[25]],MATCH($E36,views[object_id order],0),G36),"")</f>
        <v/>
      </c>
      <c r="O36" t="str">
        <f t="shared" si="1"/>
        <v/>
      </c>
      <c r="P36" s="8" t="str">
        <f>INDEX(Lookup!$M$5:$M$12,MATCH(D36,Lookup!$L$5:$L$12,0))&amp;
K36&amp;L36&amp;M36&amp;N36&amp;
INDEX(Lookup!$N$5:$N$12,MATCH(D36,Lookup!$L$5:$L$12,0))</f>
        <v xml:space="preserve">  entities:</v>
      </c>
    </row>
    <row r="37" spans="2:16" x14ac:dyDescent="0.45">
      <c r="B37">
        <f t="shared" si="0"/>
        <v>35</v>
      </c>
      <c r="C37">
        <f t="shared" si="2"/>
        <v>7</v>
      </c>
      <c r="D37" t="str">
        <f>VLOOKUP(C37,Lookup!$K$5:$L$12,2,FALSE)</f>
        <v>entities</v>
      </c>
      <c r="E37">
        <f>IF(D37=Lookup!$L$5,E36+1,E36)</f>
        <v>4</v>
      </c>
      <c r="F37" s="3">
        <f>INDEX(views[Entities count],MATCH('view-code'!E37,views[object_id order],0))</f>
        <v>2</v>
      </c>
      <c r="G37">
        <f>IF(D36=Lookup!$L$10,1,IF(D36=Lookup!$L$11,G36+1,""))</f>
        <v>1</v>
      </c>
      <c r="H37">
        <f>IF(F37=1,IF(D37=Lookup!$L$10,2,1),IF(G37&lt;F37-1,0,1))</f>
        <v>1</v>
      </c>
      <c r="I37">
        <f>IF(D37&lt;&gt;Lookup!$L$7,0,IF(INDEX(views[name],MATCH(E37,views[object_id order],0))&lt;&gt;"",0,1))</f>
        <v>0</v>
      </c>
      <c r="J37">
        <f>IF(D37&lt;&gt;Lookup!$L$7,0,IF(INDEX(views[icon],MATCH(E37,views[object_id order],0))&lt;&gt;"",0,1))</f>
        <v>0</v>
      </c>
      <c r="K37" t="str">
        <f>IF($D37=Lookup!$L$6,INDEX(views[object_id],MATCH($E37,views[object_id order],0)),"")</f>
        <v/>
      </c>
      <c r="L37" t="str">
        <f>IF($D37=Lookup!$L$8,INDEX(views[name],MATCH($E37,views[object_id order],0)),"")</f>
        <v/>
      </c>
      <c r="M37" t="str">
        <f>IF($D37=Lookup!$L$9,INDEX(views[icon],MATCH($E37,views[object_id order],0)),"")</f>
        <v/>
      </c>
      <c r="N37" t="str">
        <f>IF(OR(D37=Lookup!$L$11,D37=Lookup!$L$12),INDEX(views[[1]:[25]],MATCH($E37,views[object_id order],0),G37),"")</f>
        <v>group.environment</v>
      </c>
      <c r="O37" t="str">
        <f t="shared" si="1"/>
        <v/>
      </c>
      <c r="P37" s="8" t="str">
        <f>INDEX(Lookup!$M$5:$M$12,MATCH(D37,Lookup!$L$5:$L$12,0))&amp;
K37&amp;L37&amp;M37&amp;N37&amp;
INDEX(Lookup!$N$5:$N$12,MATCH(D37,Lookup!$L$5:$L$12,0))</f>
        <v xml:space="preserve">    - group.environment</v>
      </c>
    </row>
    <row r="38" spans="2:16" x14ac:dyDescent="0.45">
      <c r="B38">
        <f t="shared" si="0"/>
        <v>36</v>
      </c>
      <c r="C38">
        <f t="shared" si="2"/>
        <v>8</v>
      </c>
      <c r="D38" t="str">
        <f>VLOOKUP(C38,Lookup!$K$5:$L$12,2,FALSE)</f>
        <v>entities end</v>
      </c>
      <c r="E38">
        <f>IF(D38=Lookup!$L$5,E37+1,E37)</f>
        <v>4</v>
      </c>
      <c r="F38" s="3">
        <f>INDEX(views[Entities count],MATCH('view-code'!E38,views[object_id order],0))</f>
        <v>2</v>
      </c>
      <c r="G38">
        <f>IF(D37=Lookup!$L$10,1,IF(D37=Lookup!$L$11,G37+1,""))</f>
        <v>2</v>
      </c>
      <c r="H38">
        <f>IF(F38=1,IF(D38=Lookup!$L$10,2,1),IF(G38&lt;F38-1,0,1))</f>
        <v>1</v>
      </c>
      <c r="I38">
        <f>IF(D38&lt;&gt;Lookup!$L$7,0,IF(INDEX(views[name],MATCH(E38,views[object_id order],0))&lt;&gt;"",0,1))</f>
        <v>0</v>
      </c>
      <c r="J38">
        <f>IF(D38&lt;&gt;Lookup!$L$7,0,IF(INDEX(views[icon],MATCH(E38,views[object_id order],0))&lt;&gt;"",0,1))</f>
        <v>0</v>
      </c>
      <c r="K38" t="str">
        <f>IF($D38=Lookup!$L$6,INDEX(views[object_id],MATCH($E38,views[object_id order],0)),"")</f>
        <v/>
      </c>
      <c r="L38" t="str">
        <f>IF($D38=Lookup!$L$8,INDEX(views[name],MATCH($E38,views[object_id order],0)),"")</f>
        <v/>
      </c>
      <c r="M38" t="str">
        <f>IF($D38=Lookup!$L$9,INDEX(views[icon],MATCH($E38,views[object_id order],0)),"")</f>
        <v/>
      </c>
      <c r="N38" t="str">
        <f>IF(OR(D38=Lookup!$L$11,D38=Lookup!$L$12),INDEX(views[[1]:[25]],MATCH($E38,views[object_id order],0),G38),"")</f>
        <v>group.environment_living_room</v>
      </c>
      <c r="O38" t="str">
        <f t="shared" si="1"/>
        <v/>
      </c>
      <c r="P38" s="8" t="str">
        <f>INDEX(Lookup!$M$5:$M$12,MATCH(D38,Lookup!$L$5:$L$12,0))&amp;
K38&amp;L38&amp;M38&amp;N38&amp;
INDEX(Lookup!$N$5:$N$12,MATCH(D38,Lookup!$L$5:$L$12,0))</f>
        <v xml:space="preserve">    - group.environment_living_room</v>
      </c>
    </row>
    <row r="39" spans="2:16" x14ac:dyDescent="0.45">
      <c r="B39">
        <f t="shared" si="0"/>
        <v>37</v>
      </c>
      <c r="C39">
        <f t="shared" si="2"/>
        <v>1</v>
      </c>
      <c r="D39" t="str">
        <f>VLOOKUP(C39,Lookup!$K$5:$L$12,2,FALSE)</f>
        <v>blank</v>
      </c>
      <c r="E39">
        <f>IF(D39=Lookup!$L$5,E38+1,E38)</f>
        <v>5</v>
      </c>
      <c r="F39" s="3">
        <f>INDEX(views[Entities count],MATCH('view-code'!E39,views[object_id order],0))</f>
        <v>6</v>
      </c>
      <c r="G39" t="str">
        <f>IF(D38=Lookup!$L$10,1,IF(D38=Lookup!$L$11,G38+1,""))</f>
        <v/>
      </c>
      <c r="H39">
        <f>IF(F39=1,IF(D39=Lookup!$L$10,2,1),IF(G39&lt;F39-1,0,1))</f>
        <v>1</v>
      </c>
      <c r="I39">
        <f>IF(D39&lt;&gt;Lookup!$L$7,0,IF(INDEX(views[name],MATCH(E39,views[object_id order],0))&lt;&gt;"",0,1))</f>
        <v>0</v>
      </c>
      <c r="J39">
        <f>IF(D39&lt;&gt;Lookup!$L$7,0,IF(INDEX(views[icon],MATCH(E39,views[object_id order],0))&lt;&gt;"",0,1))</f>
        <v>0</v>
      </c>
      <c r="K39" t="str">
        <f>IF($D39=Lookup!$L$6,INDEX(views[object_id],MATCH($E39,views[object_id order],0)),"")</f>
        <v/>
      </c>
      <c r="L39" t="str">
        <f>IF($D39=Lookup!$L$8,INDEX(views[name],MATCH($E39,views[object_id order],0)),"")</f>
        <v/>
      </c>
      <c r="M39" t="str">
        <f>IF($D39=Lookup!$L$9,INDEX(views[icon],MATCH($E39,views[object_id order],0)),"")</f>
        <v/>
      </c>
      <c r="N39" t="str">
        <f>IF(OR(D39=Lookup!$L$11,D39=Lookup!$L$12),INDEX(views[[1]:[25]],MATCH($E39,views[object_id order],0),G39),"")</f>
        <v/>
      </c>
      <c r="O39" t="str">
        <f t="shared" si="1"/>
        <v/>
      </c>
      <c r="P39" s="8" t="str">
        <f>INDEX(Lookup!$M$5:$M$12,MATCH(D39,Lookup!$L$5:$L$12,0))&amp;
K39&amp;L39&amp;M39&amp;N39&amp;
INDEX(Lookup!$N$5:$N$12,MATCH(D39,Lookup!$L$5:$L$12,0))</f>
        <v/>
      </c>
    </row>
    <row r="40" spans="2:16" x14ac:dyDescent="0.45">
      <c r="B40">
        <f t="shared" si="0"/>
        <v>38</v>
      </c>
      <c r="C40">
        <f t="shared" si="2"/>
        <v>2</v>
      </c>
      <c r="D40" t="str">
        <f>VLOOKUP(C40,Lookup!$K$5:$L$12,2,FALSE)</f>
        <v>card</v>
      </c>
      <c r="E40">
        <f>IF(D40=Lookup!$L$5,E39+1,E39)</f>
        <v>5</v>
      </c>
      <c r="F40" s="3">
        <f>INDEX(views[Entities count],MATCH('view-code'!E40,views[object_id order],0))</f>
        <v>6</v>
      </c>
      <c r="G40" t="str">
        <f>IF(D39=Lookup!$L$10,1,IF(D39=Lookup!$L$11,G39+1,""))</f>
        <v/>
      </c>
      <c r="H40">
        <f>IF(F40=1,IF(D40=Lookup!$L$10,2,1),IF(G40&lt;F40-1,0,1))</f>
        <v>1</v>
      </c>
      <c r="I40">
        <f>IF(D40&lt;&gt;Lookup!$L$7,0,IF(INDEX(views[name],MATCH(E40,views[object_id order],0))&lt;&gt;"",0,1))</f>
        <v>0</v>
      </c>
      <c r="J40">
        <f>IF(D40&lt;&gt;Lookup!$L$7,0,IF(INDEX(views[icon],MATCH(E40,views[object_id order],0))&lt;&gt;"",0,1))</f>
        <v>0</v>
      </c>
      <c r="K40" t="str">
        <f>IF($D40=Lookup!$L$6,INDEX(views[object_id],MATCH($E40,views[object_id order],0)),"")</f>
        <v>network_view</v>
      </c>
      <c r="L40" t="str">
        <f>IF($D40=Lookup!$L$8,INDEX(views[name],MATCH($E40,views[object_id order],0)),"")</f>
        <v/>
      </c>
      <c r="M40" t="str">
        <f>IF($D40=Lookup!$L$9,INDEX(views[icon],MATCH($E40,views[object_id order],0)),"")</f>
        <v/>
      </c>
      <c r="N40" t="str">
        <f>IF(OR(D40=Lookup!$L$11,D40=Lookup!$L$12),INDEX(views[[1]:[25]],MATCH($E40,views[object_id order],0),G40),"")</f>
        <v/>
      </c>
      <c r="O40" t="str">
        <f t="shared" si="1"/>
        <v/>
      </c>
      <c r="P40" s="8" t="str">
        <f>INDEX(Lookup!$M$5:$M$12,MATCH(D40,Lookup!$L$5:$L$12,0))&amp;
K40&amp;L40&amp;M40&amp;N40&amp;
INDEX(Lookup!$N$5:$N$12,MATCH(D40,Lookup!$L$5:$L$12,0))</f>
        <v>network_view:</v>
      </c>
    </row>
    <row r="41" spans="2:16" x14ac:dyDescent="0.45">
      <c r="B41">
        <f t="shared" si="0"/>
        <v>39</v>
      </c>
      <c r="C41">
        <f t="shared" si="2"/>
        <v>3</v>
      </c>
      <c r="D41" t="str">
        <f>VLOOKUP(C41,Lookup!$K$5:$L$12,2,FALSE)</f>
        <v>view</v>
      </c>
      <c r="E41">
        <f>IF(D41=Lookup!$L$5,E40+1,E40)</f>
        <v>5</v>
      </c>
      <c r="F41" s="3">
        <f>INDEX(views[Entities count],MATCH('view-code'!E41,views[object_id order],0))</f>
        <v>6</v>
      </c>
      <c r="G41" t="str">
        <f>IF(D40=Lookup!$L$10,1,IF(D40=Lookup!$L$11,G40+1,""))</f>
        <v/>
      </c>
      <c r="H41">
        <f>IF(F41=1,IF(D41=Lookup!$L$10,2,1),IF(G41&lt;F41-1,0,1))</f>
        <v>1</v>
      </c>
      <c r="I41">
        <f>IF(D41&lt;&gt;Lookup!$L$7,0,IF(INDEX(views[name],MATCH(E41,views[object_id order],0))&lt;&gt;"",0,1))</f>
        <v>0</v>
      </c>
      <c r="J41">
        <f>IF(D41&lt;&gt;Lookup!$L$7,0,IF(INDEX(views[icon],MATCH(E41,views[object_id order],0))&lt;&gt;"",0,1))</f>
        <v>0</v>
      </c>
      <c r="K41" t="str">
        <f>IF($D41=Lookup!$L$6,INDEX(views[object_id],MATCH($E41,views[object_id order],0)),"")</f>
        <v/>
      </c>
      <c r="L41" t="str">
        <f>IF($D41=Lookup!$L$8,INDEX(views[name],MATCH($E41,views[object_id order],0)),"")</f>
        <v/>
      </c>
      <c r="M41" t="str">
        <f>IF($D41=Lookup!$L$9,INDEX(views[icon],MATCH($E41,views[object_id order],0)),"")</f>
        <v/>
      </c>
      <c r="N41" t="str">
        <f>IF(OR(D41=Lookup!$L$11,D41=Lookup!$L$12),INDEX(views[[1]:[25]],MATCH($E41,views[object_id order],0),G41),"")</f>
        <v/>
      </c>
      <c r="O41" t="str">
        <f t="shared" si="1"/>
        <v/>
      </c>
      <c r="P41" s="8" t="str">
        <f>INDEX(Lookup!$M$5:$M$12,MATCH(D41,Lookup!$L$5:$L$12,0))&amp;
K41&amp;L41&amp;M41&amp;N41&amp;
INDEX(Lookup!$N$5:$N$12,MATCH(D41,Lookup!$L$5:$L$12,0))</f>
        <v xml:space="preserve">  view: yes</v>
      </c>
    </row>
    <row r="42" spans="2:16" x14ac:dyDescent="0.45">
      <c r="B42">
        <f t="shared" si="0"/>
        <v>40</v>
      </c>
      <c r="C42">
        <f t="shared" si="2"/>
        <v>4</v>
      </c>
      <c r="D42" t="str">
        <f>VLOOKUP(C42,Lookup!$K$5:$L$12,2,FALSE)</f>
        <v>name</v>
      </c>
      <c r="E42">
        <f>IF(D42=Lookup!$L$5,E41+1,E41)</f>
        <v>5</v>
      </c>
      <c r="F42" s="3">
        <f>INDEX(views[Entities count],MATCH('view-code'!E42,views[object_id order],0))</f>
        <v>6</v>
      </c>
      <c r="G42" t="str">
        <f>IF(D41=Lookup!$L$10,1,IF(D41=Lookup!$L$11,G41+1,""))</f>
        <v/>
      </c>
      <c r="H42">
        <f>IF(F42=1,IF(D42=Lookup!$L$10,2,1),IF(G42&lt;F42-1,0,1))</f>
        <v>1</v>
      </c>
      <c r="I42">
        <f>IF(D42&lt;&gt;Lookup!$L$7,0,IF(INDEX(views[name],MATCH(E42,views[object_id order],0))&lt;&gt;"",0,1))</f>
        <v>0</v>
      </c>
      <c r="J42">
        <f>IF(D42&lt;&gt;Lookup!$L$7,0,IF(INDEX(views[icon],MATCH(E42,views[object_id order],0))&lt;&gt;"",0,1))</f>
        <v>0</v>
      </c>
      <c r="K42" t="str">
        <f>IF($D42=Lookup!$L$6,INDEX(views[object_id],MATCH($E42,views[object_id order],0)),"")</f>
        <v/>
      </c>
      <c r="L42" t="str">
        <f>IF($D42=Lookup!$L$8,INDEX(views[name],MATCH($E42,views[object_id order],0)),"")</f>
        <v>Network</v>
      </c>
      <c r="M42" t="str">
        <f>IF($D42=Lookup!$L$9,INDEX(views[icon],MATCH($E42,views[object_id order],0)),"")</f>
        <v/>
      </c>
      <c r="N42" t="str">
        <f>IF(OR(D42=Lookup!$L$11,D42=Lookup!$L$12),INDEX(views[[1]:[25]],MATCH($E42,views[object_id order],0),G42),"")</f>
        <v/>
      </c>
      <c r="O42" t="str">
        <f t="shared" si="1"/>
        <v/>
      </c>
      <c r="P42" s="8" t="str">
        <f>INDEX(Lookup!$M$5:$M$12,MATCH(D42,Lookup!$L$5:$L$12,0))&amp;
K42&amp;L42&amp;M42&amp;N42&amp;
INDEX(Lookup!$N$5:$N$12,MATCH(D42,Lookup!$L$5:$L$12,0))</f>
        <v xml:space="preserve">  name: "Network"</v>
      </c>
    </row>
    <row r="43" spans="2:16" x14ac:dyDescent="0.45">
      <c r="B43">
        <f t="shared" si="0"/>
        <v>41</v>
      </c>
      <c r="C43">
        <f t="shared" si="2"/>
        <v>5</v>
      </c>
      <c r="D43" t="str">
        <f>VLOOKUP(C43,Lookup!$K$5:$L$12,2,FALSE)</f>
        <v>icon</v>
      </c>
      <c r="E43">
        <f>IF(D43=Lookup!$L$5,E42+1,E42)</f>
        <v>5</v>
      </c>
      <c r="F43" s="3">
        <f>INDEX(views[Entities count],MATCH('view-code'!E43,views[object_id order],0))</f>
        <v>6</v>
      </c>
      <c r="G43" t="str">
        <f>IF(D42=Lookup!$L$10,1,IF(D42=Lookup!$L$11,G42+1,""))</f>
        <v/>
      </c>
      <c r="H43">
        <f>IF(F43=1,IF(D43=Lookup!$L$10,2,1),IF(G43&lt;F43-1,0,1))</f>
        <v>1</v>
      </c>
      <c r="I43">
        <f>IF(D43&lt;&gt;Lookup!$L$7,0,IF(INDEX(views[name],MATCH(E43,views[object_id order],0))&lt;&gt;"",0,1))</f>
        <v>0</v>
      </c>
      <c r="J43">
        <f>IF(D43&lt;&gt;Lookup!$L$7,0,IF(INDEX(views[icon],MATCH(E43,views[object_id order],0))&lt;&gt;"",0,1))</f>
        <v>0</v>
      </c>
      <c r="K43" t="str">
        <f>IF($D43=Lookup!$L$6,INDEX(views[object_id],MATCH($E43,views[object_id order],0)),"")</f>
        <v/>
      </c>
      <c r="L43" t="str">
        <f>IF($D43=Lookup!$L$8,INDEX(views[name],MATCH($E43,views[object_id order],0)),"")</f>
        <v/>
      </c>
      <c r="M43" t="str">
        <f>IF($D43=Lookup!$L$9,INDEX(views[icon],MATCH($E43,views[object_id order],0)),"")</f>
        <v>mdi:access-point-network</v>
      </c>
      <c r="N43" t="str">
        <f>IF(OR(D43=Lookup!$L$11,D43=Lookup!$L$12),INDEX(views[[1]:[25]],MATCH($E43,views[object_id order],0),G43),"")</f>
        <v/>
      </c>
      <c r="O43" t="str">
        <f t="shared" si="1"/>
        <v/>
      </c>
      <c r="P43" s="8" t="str">
        <f>INDEX(Lookup!$M$5:$M$12,MATCH(D43,Lookup!$L$5:$L$12,0))&amp;
K43&amp;L43&amp;M43&amp;N43&amp;
INDEX(Lookup!$N$5:$N$12,MATCH(D43,Lookup!$L$5:$L$12,0))</f>
        <v xml:space="preserve">  icon: mdi:access-point-network</v>
      </c>
    </row>
    <row r="44" spans="2:16" x14ac:dyDescent="0.45">
      <c r="B44">
        <f t="shared" si="0"/>
        <v>42</v>
      </c>
      <c r="C44">
        <f t="shared" si="2"/>
        <v>6</v>
      </c>
      <c r="D44" t="str">
        <f>VLOOKUP(C44,Lookup!$K$5:$L$12,2,FALSE)</f>
        <v>entities header</v>
      </c>
      <c r="E44">
        <f>IF(D44=Lookup!$L$5,E43+1,E43)</f>
        <v>5</v>
      </c>
      <c r="F44" s="3">
        <f>INDEX(views[Entities count],MATCH('view-code'!E44,views[object_id order],0))</f>
        <v>6</v>
      </c>
      <c r="G44" t="str">
        <f>IF(D43=Lookup!$L$10,1,IF(D43=Lookup!$L$11,G43+1,""))</f>
        <v/>
      </c>
      <c r="H44">
        <f>IF(F44=1,IF(D44=Lookup!$L$10,2,1),IF(G44&lt;F44-1,0,1))</f>
        <v>1</v>
      </c>
      <c r="I44">
        <f>IF(D44&lt;&gt;Lookup!$L$7,0,IF(INDEX(views[name],MATCH(E44,views[object_id order],0))&lt;&gt;"",0,1))</f>
        <v>0</v>
      </c>
      <c r="J44">
        <f>IF(D44&lt;&gt;Lookup!$L$7,0,IF(INDEX(views[icon],MATCH(E44,views[object_id order],0))&lt;&gt;"",0,1))</f>
        <v>0</v>
      </c>
      <c r="K44" t="str">
        <f>IF($D44=Lookup!$L$6,INDEX(views[object_id],MATCH($E44,views[object_id order],0)),"")</f>
        <v/>
      </c>
      <c r="L44" t="str">
        <f>IF($D44=Lookup!$L$8,INDEX(views[name],MATCH($E44,views[object_id order],0)),"")</f>
        <v/>
      </c>
      <c r="M44" t="str">
        <f>IF($D44=Lookup!$L$9,INDEX(views[icon],MATCH($E44,views[object_id order],0)),"")</f>
        <v/>
      </c>
      <c r="N44" t="str">
        <f>IF(OR(D44=Lookup!$L$11,D44=Lookup!$L$12),INDEX(views[[1]:[25]],MATCH($E44,views[object_id order],0),G44),"")</f>
        <v/>
      </c>
      <c r="O44" t="str">
        <f t="shared" si="1"/>
        <v/>
      </c>
      <c r="P44" s="8" t="str">
        <f>INDEX(Lookup!$M$5:$M$12,MATCH(D44,Lookup!$L$5:$L$12,0))&amp;
K44&amp;L44&amp;M44&amp;N44&amp;
INDEX(Lookup!$N$5:$N$12,MATCH(D44,Lookup!$L$5:$L$12,0))</f>
        <v xml:space="preserve">  entities:</v>
      </c>
    </row>
    <row r="45" spans="2:16" x14ac:dyDescent="0.45">
      <c r="B45">
        <f t="shared" si="0"/>
        <v>43</v>
      </c>
      <c r="C45">
        <f t="shared" si="2"/>
        <v>7</v>
      </c>
      <c r="D45" t="str">
        <f>VLOOKUP(C45,Lookup!$K$5:$L$12,2,FALSE)</f>
        <v>entities</v>
      </c>
      <c r="E45">
        <f>IF(D45=Lookup!$L$5,E44+1,E44)</f>
        <v>5</v>
      </c>
      <c r="F45" s="3">
        <f>INDEX(views[Entities count],MATCH('view-code'!E45,views[object_id order],0))</f>
        <v>6</v>
      </c>
      <c r="G45">
        <f>IF(D44=Lookup!$L$10,1,IF(D44=Lookup!$L$11,G44+1,""))</f>
        <v>1</v>
      </c>
      <c r="H45">
        <f>IF(F45=1,IF(D45=Lookup!$L$10,2,1),IF(G45&lt;F45-1,0,1))</f>
        <v>0</v>
      </c>
      <c r="I45">
        <f>IF(D45&lt;&gt;Lookup!$L$7,0,IF(INDEX(views[name],MATCH(E45,views[object_id order],0))&lt;&gt;"",0,1))</f>
        <v>0</v>
      </c>
      <c r="J45">
        <f>IF(D45&lt;&gt;Lookup!$L$7,0,IF(INDEX(views[icon],MATCH(E45,views[object_id order],0))&lt;&gt;"",0,1))</f>
        <v>0</v>
      </c>
      <c r="K45" t="str">
        <f>IF($D45=Lookup!$L$6,INDEX(views[object_id],MATCH($E45,views[object_id order],0)),"")</f>
        <v/>
      </c>
      <c r="L45" t="str">
        <f>IF($D45=Lookup!$L$8,INDEX(views[name],MATCH($E45,views[object_id order],0)),"")</f>
        <v/>
      </c>
      <c r="M45" t="str">
        <f>IF($D45=Lookup!$L$9,INDEX(views[icon],MATCH($E45,views[object_id order],0)),"")</f>
        <v/>
      </c>
      <c r="N45" t="str">
        <f>IF(OR(D45=Lookup!$L$11,D45=Lookup!$L$12),INDEX(views[[1]:[25]],MATCH($E45,views[object_id order],0),G45),"")</f>
        <v>group.status</v>
      </c>
      <c r="O45" t="str">
        <f t="shared" si="1"/>
        <v/>
      </c>
      <c r="P45" s="8" t="str">
        <f>INDEX(Lookup!$M$5:$M$12,MATCH(D45,Lookup!$L$5:$L$12,0))&amp;
K45&amp;L45&amp;M45&amp;N45&amp;
INDEX(Lookup!$N$5:$N$12,MATCH(D45,Lookup!$L$5:$L$12,0))</f>
        <v xml:space="preserve">    - group.status</v>
      </c>
    </row>
    <row r="46" spans="2:16" x14ac:dyDescent="0.45">
      <c r="B46">
        <f t="shared" si="0"/>
        <v>44</v>
      </c>
      <c r="C46">
        <f t="shared" si="2"/>
        <v>7</v>
      </c>
      <c r="D46" t="str">
        <f>VLOOKUP(C46,Lookup!$K$5:$L$12,2,FALSE)</f>
        <v>entities</v>
      </c>
      <c r="E46">
        <f>IF(D46=Lookup!$L$5,E45+1,E45)</f>
        <v>5</v>
      </c>
      <c r="F46" s="3">
        <f>INDEX(views[Entities count],MATCH('view-code'!E46,views[object_id order],0))</f>
        <v>6</v>
      </c>
      <c r="G46">
        <f>IF(D45=Lookup!$L$10,1,IF(D45=Lookup!$L$11,G45+1,""))</f>
        <v>2</v>
      </c>
      <c r="H46">
        <f>IF(F46=1,IF(D46=Lookup!$L$10,2,1),IF(G46&lt;F46-1,0,1))</f>
        <v>0</v>
      </c>
      <c r="I46">
        <f>IF(D46&lt;&gt;Lookup!$L$7,0,IF(INDEX(views[name],MATCH(E46,views[object_id order],0))&lt;&gt;"",0,1))</f>
        <v>0</v>
      </c>
      <c r="J46">
        <f>IF(D46&lt;&gt;Lookup!$L$7,0,IF(INDEX(views[icon],MATCH(E46,views[object_id order],0))&lt;&gt;"",0,1))</f>
        <v>0</v>
      </c>
      <c r="K46" t="str">
        <f>IF($D46=Lookup!$L$6,INDEX(views[object_id],MATCH($E46,views[object_id order],0)),"")</f>
        <v/>
      </c>
      <c r="L46" t="str">
        <f>IF($D46=Lookup!$L$8,INDEX(views[name],MATCH($E46,views[object_id order],0)),"")</f>
        <v/>
      </c>
      <c r="M46" t="str">
        <f>IF($D46=Lookup!$L$9,INDEX(views[icon],MATCH($E46,views[object_id order],0)),"")</f>
        <v/>
      </c>
      <c r="N46" t="str">
        <f>IF(OR(D46=Lookup!$L$11,D46=Lookup!$L$12),INDEX(views[[1]:[25]],MATCH($E46,views[object_id order],0),G46),"")</f>
        <v>group.phones</v>
      </c>
      <c r="O46" t="str">
        <f t="shared" si="1"/>
        <v/>
      </c>
      <c r="P46" s="8" t="str">
        <f>INDEX(Lookup!$M$5:$M$12,MATCH(D46,Lookup!$L$5:$L$12,0))&amp;
K46&amp;L46&amp;M46&amp;N46&amp;
INDEX(Lookup!$N$5:$N$12,MATCH(D46,Lookup!$L$5:$L$12,0))</f>
        <v xml:space="preserve">    - group.phones</v>
      </c>
    </row>
    <row r="47" spans="2:16" x14ac:dyDescent="0.45">
      <c r="B47">
        <f t="shared" si="0"/>
        <v>45</v>
      </c>
      <c r="C47">
        <f t="shared" si="2"/>
        <v>7</v>
      </c>
      <c r="D47" t="str">
        <f>VLOOKUP(C47,Lookup!$K$5:$L$12,2,FALSE)</f>
        <v>entities</v>
      </c>
      <c r="E47">
        <f>IF(D47=Lookup!$L$5,E46+1,E46)</f>
        <v>5</v>
      </c>
      <c r="F47" s="3">
        <f>INDEX(views[Entities count],MATCH('view-code'!E47,views[object_id order],0))</f>
        <v>6</v>
      </c>
      <c r="G47">
        <f>IF(D46=Lookup!$L$10,1,IF(D46=Lookup!$L$11,G46+1,""))</f>
        <v>3</v>
      </c>
      <c r="H47">
        <f>IF(F47=1,IF(D47=Lookup!$L$10,2,1),IF(G47&lt;F47-1,0,1))</f>
        <v>0</v>
      </c>
      <c r="I47">
        <f>IF(D47&lt;&gt;Lookup!$L$7,0,IF(INDEX(views[name],MATCH(E47,views[object_id order],0))&lt;&gt;"",0,1))</f>
        <v>0</v>
      </c>
      <c r="J47">
        <f>IF(D47&lt;&gt;Lookup!$L$7,0,IF(INDEX(views[icon],MATCH(E47,views[object_id order],0))&lt;&gt;"",0,1))</f>
        <v>0</v>
      </c>
      <c r="K47" t="str">
        <f>IF($D47=Lookup!$L$6,INDEX(views[object_id],MATCH($E47,views[object_id order],0)),"")</f>
        <v/>
      </c>
      <c r="L47" t="str">
        <f>IF($D47=Lookup!$L$8,INDEX(views[name],MATCH($E47,views[object_id order],0)),"")</f>
        <v/>
      </c>
      <c r="M47" t="str">
        <f>IF($D47=Lookup!$L$9,INDEX(views[icon],MATCH($E47,views[object_id order],0)),"")</f>
        <v/>
      </c>
      <c r="N47" t="str">
        <f>IF(OR(D47=Lookup!$L$11,D47=Lookup!$L$12),INDEX(views[[1]:[25]],MATCH($E47,views[object_id order],0),G47),"")</f>
        <v>group.personal_devices</v>
      </c>
      <c r="O47" t="str">
        <f t="shared" si="1"/>
        <v/>
      </c>
      <c r="P47" s="8" t="str">
        <f>INDEX(Lookup!$M$5:$M$12,MATCH(D47,Lookup!$L$5:$L$12,0))&amp;
K47&amp;L47&amp;M47&amp;N47&amp;
INDEX(Lookup!$N$5:$N$12,MATCH(D47,Lookup!$L$5:$L$12,0))</f>
        <v xml:space="preserve">    - group.personal_devices</v>
      </c>
    </row>
    <row r="48" spans="2:16" x14ac:dyDescent="0.45">
      <c r="B48">
        <f t="shared" si="0"/>
        <v>46</v>
      </c>
      <c r="C48">
        <f t="shared" si="2"/>
        <v>7</v>
      </c>
      <c r="D48" t="str">
        <f>VLOOKUP(C48,Lookup!$K$5:$L$12,2,FALSE)</f>
        <v>entities</v>
      </c>
      <c r="E48">
        <f>IF(D48=Lookup!$L$5,E47+1,E47)</f>
        <v>5</v>
      </c>
      <c r="F48" s="3">
        <f>INDEX(views[Entities count],MATCH('view-code'!E48,views[object_id order],0))</f>
        <v>6</v>
      </c>
      <c r="G48">
        <f>IF(D47=Lookup!$L$10,1,IF(D47=Lookup!$L$11,G47+1,""))</f>
        <v>4</v>
      </c>
      <c r="H48">
        <f>IF(F48=1,IF(D48=Lookup!$L$10,2,1),IF(G48&lt;F48-1,0,1))</f>
        <v>0</v>
      </c>
      <c r="I48">
        <f>IF(D48&lt;&gt;Lookup!$L$7,0,IF(INDEX(views[name],MATCH(E48,views[object_id order],0))&lt;&gt;"",0,1))</f>
        <v>0</v>
      </c>
      <c r="J48">
        <f>IF(D48&lt;&gt;Lookup!$L$7,0,IF(INDEX(views[icon],MATCH(E48,views[object_id order],0))&lt;&gt;"",0,1))</f>
        <v>0</v>
      </c>
      <c r="K48" t="str">
        <f>IF($D48=Lookup!$L$6,INDEX(views[object_id],MATCH($E48,views[object_id order],0)),"")</f>
        <v/>
      </c>
      <c r="L48" t="str">
        <f>IF($D48=Lookup!$L$8,INDEX(views[name],MATCH($E48,views[object_id order],0)),"")</f>
        <v/>
      </c>
      <c r="M48" t="str">
        <f>IF($D48=Lookup!$L$9,INDEX(views[icon],MATCH($E48,views[object_id order],0)),"")</f>
        <v/>
      </c>
      <c r="N48" t="str">
        <f>IF(OR(D48=Lookup!$L$11,D48=Lookup!$L$12),INDEX(views[[1]:[25]],MATCH($E48,views[object_id order],0),G48),"")</f>
        <v>group.iot_devices</v>
      </c>
      <c r="O48" t="str">
        <f t="shared" si="1"/>
        <v/>
      </c>
      <c r="P48" s="8" t="str">
        <f>INDEX(Lookup!$M$5:$M$12,MATCH(D48,Lookup!$L$5:$L$12,0))&amp;
K48&amp;L48&amp;M48&amp;N48&amp;
INDEX(Lookup!$N$5:$N$12,MATCH(D48,Lookup!$L$5:$L$12,0))</f>
        <v xml:space="preserve">    - group.iot_devices</v>
      </c>
    </row>
    <row r="49" spans="2:16" x14ac:dyDescent="0.45">
      <c r="B49">
        <f t="shared" si="0"/>
        <v>47</v>
      </c>
      <c r="C49">
        <f t="shared" si="2"/>
        <v>7</v>
      </c>
      <c r="D49" t="str">
        <f>VLOOKUP(C49,Lookup!$K$5:$L$12,2,FALSE)</f>
        <v>entities</v>
      </c>
      <c r="E49">
        <f>IF(D49=Lookup!$L$5,E48+1,E48)</f>
        <v>5</v>
      </c>
      <c r="F49" s="3">
        <f>INDEX(views[Entities count],MATCH('view-code'!E49,views[object_id order],0))</f>
        <v>6</v>
      </c>
      <c r="G49">
        <f>IF(D48=Lookup!$L$10,1,IF(D48=Lookup!$L$11,G48+1,""))</f>
        <v>5</v>
      </c>
      <c r="H49">
        <f>IF(F49=1,IF(D49=Lookup!$L$10,2,1),IF(G49&lt;F49-1,0,1))</f>
        <v>1</v>
      </c>
      <c r="I49">
        <f>IF(D49&lt;&gt;Lookup!$L$7,0,IF(INDEX(views[name],MATCH(E49,views[object_id order],0))&lt;&gt;"",0,1))</f>
        <v>0</v>
      </c>
      <c r="J49">
        <f>IF(D49&lt;&gt;Lookup!$L$7,0,IF(INDEX(views[icon],MATCH(E49,views[object_id order],0))&lt;&gt;"",0,1))</f>
        <v>0</v>
      </c>
      <c r="K49" t="str">
        <f>IF($D49=Lookup!$L$6,INDEX(views[object_id],MATCH($E49,views[object_id order],0)),"")</f>
        <v/>
      </c>
      <c r="L49" t="str">
        <f>IF($D49=Lookup!$L$8,INDEX(views[name],MATCH($E49,views[object_id order],0)),"")</f>
        <v/>
      </c>
      <c r="M49" t="str">
        <f>IF($D49=Lookup!$L$9,INDEX(views[icon],MATCH($E49,views[object_id order],0)),"")</f>
        <v/>
      </c>
      <c r="N49" t="str">
        <f>IF(OR(D49=Lookup!$L$11,D49=Lookup!$L$12),INDEX(views[[1]:[25]],MATCH($E49,views[object_id order],0),G49),"")</f>
        <v>group.network</v>
      </c>
      <c r="O49" t="str">
        <f t="shared" si="1"/>
        <v/>
      </c>
      <c r="P49" s="8" t="str">
        <f>INDEX(Lookup!$M$5:$M$12,MATCH(D49,Lookup!$L$5:$L$12,0))&amp;
K49&amp;L49&amp;M49&amp;N49&amp;
INDEX(Lookup!$N$5:$N$12,MATCH(D49,Lookup!$L$5:$L$12,0))</f>
        <v xml:space="preserve">    - group.network</v>
      </c>
    </row>
    <row r="50" spans="2:16" x14ac:dyDescent="0.45">
      <c r="B50">
        <f t="shared" si="0"/>
        <v>48</v>
      </c>
      <c r="C50">
        <f t="shared" si="2"/>
        <v>8</v>
      </c>
      <c r="D50" t="str">
        <f>VLOOKUP(C50,Lookup!$K$5:$L$12,2,FALSE)</f>
        <v>entities end</v>
      </c>
      <c r="E50">
        <f>IF(D50=Lookup!$L$5,E49+1,E49)</f>
        <v>5</v>
      </c>
      <c r="F50" s="3">
        <f>INDEX(views[Entities count],MATCH('view-code'!E50,views[object_id order],0))</f>
        <v>6</v>
      </c>
      <c r="G50">
        <f>IF(D49=Lookup!$L$10,1,IF(D49=Lookup!$L$11,G49+1,""))</f>
        <v>6</v>
      </c>
      <c r="H50">
        <f>IF(F50=1,IF(D50=Lookup!$L$10,2,1),IF(G50&lt;F50-1,0,1))</f>
        <v>1</v>
      </c>
      <c r="I50">
        <f>IF(D50&lt;&gt;Lookup!$L$7,0,IF(INDEX(views[name],MATCH(E50,views[object_id order],0))&lt;&gt;"",0,1))</f>
        <v>0</v>
      </c>
      <c r="J50">
        <f>IF(D50&lt;&gt;Lookup!$L$7,0,IF(INDEX(views[icon],MATCH(E50,views[object_id order],0))&lt;&gt;"",0,1))</f>
        <v>0</v>
      </c>
      <c r="K50" t="str">
        <f>IF($D50=Lookup!$L$6,INDEX(views[object_id],MATCH($E50,views[object_id order],0)),"")</f>
        <v/>
      </c>
      <c r="L50" t="str">
        <f>IF($D50=Lookup!$L$8,INDEX(views[name],MATCH($E50,views[object_id order],0)),"")</f>
        <v/>
      </c>
      <c r="M50" t="str">
        <f>IF($D50=Lookup!$L$9,INDEX(views[icon],MATCH($E50,views[object_id order],0)),"")</f>
        <v/>
      </c>
      <c r="N50" t="str">
        <f>IF(OR(D50=Lookup!$L$11,D50=Lookup!$L$12),INDEX(views[[1]:[25]],MATCH($E50,views[object_id order],0),G50),"")</f>
        <v>group.host_device</v>
      </c>
      <c r="O50" t="str">
        <f t="shared" si="1"/>
        <v/>
      </c>
      <c r="P50" s="8" t="str">
        <f>INDEX(Lookup!$M$5:$M$12,MATCH(D50,Lookup!$L$5:$L$12,0))&amp;
K50&amp;L50&amp;M50&amp;N50&amp;
INDEX(Lookup!$N$5:$N$12,MATCH(D50,Lookup!$L$5:$L$12,0))</f>
        <v xml:space="preserve">    - group.host_device</v>
      </c>
    </row>
    <row r="51" spans="2:16" x14ac:dyDescent="0.45">
      <c r="B51">
        <f t="shared" si="0"/>
        <v>49</v>
      </c>
      <c r="C51">
        <f t="shared" si="2"/>
        <v>1</v>
      </c>
      <c r="D51" t="str">
        <f>VLOOKUP(C51,Lookup!$K$5:$L$12,2,FALSE)</f>
        <v>blank</v>
      </c>
      <c r="E51">
        <f>IF(D51=Lookup!$L$5,E50+1,E50)</f>
        <v>6</v>
      </c>
      <c r="F51" s="3" t="e">
        <f>INDEX(views[Entities count],MATCH('view-code'!E51,views[object_id order],0))</f>
        <v>#N/A</v>
      </c>
      <c r="G51" t="str">
        <f>IF(D50=Lookup!$L$10,1,IF(D50=Lookup!$L$11,G50+1,""))</f>
        <v/>
      </c>
      <c r="H51" t="e">
        <f>IF(F51=1,IF(D51=Lookup!$L$10,2,1),IF(G51&lt;F51-1,0,1))</f>
        <v>#N/A</v>
      </c>
      <c r="I51">
        <f>IF(D51&lt;&gt;Lookup!$L$7,0,IF(INDEX(views[name],MATCH(E51,views[object_id order],0))&lt;&gt;"",0,1))</f>
        <v>0</v>
      </c>
      <c r="J51">
        <f>IF(D51&lt;&gt;Lookup!$L$7,0,IF(INDEX(views[icon],MATCH(E51,views[object_id order],0))&lt;&gt;"",0,1))</f>
        <v>0</v>
      </c>
      <c r="K51" t="str">
        <f>IF($D51=Lookup!$L$6,INDEX(views[object_id],MATCH($E51,views[object_id order],0)),"")</f>
        <v/>
      </c>
      <c r="L51" t="str">
        <f>IF($D51=Lookup!$L$8,INDEX(views[name],MATCH($E51,views[object_id order],0)),"")</f>
        <v/>
      </c>
      <c r="M51" t="str">
        <f>IF($D51=Lookup!$L$9,INDEX(views[icon],MATCH($E51,views[object_id order],0)),"")</f>
        <v/>
      </c>
      <c r="N51" t="str">
        <f>IF(OR(D51=Lookup!$L$11,D51=Lookup!$L$12),INDEX(views[[1]:[25]],MATCH($E51,views[object_id order],0),G51),"")</f>
        <v/>
      </c>
      <c r="O51" t="str">
        <f t="shared" si="1"/>
        <v>END</v>
      </c>
      <c r="P51" s="8" t="str">
        <f>INDEX(Lookup!$M$5:$M$12,MATCH(D51,Lookup!$L$5:$L$12,0))&amp;
K51&amp;L51&amp;M51&amp;N51&amp;
INDEX(Lookup!$N$5:$N$12,MATCH(D51,Lookup!$L$5:$L$12,0))</f>
        <v/>
      </c>
    </row>
    <row r="52" spans="2:16" x14ac:dyDescent="0.45">
      <c r="B52">
        <f t="shared" si="0"/>
        <v>50</v>
      </c>
      <c r="C52" t="e">
        <f t="shared" si="2"/>
        <v>#N/A</v>
      </c>
      <c r="D52" t="e">
        <f>VLOOKUP(C52,Lookup!$K$5:$L$12,2,FALSE)</f>
        <v>#N/A</v>
      </c>
      <c r="E52" t="e">
        <f>IF(D52=Lookup!$L$5,E51+1,E51)</f>
        <v>#N/A</v>
      </c>
      <c r="F52" s="3" t="e">
        <f>INDEX(views[Entities count],MATCH('view-code'!E52,views[object_id order],0))</f>
        <v>#N/A</v>
      </c>
      <c r="G52" t="str">
        <f>IF(D51=Lookup!$L$10,1,IF(D51=Lookup!$L$11,G51+1,""))</f>
        <v/>
      </c>
      <c r="H52" t="e">
        <f>IF(F52=1,IF(D52=Lookup!$L$10,2,1),IF(G52&lt;F52-1,0,1))</f>
        <v>#N/A</v>
      </c>
      <c r="I52" t="e">
        <f>IF(D52&lt;&gt;Lookup!$L$7,0,IF(INDEX(views[name],MATCH(E52,views[object_id order],0))&lt;&gt;"",0,1))</f>
        <v>#N/A</v>
      </c>
      <c r="J52" t="e">
        <f>IF(D52&lt;&gt;Lookup!$L$7,0,IF(INDEX(views[icon],MATCH(E52,views[object_id order],0))&lt;&gt;"",0,1))</f>
        <v>#N/A</v>
      </c>
      <c r="K52" t="e">
        <f>IF($D52=Lookup!$L$6,INDEX(views[object_id],MATCH($E52,views[object_id order],0)),"")</f>
        <v>#N/A</v>
      </c>
      <c r="L52" t="e">
        <f>IF($D52=Lookup!$L$8,INDEX(views[name],MATCH($E52,views[object_id order],0)),"")</f>
        <v>#N/A</v>
      </c>
      <c r="M52" t="e">
        <f>IF($D52=Lookup!$L$9,INDEX(views[icon],MATCH($E52,views[object_id order],0)),"")</f>
        <v>#N/A</v>
      </c>
      <c r="N52" t="e">
        <f>IF(OR(D52=Lookup!$L$11,D52=Lookup!$L$12),INDEX(views[[1]:[25]],MATCH($E52,views[object_id order],0),G52),"")</f>
        <v>#N/A</v>
      </c>
      <c r="O52" t="str">
        <f t="shared" si="1"/>
        <v/>
      </c>
      <c r="P52" s="8" t="e">
        <f>INDEX(Lookup!$M$5:$M$12,MATCH(D52,Lookup!$L$5:$L$12,0))&amp;
K52&amp;L52&amp;M52&amp;N52&amp;
INDEX(Lookup!$N$5:$N$12,MATCH(D52,Lookup!$L$5:$L$12,0))</f>
        <v>#N/A</v>
      </c>
    </row>
    <row r="53" spans="2:16" x14ac:dyDescent="0.45">
      <c r="B53">
        <f t="shared" si="0"/>
        <v>51</v>
      </c>
      <c r="C53" t="e">
        <f t="shared" si="2"/>
        <v>#N/A</v>
      </c>
      <c r="D53" t="e">
        <f>VLOOKUP(C53,Lookup!$K$5:$L$12,2,FALSE)</f>
        <v>#N/A</v>
      </c>
      <c r="E53" t="e">
        <f>IF(D53=Lookup!$L$5,E52+1,E52)</f>
        <v>#N/A</v>
      </c>
      <c r="F53" s="3" t="e">
        <f>INDEX(views[Entities count],MATCH('view-code'!E53,views[object_id order],0))</f>
        <v>#N/A</v>
      </c>
      <c r="G53" t="e">
        <f>IF(D52=Lookup!$L$10,1,IF(D52=Lookup!$L$11,G52+1,""))</f>
        <v>#N/A</v>
      </c>
      <c r="H53" t="e">
        <f>IF(F53=1,IF(D53=Lookup!$L$10,2,1),IF(G53&lt;F53-1,0,1))</f>
        <v>#N/A</v>
      </c>
      <c r="I53" t="e">
        <f>IF(D53&lt;&gt;Lookup!$L$7,0,IF(INDEX(views[name],MATCH(E53,views[object_id order],0))&lt;&gt;"",0,1))</f>
        <v>#N/A</v>
      </c>
      <c r="J53" t="e">
        <f>IF(D53&lt;&gt;Lookup!$L$7,0,IF(INDEX(views[icon],MATCH(E53,views[object_id order],0))&lt;&gt;"",0,1))</f>
        <v>#N/A</v>
      </c>
      <c r="K53" t="e">
        <f>IF($D53=Lookup!$L$6,INDEX(views[object_id],MATCH($E53,views[object_id order],0)),"")</f>
        <v>#N/A</v>
      </c>
      <c r="L53" t="e">
        <f>IF($D53=Lookup!$L$8,INDEX(views[name],MATCH($E53,views[object_id order],0)),"")</f>
        <v>#N/A</v>
      </c>
      <c r="M53" t="e">
        <f>IF($D53=Lookup!$L$9,INDEX(views[icon],MATCH($E53,views[object_id order],0)),"")</f>
        <v>#N/A</v>
      </c>
      <c r="N53" t="e">
        <f>IF(OR(D53=Lookup!$L$11,D53=Lookup!$L$12),INDEX(views[[1]:[25]],MATCH($E53,views[object_id order],0),G53),"")</f>
        <v>#N/A</v>
      </c>
      <c r="O53" t="str">
        <f t="shared" si="1"/>
        <v/>
      </c>
      <c r="P53" s="8" t="e">
        <f>INDEX(Lookup!$M$5:$M$12,MATCH(D53,Lookup!$L$5:$L$12,0))&amp;
K53&amp;L53&amp;M53&amp;N53&amp;
INDEX(Lookup!$N$5:$N$12,MATCH(D53,Lookup!$L$5:$L$12,0))</f>
        <v>#N/A</v>
      </c>
    </row>
    <row r="54" spans="2:16" x14ac:dyDescent="0.45">
      <c r="B54">
        <f t="shared" si="0"/>
        <v>52</v>
      </c>
      <c r="C54" t="e">
        <f t="shared" si="2"/>
        <v>#N/A</v>
      </c>
      <c r="D54" t="e">
        <f>VLOOKUP(C54,Lookup!$K$5:$L$12,2,FALSE)</f>
        <v>#N/A</v>
      </c>
      <c r="E54" t="e">
        <f>IF(D54=Lookup!$L$5,E53+1,E53)</f>
        <v>#N/A</v>
      </c>
      <c r="F54" s="3" t="e">
        <f>INDEX(views[Entities count],MATCH('view-code'!E54,views[object_id order],0))</f>
        <v>#N/A</v>
      </c>
      <c r="G54" t="e">
        <f>IF(D53=Lookup!$L$10,1,IF(D53=Lookup!$L$11,G53+1,""))</f>
        <v>#N/A</v>
      </c>
      <c r="H54" t="e">
        <f>IF(F54=1,IF(D54=Lookup!$L$10,2,1),IF(G54&lt;F54-1,0,1))</f>
        <v>#N/A</v>
      </c>
      <c r="I54" t="e">
        <f>IF(D54&lt;&gt;Lookup!$L$7,0,IF(INDEX(views[name],MATCH(E54,views[object_id order],0))&lt;&gt;"",0,1))</f>
        <v>#N/A</v>
      </c>
      <c r="J54" t="e">
        <f>IF(D54&lt;&gt;Lookup!$L$7,0,IF(INDEX(views[icon],MATCH(E54,views[object_id order],0))&lt;&gt;"",0,1))</f>
        <v>#N/A</v>
      </c>
      <c r="K54" t="e">
        <f>IF($D54=Lookup!$L$6,INDEX(views[object_id],MATCH($E54,views[object_id order],0)),"")</f>
        <v>#N/A</v>
      </c>
      <c r="L54" t="e">
        <f>IF($D54=Lookup!$L$8,INDEX(views[name],MATCH($E54,views[object_id order],0)),"")</f>
        <v>#N/A</v>
      </c>
      <c r="M54" t="e">
        <f>IF($D54=Lookup!$L$9,INDEX(views[icon],MATCH($E54,views[object_id order],0)),"")</f>
        <v>#N/A</v>
      </c>
      <c r="N54" t="e">
        <f>IF(OR(D54=Lookup!$L$11,D54=Lookup!$L$12),INDEX(views[[1]:[25]],MATCH($E54,views[object_id order],0),G54),"")</f>
        <v>#N/A</v>
      </c>
      <c r="O54" t="str">
        <f t="shared" si="1"/>
        <v/>
      </c>
      <c r="P54" s="8" t="e">
        <f>INDEX(Lookup!$M$5:$M$12,MATCH(D54,Lookup!$L$5:$L$12,0))&amp;
K54&amp;L54&amp;M54&amp;N54&amp;
INDEX(Lookup!$N$5:$N$12,MATCH(D54,Lookup!$L$5:$L$12,0))</f>
        <v>#N/A</v>
      </c>
    </row>
    <row r="55" spans="2:16" x14ac:dyDescent="0.45">
      <c r="B55">
        <f t="shared" si="0"/>
        <v>53</v>
      </c>
      <c r="C55" t="e">
        <f t="shared" si="2"/>
        <v>#N/A</v>
      </c>
      <c r="D55" t="e">
        <f>VLOOKUP(C55,Lookup!$K$5:$L$12,2,FALSE)</f>
        <v>#N/A</v>
      </c>
      <c r="E55" t="e">
        <f>IF(D55=Lookup!$L$5,E54+1,E54)</f>
        <v>#N/A</v>
      </c>
      <c r="F55" s="3" t="e">
        <f>INDEX(views[Entities count],MATCH('view-code'!E55,views[object_id order],0))</f>
        <v>#N/A</v>
      </c>
      <c r="G55" t="e">
        <f>IF(D54=Lookup!$L$10,1,IF(D54=Lookup!$L$11,G54+1,""))</f>
        <v>#N/A</v>
      </c>
      <c r="H55" t="e">
        <f>IF(F55=1,IF(D55=Lookup!$L$10,2,1),IF(G55&lt;F55-1,0,1))</f>
        <v>#N/A</v>
      </c>
      <c r="I55" t="e">
        <f>IF(D55&lt;&gt;Lookup!$L$7,0,IF(INDEX(views[name],MATCH(E55,views[object_id order],0))&lt;&gt;"",0,1))</f>
        <v>#N/A</v>
      </c>
      <c r="J55" t="e">
        <f>IF(D55&lt;&gt;Lookup!$L$7,0,IF(INDEX(views[icon],MATCH(E55,views[object_id order],0))&lt;&gt;"",0,1))</f>
        <v>#N/A</v>
      </c>
      <c r="K55" t="e">
        <f>IF($D55=Lookup!$L$6,INDEX(views[object_id],MATCH($E55,views[object_id order],0)),"")</f>
        <v>#N/A</v>
      </c>
      <c r="L55" t="e">
        <f>IF($D55=Lookup!$L$8,INDEX(views[name],MATCH($E55,views[object_id order],0)),"")</f>
        <v>#N/A</v>
      </c>
      <c r="M55" t="e">
        <f>IF($D55=Lookup!$L$9,INDEX(views[icon],MATCH($E55,views[object_id order],0)),"")</f>
        <v>#N/A</v>
      </c>
      <c r="N55" t="e">
        <f>IF(OR(D55=Lookup!$L$11,D55=Lookup!$L$12),INDEX(views[[1]:[25]],MATCH($E55,views[object_id order],0),G55),"")</f>
        <v>#N/A</v>
      </c>
      <c r="O55" t="str">
        <f t="shared" si="1"/>
        <v/>
      </c>
      <c r="P55" s="8" t="e">
        <f>INDEX(Lookup!$M$5:$M$12,MATCH(D55,Lookup!$L$5:$L$12,0))&amp;
K55&amp;L55&amp;M55&amp;N55&amp;
INDEX(Lookup!$N$5:$N$12,MATCH(D55,Lookup!$L$5:$L$12,0))</f>
        <v>#N/A</v>
      </c>
    </row>
    <row r="56" spans="2:16" x14ac:dyDescent="0.45">
      <c r="B56">
        <f t="shared" si="0"/>
        <v>54</v>
      </c>
      <c r="C56" t="e">
        <f t="shared" si="2"/>
        <v>#N/A</v>
      </c>
      <c r="D56" t="e">
        <f>VLOOKUP(C56,Lookup!$K$5:$L$12,2,FALSE)</f>
        <v>#N/A</v>
      </c>
      <c r="E56" t="e">
        <f>IF(D56=Lookup!$L$5,E55+1,E55)</f>
        <v>#N/A</v>
      </c>
      <c r="F56" s="3" t="e">
        <f>INDEX(views[Entities count],MATCH('view-code'!E56,views[object_id order],0))</f>
        <v>#N/A</v>
      </c>
      <c r="G56" t="e">
        <f>IF(D55=Lookup!$L$10,1,IF(D55=Lookup!$L$11,G55+1,""))</f>
        <v>#N/A</v>
      </c>
      <c r="H56" t="e">
        <f>IF(F56=1,IF(D56=Lookup!$L$10,2,1),IF(G56&lt;F56-1,0,1))</f>
        <v>#N/A</v>
      </c>
      <c r="I56" t="e">
        <f>IF(D56&lt;&gt;Lookup!$L$7,0,IF(INDEX(views[name],MATCH(E56,views[object_id order],0))&lt;&gt;"",0,1))</f>
        <v>#N/A</v>
      </c>
      <c r="J56" t="e">
        <f>IF(D56&lt;&gt;Lookup!$L$7,0,IF(INDEX(views[icon],MATCH(E56,views[object_id order],0))&lt;&gt;"",0,1))</f>
        <v>#N/A</v>
      </c>
      <c r="K56" t="e">
        <f>IF($D56=Lookup!$L$6,INDEX(views[object_id],MATCH($E56,views[object_id order],0)),"")</f>
        <v>#N/A</v>
      </c>
      <c r="L56" t="e">
        <f>IF($D56=Lookup!$L$8,INDEX(views[name],MATCH($E56,views[object_id order],0)),"")</f>
        <v>#N/A</v>
      </c>
      <c r="M56" t="e">
        <f>IF($D56=Lookup!$L$9,INDEX(views[icon],MATCH($E56,views[object_id order],0)),"")</f>
        <v>#N/A</v>
      </c>
      <c r="N56" t="e">
        <f>IF(OR(D56=Lookup!$L$11,D56=Lookup!$L$12),INDEX(views[[1]:[25]],MATCH($E56,views[object_id order],0),G56),"")</f>
        <v>#N/A</v>
      </c>
      <c r="O56" t="str">
        <f t="shared" si="1"/>
        <v/>
      </c>
      <c r="P56" s="8" t="e">
        <f>INDEX(Lookup!$M$5:$M$12,MATCH(D56,Lookup!$L$5:$L$12,0))&amp;
K56&amp;L56&amp;M56&amp;N56&amp;
INDEX(Lookup!$N$5:$N$12,MATCH(D56,Lookup!$L$5:$L$12,0))</f>
        <v>#N/A</v>
      </c>
    </row>
    <row r="57" spans="2:16" x14ac:dyDescent="0.45">
      <c r="B57">
        <f t="shared" si="0"/>
        <v>55</v>
      </c>
      <c r="C57" t="e">
        <f t="shared" si="2"/>
        <v>#N/A</v>
      </c>
      <c r="D57" t="e">
        <f>VLOOKUP(C57,Lookup!$K$5:$L$12,2,FALSE)</f>
        <v>#N/A</v>
      </c>
      <c r="E57" t="e">
        <f>IF(D57=Lookup!$L$5,E56+1,E56)</f>
        <v>#N/A</v>
      </c>
      <c r="F57" s="3" t="e">
        <f>INDEX(views[Entities count],MATCH('view-code'!E57,views[object_id order],0))</f>
        <v>#N/A</v>
      </c>
      <c r="G57" t="e">
        <f>IF(D56=Lookup!$L$10,1,IF(D56=Lookup!$L$11,G56+1,""))</f>
        <v>#N/A</v>
      </c>
      <c r="H57" t="e">
        <f>IF(F57=1,IF(D57=Lookup!$L$10,2,1),IF(G57&lt;F57-1,0,1))</f>
        <v>#N/A</v>
      </c>
      <c r="I57" t="e">
        <f>IF(D57&lt;&gt;Lookup!$L$7,0,IF(INDEX(views[name],MATCH(E57,views[object_id order],0))&lt;&gt;"",0,1))</f>
        <v>#N/A</v>
      </c>
      <c r="J57" t="e">
        <f>IF(D57&lt;&gt;Lookup!$L$7,0,IF(INDEX(views[icon],MATCH(E57,views[object_id order],0))&lt;&gt;"",0,1))</f>
        <v>#N/A</v>
      </c>
      <c r="K57" t="e">
        <f>IF($D57=Lookup!$L$6,INDEX(views[object_id],MATCH($E57,views[object_id order],0)),"")</f>
        <v>#N/A</v>
      </c>
      <c r="L57" t="e">
        <f>IF($D57=Lookup!$L$8,INDEX(views[name],MATCH($E57,views[object_id order],0)),"")</f>
        <v>#N/A</v>
      </c>
      <c r="M57" t="e">
        <f>IF($D57=Lookup!$L$9,INDEX(views[icon],MATCH($E57,views[object_id order],0)),"")</f>
        <v>#N/A</v>
      </c>
      <c r="N57" t="e">
        <f>IF(OR(D57=Lookup!$L$11,D57=Lookup!$L$12),INDEX(views[[1]:[25]],MATCH($E57,views[object_id order],0),G57),"")</f>
        <v>#N/A</v>
      </c>
      <c r="O57" t="str">
        <f t="shared" si="1"/>
        <v/>
      </c>
      <c r="P57" s="8" t="e">
        <f>INDEX(Lookup!$M$5:$M$12,MATCH(D57,Lookup!$L$5:$L$12,0))&amp;
K57&amp;L57&amp;M57&amp;N57&amp;
INDEX(Lookup!$N$5:$N$12,MATCH(D57,Lookup!$L$5:$L$12,0))</f>
        <v>#N/A</v>
      </c>
    </row>
    <row r="58" spans="2:16" x14ac:dyDescent="0.45">
      <c r="B58">
        <f t="shared" si="0"/>
        <v>56</v>
      </c>
      <c r="C58" t="e">
        <f t="shared" si="2"/>
        <v>#N/A</v>
      </c>
      <c r="D58" t="e">
        <f>VLOOKUP(C58,Lookup!$K$5:$L$12,2,FALSE)</f>
        <v>#N/A</v>
      </c>
      <c r="E58" t="e">
        <f>IF(D58=Lookup!$L$5,E57+1,E57)</f>
        <v>#N/A</v>
      </c>
      <c r="F58" s="3" t="e">
        <f>INDEX(views[Entities count],MATCH('view-code'!E58,views[object_id order],0))</f>
        <v>#N/A</v>
      </c>
      <c r="G58" t="e">
        <f>IF(D57=Lookup!$L$10,1,IF(D57=Lookup!$L$11,G57+1,""))</f>
        <v>#N/A</v>
      </c>
      <c r="H58" t="e">
        <f>IF(F58=1,IF(D58=Lookup!$L$10,2,1),IF(G58&lt;F58-1,0,1))</f>
        <v>#N/A</v>
      </c>
      <c r="I58" t="e">
        <f>IF(D58&lt;&gt;Lookup!$L$7,0,IF(INDEX(views[name],MATCH(E58,views[object_id order],0))&lt;&gt;"",0,1))</f>
        <v>#N/A</v>
      </c>
      <c r="J58" t="e">
        <f>IF(D58&lt;&gt;Lookup!$L$7,0,IF(INDEX(views[icon],MATCH(E58,views[object_id order],0))&lt;&gt;"",0,1))</f>
        <v>#N/A</v>
      </c>
      <c r="K58" t="e">
        <f>IF($D58=Lookup!$L$6,INDEX(views[object_id],MATCH($E58,views[object_id order],0)),"")</f>
        <v>#N/A</v>
      </c>
      <c r="L58" t="e">
        <f>IF($D58=Lookup!$L$8,INDEX(views[name],MATCH($E58,views[object_id order],0)),"")</f>
        <v>#N/A</v>
      </c>
      <c r="M58" t="e">
        <f>IF($D58=Lookup!$L$9,INDEX(views[icon],MATCH($E58,views[object_id order],0)),"")</f>
        <v>#N/A</v>
      </c>
      <c r="N58" t="e">
        <f>IF(OR(D58=Lookup!$L$11,D58=Lookup!$L$12),INDEX(views[[1]:[25]],MATCH($E58,views[object_id order],0),G58),"")</f>
        <v>#N/A</v>
      </c>
      <c r="O58" t="str">
        <f t="shared" si="1"/>
        <v/>
      </c>
      <c r="P58" s="8" t="e">
        <f>INDEX(Lookup!$M$5:$M$12,MATCH(D58,Lookup!$L$5:$L$12,0))&amp;
K58&amp;L58&amp;M58&amp;N58&amp;
INDEX(Lookup!$N$5:$N$12,MATCH(D58,Lookup!$L$5:$L$12,0))</f>
        <v>#N/A</v>
      </c>
    </row>
    <row r="59" spans="2:16" x14ac:dyDescent="0.45">
      <c r="B59">
        <f t="shared" si="0"/>
        <v>57</v>
      </c>
      <c r="C59" t="e">
        <f t="shared" si="2"/>
        <v>#N/A</v>
      </c>
      <c r="D59" t="e">
        <f>VLOOKUP(C59,Lookup!$K$5:$L$12,2,FALSE)</f>
        <v>#N/A</v>
      </c>
      <c r="E59" t="e">
        <f>IF(D59=Lookup!$L$5,E58+1,E58)</f>
        <v>#N/A</v>
      </c>
      <c r="F59" s="3" t="e">
        <f>INDEX(views[Entities count],MATCH('view-code'!E59,views[object_id order],0))</f>
        <v>#N/A</v>
      </c>
      <c r="G59" t="e">
        <f>IF(D58=Lookup!$L$10,1,IF(D58=Lookup!$L$11,G58+1,""))</f>
        <v>#N/A</v>
      </c>
      <c r="H59" t="e">
        <f>IF(F59=1,IF(D59=Lookup!$L$10,2,1),IF(G59&lt;F59-1,0,1))</f>
        <v>#N/A</v>
      </c>
      <c r="I59" t="e">
        <f>IF(D59&lt;&gt;Lookup!$L$7,0,IF(INDEX(views[name],MATCH(E59,views[object_id order],0))&lt;&gt;"",0,1))</f>
        <v>#N/A</v>
      </c>
      <c r="J59" t="e">
        <f>IF(D59&lt;&gt;Lookup!$L$7,0,IF(INDEX(views[icon],MATCH(E59,views[object_id order],0))&lt;&gt;"",0,1))</f>
        <v>#N/A</v>
      </c>
      <c r="K59" t="e">
        <f>IF($D59=Lookup!$L$6,INDEX(views[object_id],MATCH($E59,views[object_id order],0)),"")</f>
        <v>#N/A</v>
      </c>
      <c r="L59" t="e">
        <f>IF($D59=Lookup!$L$8,INDEX(views[name],MATCH($E59,views[object_id order],0)),"")</f>
        <v>#N/A</v>
      </c>
      <c r="M59" t="e">
        <f>IF($D59=Lookup!$L$9,INDEX(views[icon],MATCH($E59,views[object_id order],0)),"")</f>
        <v>#N/A</v>
      </c>
      <c r="N59" t="e">
        <f>IF(OR(D59=Lookup!$L$11,D59=Lookup!$L$12),INDEX(views[[1]:[25]],MATCH($E59,views[object_id order],0),G59),"")</f>
        <v>#N/A</v>
      </c>
      <c r="O59" t="str">
        <f t="shared" si="1"/>
        <v/>
      </c>
      <c r="P59" s="8" t="e">
        <f>INDEX(Lookup!$M$5:$M$12,MATCH(D59,Lookup!$L$5:$L$12,0))&amp;
K59&amp;L59&amp;M59&amp;N59&amp;
INDEX(Lookup!$N$5:$N$12,MATCH(D59,Lookup!$L$5:$L$12,0))</f>
        <v>#N/A</v>
      </c>
    </row>
    <row r="60" spans="2:16" x14ac:dyDescent="0.45">
      <c r="B60">
        <f t="shared" si="0"/>
        <v>58</v>
      </c>
      <c r="C60" t="e">
        <f t="shared" si="2"/>
        <v>#N/A</v>
      </c>
      <c r="D60" t="e">
        <f>VLOOKUP(C60,Lookup!$K$5:$L$12,2,FALSE)</f>
        <v>#N/A</v>
      </c>
      <c r="E60" t="e">
        <f>IF(D60=Lookup!$L$5,E59+1,E59)</f>
        <v>#N/A</v>
      </c>
      <c r="F60" s="3" t="e">
        <f>INDEX(views[Entities count],MATCH('view-code'!E60,views[object_id order],0))</f>
        <v>#N/A</v>
      </c>
      <c r="G60" t="e">
        <f>IF(D59=Lookup!$L$10,1,IF(D59=Lookup!$L$11,G59+1,""))</f>
        <v>#N/A</v>
      </c>
      <c r="H60" t="e">
        <f>IF(F60=1,IF(D60=Lookup!$L$10,2,1),IF(G60&lt;F60-1,0,1))</f>
        <v>#N/A</v>
      </c>
      <c r="I60" t="e">
        <f>IF(D60&lt;&gt;Lookup!$L$7,0,IF(INDEX(views[name],MATCH(E60,views[object_id order],0))&lt;&gt;"",0,1))</f>
        <v>#N/A</v>
      </c>
      <c r="J60" t="e">
        <f>IF(D60&lt;&gt;Lookup!$L$7,0,IF(INDEX(views[icon],MATCH(E60,views[object_id order],0))&lt;&gt;"",0,1))</f>
        <v>#N/A</v>
      </c>
      <c r="K60" t="e">
        <f>IF($D60=Lookup!$L$6,INDEX(views[object_id],MATCH($E60,views[object_id order],0)),"")</f>
        <v>#N/A</v>
      </c>
      <c r="L60" t="e">
        <f>IF($D60=Lookup!$L$8,INDEX(views[name],MATCH($E60,views[object_id order],0)),"")</f>
        <v>#N/A</v>
      </c>
      <c r="M60" t="e">
        <f>IF($D60=Lookup!$L$9,INDEX(views[icon],MATCH($E60,views[object_id order],0)),"")</f>
        <v>#N/A</v>
      </c>
      <c r="N60" t="e">
        <f>IF(OR(D60=Lookup!$L$11,D60=Lookup!$L$12),INDEX(views[[1]:[25]],MATCH($E60,views[object_id order],0),G60),"")</f>
        <v>#N/A</v>
      </c>
      <c r="O60" t="str">
        <f t="shared" si="1"/>
        <v/>
      </c>
      <c r="P60" s="8" t="e">
        <f>INDEX(Lookup!$M$5:$M$12,MATCH(D60,Lookup!$L$5:$L$12,0))&amp;
K60&amp;L60&amp;M60&amp;N60&amp;
INDEX(Lookup!$N$5:$N$12,MATCH(D60,Lookup!$L$5:$L$12,0))</f>
        <v>#N/A</v>
      </c>
    </row>
    <row r="61" spans="2:16" x14ac:dyDescent="0.45">
      <c r="B61">
        <f t="shared" si="0"/>
        <v>59</v>
      </c>
      <c r="C61" t="e">
        <f t="shared" si="2"/>
        <v>#N/A</v>
      </c>
      <c r="D61" t="e">
        <f>VLOOKUP(C61,Lookup!$K$5:$L$12,2,FALSE)</f>
        <v>#N/A</v>
      </c>
      <c r="E61" t="e">
        <f>IF(D61=Lookup!$L$5,E60+1,E60)</f>
        <v>#N/A</v>
      </c>
      <c r="F61" s="3" t="e">
        <f>INDEX(views[Entities count],MATCH('view-code'!E61,views[object_id order],0))</f>
        <v>#N/A</v>
      </c>
      <c r="G61" t="e">
        <f>IF(D60=Lookup!$L$10,1,IF(D60=Lookup!$L$11,G60+1,""))</f>
        <v>#N/A</v>
      </c>
      <c r="H61" t="e">
        <f>IF(F61=1,IF(D61=Lookup!$L$10,2,1),IF(G61&lt;F61-1,0,1))</f>
        <v>#N/A</v>
      </c>
      <c r="I61" t="e">
        <f>IF(D61&lt;&gt;Lookup!$L$7,0,IF(INDEX(views[name],MATCH(E61,views[object_id order],0))&lt;&gt;"",0,1))</f>
        <v>#N/A</v>
      </c>
      <c r="J61" t="e">
        <f>IF(D61&lt;&gt;Lookup!$L$7,0,IF(INDEX(views[icon],MATCH(E61,views[object_id order],0))&lt;&gt;"",0,1))</f>
        <v>#N/A</v>
      </c>
      <c r="K61" t="e">
        <f>IF($D61=Lookup!$L$6,INDEX(views[object_id],MATCH($E61,views[object_id order],0)),"")</f>
        <v>#N/A</v>
      </c>
      <c r="L61" t="e">
        <f>IF($D61=Lookup!$L$8,INDEX(views[name],MATCH($E61,views[object_id order],0)),"")</f>
        <v>#N/A</v>
      </c>
      <c r="M61" t="e">
        <f>IF($D61=Lookup!$L$9,INDEX(views[icon],MATCH($E61,views[object_id order],0)),"")</f>
        <v>#N/A</v>
      </c>
      <c r="N61" t="e">
        <f>IF(OR(D61=Lookup!$L$11,D61=Lookup!$L$12),INDEX(views[[1]:[25]],MATCH($E61,views[object_id order],0),G61),"")</f>
        <v>#N/A</v>
      </c>
      <c r="O61" t="str">
        <f t="shared" si="1"/>
        <v/>
      </c>
      <c r="P61" s="8" t="e">
        <f>INDEX(Lookup!$M$5:$M$12,MATCH(D61,Lookup!$L$5:$L$12,0))&amp;
K61&amp;L61&amp;M61&amp;N61&amp;
INDEX(Lookup!$N$5:$N$12,MATCH(D61,Lookup!$L$5:$L$12,0))</f>
        <v>#N/A</v>
      </c>
    </row>
    <row r="62" spans="2:16" x14ac:dyDescent="0.45">
      <c r="B62">
        <f t="shared" si="0"/>
        <v>60</v>
      </c>
      <c r="C62" t="e">
        <f t="shared" si="2"/>
        <v>#N/A</v>
      </c>
      <c r="D62" t="e">
        <f>VLOOKUP(C62,Lookup!$K$5:$L$12,2,FALSE)</f>
        <v>#N/A</v>
      </c>
      <c r="E62" t="e">
        <f>IF(D62=Lookup!$L$5,E61+1,E61)</f>
        <v>#N/A</v>
      </c>
      <c r="F62" s="3" t="e">
        <f>INDEX(views[Entities count],MATCH('view-code'!E62,views[object_id order],0))</f>
        <v>#N/A</v>
      </c>
      <c r="G62" t="e">
        <f>IF(D61=Lookup!$L$10,1,IF(D61=Lookup!$L$11,G61+1,""))</f>
        <v>#N/A</v>
      </c>
      <c r="H62" t="e">
        <f>IF(F62=1,IF(D62=Lookup!$L$10,2,1),IF(G62&lt;F62-1,0,1))</f>
        <v>#N/A</v>
      </c>
      <c r="I62" t="e">
        <f>IF(D62&lt;&gt;Lookup!$L$7,0,IF(INDEX(views[name],MATCH(E62,views[object_id order],0))&lt;&gt;"",0,1))</f>
        <v>#N/A</v>
      </c>
      <c r="J62" t="e">
        <f>IF(D62&lt;&gt;Lookup!$L$7,0,IF(INDEX(views[icon],MATCH(E62,views[object_id order],0))&lt;&gt;"",0,1))</f>
        <v>#N/A</v>
      </c>
      <c r="K62" t="e">
        <f>IF($D62=Lookup!$L$6,INDEX(views[object_id],MATCH($E62,views[object_id order],0)),"")</f>
        <v>#N/A</v>
      </c>
      <c r="L62" t="e">
        <f>IF($D62=Lookup!$L$8,INDEX(views[name],MATCH($E62,views[object_id order],0)),"")</f>
        <v>#N/A</v>
      </c>
      <c r="M62" t="e">
        <f>IF($D62=Lookup!$L$9,INDEX(views[icon],MATCH($E62,views[object_id order],0)),"")</f>
        <v>#N/A</v>
      </c>
      <c r="N62" t="e">
        <f>IF(OR(D62=Lookup!$L$11,D62=Lookup!$L$12),INDEX(views[[1]:[25]],MATCH($E62,views[object_id order],0),G62),"")</f>
        <v>#N/A</v>
      </c>
      <c r="O62" t="str">
        <f t="shared" si="1"/>
        <v/>
      </c>
      <c r="P62" s="8" t="e">
        <f>INDEX(Lookup!$M$5:$M$12,MATCH(D62,Lookup!$L$5:$L$12,0))&amp;
K62&amp;L62&amp;M62&amp;N62&amp;
INDEX(Lookup!$N$5:$N$12,MATCH(D62,Lookup!$L$5:$L$12,0))</f>
        <v>#N/A</v>
      </c>
    </row>
    <row r="63" spans="2:16" x14ac:dyDescent="0.45">
      <c r="B63">
        <f t="shared" si="0"/>
        <v>61</v>
      </c>
      <c r="C63" t="e">
        <f t="shared" si="2"/>
        <v>#N/A</v>
      </c>
      <c r="D63" t="e">
        <f>VLOOKUP(C63,Lookup!$K$5:$L$12,2,FALSE)</f>
        <v>#N/A</v>
      </c>
      <c r="E63" t="e">
        <f>IF(D63=Lookup!$L$5,E62+1,E62)</f>
        <v>#N/A</v>
      </c>
      <c r="F63" s="3" t="e">
        <f>INDEX(views[Entities count],MATCH('view-code'!E63,views[object_id order],0))</f>
        <v>#N/A</v>
      </c>
      <c r="G63" t="e">
        <f>IF(D62=Lookup!$L$10,1,IF(D62=Lookup!$L$11,G62+1,""))</f>
        <v>#N/A</v>
      </c>
      <c r="H63" t="e">
        <f>IF(F63=1,IF(D63=Lookup!$L$10,2,1),IF(G63&lt;F63-1,0,1))</f>
        <v>#N/A</v>
      </c>
      <c r="I63" t="e">
        <f>IF(D63&lt;&gt;Lookup!$L$7,0,IF(INDEX(views[name],MATCH(E63,views[object_id order],0))&lt;&gt;"",0,1))</f>
        <v>#N/A</v>
      </c>
      <c r="J63" t="e">
        <f>IF(D63&lt;&gt;Lookup!$L$7,0,IF(INDEX(views[icon],MATCH(E63,views[object_id order],0))&lt;&gt;"",0,1))</f>
        <v>#N/A</v>
      </c>
      <c r="K63" t="e">
        <f>IF($D63=Lookup!$L$6,INDEX(views[object_id],MATCH($E63,views[object_id order],0)),"")</f>
        <v>#N/A</v>
      </c>
      <c r="L63" t="e">
        <f>IF($D63=Lookup!$L$8,INDEX(views[name],MATCH($E63,views[object_id order],0)),"")</f>
        <v>#N/A</v>
      </c>
      <c r="M63" t="e">
        <f>IF($D63=Lookup!$L$9,INDEX(views[icon],MATCH($E63,views[object_id order],0)),"")</f>
        <v>#N/A</v>
      </c>
      <c r="N63" t="e">
        <f>IF(OR(D63=Lookup!$L$11,D63=Lookup!$L$12),INDEX(views[[1]:[25]],MATCH($E63,views[object_id order],0),G63),"")</f>
        <v>#N/A</v>
      </c>
      <c r="O63" t="str">
        <f t="shared" si="1"/>
        <v/>
      </c>
      <c r="P63" s="8" t="e">
        <f>INDEX(Lookup!$M$5:$M$12,MATCH(D63,Lookup!$L$5:$L$12,0))&amp;
K63&amp;L63&amp;M63&amp;N63&amp;
INDEX(Lookup!$N$5:$N$12,MATCH(D63,Lookup!$L$5:$L$12,0))</f>
        <v>#N/A</v>
      </c>
    </row>
    <row r="64" spans="2:16" x14ac:dyDescent="0.45">
      <c r="B64">
        <f t="shared" si="0"/>
        <v>62</v>
      </c>
      <c r="C64" t="e">
        <f t="shared" si="2"/>
        <v>#N/A</v>
      </c>
      <c r="D64" t="e">
        <f>VLOOKUP(C64,Lookup!$K$5:$L$12,2,FALSE)</f>
        <v>#N/A</v>
      </c>
      <c r="E64" t="e">
        <f>IF(D64=Lookup!$L$5,E63+1,E63)</f>
        <v>#N/A</v>
      </c>
      <c r="F64" s="3" t="e">
        <f>INDEX(views[Entities count],MATCH('view-code'!E64,views[object_id order],0))</f>
        <v>#N/A</v>
      </c>
      <c r="G64" t="e">
        <f>IF(D63=Lookup!$L$10,1,IF(D63=Lookup!$L$11,G63+1,""))</f>
        <v>#N/A</v>
      </c>
      <c r="H64" t="e">
        <f>IF(F64=1,IF(D64=Lookup!$L$10,2,1),IF(G64&lt;F64-1,0,1))</f>
        <v>#N/A</v>
      </c>
      <c r="I64" t="e">
        <f>IF(D64&lt;&gt;Lookup!$L$7,0,IF(INDEX(views[name],MATCH(E64,views[object_id order],0))&lt;&gt;"",0,1))</f>
        <v>#N/A</v>
      </c>
      <c r="J64" t="e">
        <f>IF(D64&lt;&gt;Lookup!$L$7,0,IF(INDEX(views[icon],MATCH(E64,views[object_id order],0))&lt;&gt;"",0,1))</f>
        <v>#N/A</v>
      </c>
      <c r="K64" t="e">
        <f>IF($D64=Lookup!$L$6,INDEX(views[object_id],MATCH($E64,views[object_id order],0)),"")</f>
        <v>#N/A</v>
      </c>
      <c r="L64" t="e">
        <f>IF($D64=Lookup!$L$8,INDEX(views[name],MATCH($E64,views[object_id order],0)),"")</f>
        <v>#N/A</v>
      </c>
      <c r="M64" t="e">
        <f>IF($D64=Lookup!$L$9,INDEX(views[icon],MATCH($E64,views[object_id order],0)),"")</f>
        <v>#N/A</v>
      </c>
      <c r="N64" t="e">
        <f>IF(OR(D64=Lookup!$L$11,D64=Lookup!$L$12),INDEX(views[[1]:[25]],MATCH($E64,views[object_id order],0),G64),"")</f>
        <v>#N/A</v>
      </c>
      <c r="O64" t="str">
        <f t="shared" si="1"/>
        <v/>
      </c>
      <c r="P64" s="8" t="e">
        <f>INDEX(Lookup!$M$5:$M$12,MATCH(D64,Lookup!$L$5:$L$12,0))&amp;
K64&amp;L64&amp;M64&amp;N64&amp;
INDEX(Lookup!$N$5:$N$12,MATCH(D64,Lookup!$L$5:$L$12,0))</f>
        <v>#N/A</v>
      </c>
    </row>
    <row r="65" spans="2:16" x14ac:dyDescent="0.45">
      <c r="B65">
        <f t="shared" si="0"/>
        <v>63</v>
      </c>
      <c r="C65" t="e">
        <f t="shared" si="2"/>
        <v>#N/A</v>
      </c>
      <c r="D65" t="e">
        <f>VLOOKUP(C65,Lookup!$K$5:$L$12,2,FALSE)</f>
        <v>#N/A</v>
      </c>
      <c r="E65" t="e">
        <f>IF(D65=Lookup!$L$5,E64+1,E64)</f>
        <v>#N/A</v>
      </c>
      <c r="F65" s="3" t="e">
        <f>INDEX(views[Entities count],MATCH('view-code'!E65,views[object_id order],0))</f>
        <v>#N/A</v>
      </c>
      <c r="G65" t="e">
        <f>IF(D64=Lookup!$L$10,1,IF(D64=Lookup!$L$11,G64+1,""))</f>
        <v>#N/A</v>
      </c>
      <c r="H65" t="e">
        <f>IF(F65=1,IF(D65=Lookup!$L$10,2,1),IF(G65&lt;F65-1,0,1))</f>
        <v>#N/A</v>
      </c>
      <c r="I65" t="e">
        <f>IF(D65&lt;&gt;Lookup!$L$7,0,IF(INDEX(views[name],MATCH(E65,views[object_id order],0))&lt;&gt;"",0,1))</f>
        <v>#N/A</v>
      </c>
      <c r="J65" t="e">
        <f>IF(D65&lt;&gt;Lookup!$L$7,0,IF(INDEX(views[icon],MATCH(E65,views[object_id order],0))&lt;&gt;"",0,1))</f>
        <v>#N/A</v>
      </c>
      <c r="K65" t="e">
        <f>IF($D65=Lookup!$L$6,INDEX(views[object_id],MATCH($E65,views[object_id order],0)),"")</f>
        <v>#N/A</v>
      </c>
      <c r="L65" t="e">
        <f>IF($D65=Lookup!$L$8,INDEX(views[name],MATCH($E65,views[object_id order],0)),"")</f>
        <v>#N/A</v>
      </c>
      <c r="M65" t="e">
        <f>IF($D65=Lookup!$L$9,INDEX(views[icon],MATCH($E65,views[object_id order],0)),"")</f>
        <v>#N/A</v>
      </c>
      <c r="N65" t="e">
        <f>IF(OR(D65=Lookup!$L$11,D65=Lookup!$L$12),INDEX(views[[1]:[25]],MATCH($E65,views[object_id order],0),G65),"")</f>
        <v>#N/A</v>
      </c>
      <c r="O65" t="str">
        <f t="shared" si="1"/>
        <v/>
      </c>
      <c r="P65" s="8" t="e">
        <f>INDEX(Lookup!$M$5:$M$12,MATCH(D65,Lookup!$L$5:$L$12,0))&amp;
K65&amp;L65&amp;M65&amp;N65&amp;
INDEX(Lookup!$N$5:$N$12,MATCH(D65,Lookup!$L$5:$L$12,0))</f>
        <v>#N/A</v>
      </c>
    </row>
    <row r="66" spans="2:16" x14ac:dyDescent="0.45">
      <c r="B66">
        <f t="shared" si="0"/>
        <v>64</v>
      </c>
      <c r="C66" t="e">
        <f t="shared" si="2"/>
        <v>#N/A</v>
      </c>
      <c r="D66" t="e">
        <f>VLOOKUP(C66,Lookup!$K$5:$L$12,2,FALSE)</f>
        <v>#N/A</v>
      </c>
      <c r="E66" t="e">
        <f>IF(D66=Lookup!$L$5,E65+1,E65)</f>
        <v>#N/A</v>
      </c>
      <c r="F66" s="3" t="e">
        <f>INDEX(views[Entities count],MATCH('view-code'!E66,views[object_id order],0))</f>
        <v>#N/A</v>
      </c>
      <c r="G66" t="e">
        <f>IF(D65=Lookup!$L$10,1,IF(D65=Lookup!$L$11,G65+1,""))</f>
        <v>#N/A</v>
      </c>
      <c r="H66" t="e">
        <f>IF(F66=1,IF(D66=Lookup!$L$10,2,1),IF(G66&lt;F66-1,0,1))</f>
        <v>#N/A</v>
      </c>
      <c r="I66" t="e">
        <f>IF(D66&lt;&gt;Lookup!$L$7,0,IF(INDEX(views[name],MATCH(E66,views[object_id order],0))&lt;&gt;"",0,1))</f>
        <v>#N/A</v>
      </c>
      <c r="J66" t="e">
        <f>IF(D66&lt;&gt;Lookup!$L$7,0,IF(INDEX(views[icon],MATCH(E66,views[object_id order],0))&lt;&gt;"",0,1))</f>
        <v>#N/A</v>
      </c>
      <c r="K66" t="e">
        <f>IF($D66=Lookup!$L$6,INDEX(views[object_id],MATCH($E66,views[object_id order],0)),"")</f>
        <v>#N/A</v>
      </c>
      <c r="L66" t="e">
        <f>IF($D66=Lookup!$L$8,INDEX(views[name],MATCH($E66,views[object_id order],0)),"")</f>
        <v>#N/A</v>
      </c>
      <c r="M66" t="e">
        <f>IF($D66=Lookup!$L$9,INDEX(views[icon],MATCH($E66,views[object_id order],0)),"")</f>
        <v>#N/A</v>
      </c>
      <c r="N66" t="e">
        <f>IF(OR(D66=Lookup!$L$11,D66=Lookup!$L$12),INDEX(views[[1]:[25]],MATCH($E66,views[object_id order],0),G66),"")</f>
        <v>#N/A</v>
      </c>
      <c r="O66" t="str">
        <f t="shared" si="1"/>
        <v/>
      </c>
      <c r="P66" s="8" t="e">
        <f>INDEX(Lookup!$M$5:$M$12,MATCH(D66,Lookup!$L$5:$L$12,0))&amp;
K66&amp;L66&amp;M66&amp;N66&amp;
INDEX(Lookup!$N$5:$N$12,MATCH(D66,Lookup!$L$5:$L$12,0))</f>
        <v>#N/A</v>
      </c>
    </row>
    <row r="67" spans="2:16" x14ac:dyDescent="0.45">
      <c r="B67">
        <f t="shared" si="0"/>
        <v>65</v>
      </c>
      <c r="C67" t="e">
        <f t="shared" si="2"/>
        <v>#N/A</v>
      </c>
      <c r="D67" t="e">
        <f>VLOOKUP(C67,Lookup!$K$5:$L$12,2,FALSE)</f>
        <v>#N/A</v>
      </c>
      <c r="E67" t="e">
        <f>IF(D67=Lookup!$L$5,E66+1,E66)</f>
        <v>#N/A</v>
      </c>
      <c r="F67" s="3" t="e">
        <f>INDEX(views[Entities count],MATCH('view-code'!E67,views[object_id order],0))</f>
        <v>#N/A</v>
      </c>
      <c r="G67" t="e">
        <f>IF(D66=Lookup!$L$10,1,IF(D66=Lookup!$L$11,G66+1,""))</f>
        <v>#N/A</v>
      </c>
      <c r="H67" t="e">
        <f>IF(F67=1,IF(D67=Lookup!$L$10,2,1),IF(G67&lt;F67-1,0,1))</f>
        <v>#N/A</v>
      </c>
      <c r="I67" t="e">
        <f>IF(D67&lt;&gt;Lookup!$L$7,0,IF(INDEX(views[name],MATCH(E67,views[object_id order],0))&lt;&gt;"",0,1))</f>
        <v>#N/A</v>
      </c>
      <c r="J67" t="e">
        <f>IF(D67&lt;&gt;Lookup!$L$7,0,IF(INDEX(views[icon],MATCH(E67,views[object_id order],0))&lt;&gt;"",0,1))</f>
        <v>#N/A</v>
      </c>
      <c r="K67" t="e">
        <f>IF($D67=Lookup!$L$6,INDEX(views[object_id],MATCH($E67,views[object_id order],0)),"")</f>
        <v>#N/A</v>
      </c>
      <c r="L67" t="e">
        <f>IF($D67=Lookup!$L$8,INDEX(views[name],MATCH($E67,views[object_id order],0)),"")</f>
        <v>#N/A</v>
      </c>
      <c r="M67" t="e">
        <f>IF($D67=Lookup!$L$9,INDEX(views[icon],MATCH($E67,views[object_id order],0)),"")</f>
        <v>#N/A</v>
      </c>
      <c r="N67" t="e">
        <f>IF(OR(D67=Lookup!$L$11,D67=Lookup!$L$12),INDEX(views[[1]:[25]],MATCH($E67,views[object_id order],0),G67),"")</f>
        <v>#N/A</v>
      </c>
      <c r="O67" t="str">
        <f t="shared" si="1"/>
        <v/>
      </c>
      <c r="P67" s="8" t="e">
        <f>INDEX(Lookup!$M$5:$M$12,MATCH(D67,Lookup!$L$5:$L$12,0))&amp;
K67&amp;L67&amp;M67&amp;N67&amp;
INDEX(Lookup!$N$5:$N$12,MATCH(D67,Lookup!$L$5:$L$12,0))</f>
        <v>#N/A</v>
      </c>
    </row>
    <row r="68" spans="2:16" x14ac:dyDescent="0.45">
      <c r="B68">
        <f t="shared" si="0"/>
        <v>66</v>
      </c>
      <c r="C68" t="e">
        <f t="shared" si="2"/>
        <v>#N/A</v>
      </c>
      <c r="D68" t="e">
        <f>VLOOKUP(C68,Lookup!$K$5:$L$12,2,FALSE)</f>
        <v>#N/A</v>
      </c>
      <c r="E68" t="e">
        <f>IF(D68=Lookup!$L$5,E67+1,E67)</f>
        <v>#N/A</v>
      </c>
      <c r="F68" s="3" t="e">
        <f>INDEX(views[Entities count],MATCH('view-code'!E68,views[object_id order],0))</f>
        <v>#N/A</v>
      </c>
      <c r="G68" t="e">
        <f>IF(D67=Lookup!$L$10,1,IF(D67=Lookup!$L$11,G67+1,""))</f>
        <v>#N/A</v>
      </c>
      <c r="H68" t="e">
        <f>IF(F68=1,IF(D68=Lookup!$L$10,2,1),IF(G68&lt;F68-1,0,1))</f>
        <v>#N/A</v>
      </c>
      <c r="I68" t="e">
        <f>IF(D68&lt;&gt;Lookup!$L$7,0,IF(INDEX(views[name],MATCH(E68,views[object_id order],0))&lt;&gt;"",0,1))</f>
        <v>#N/A</v>
      </c>
      <c r="J68" t="e">
        <f>IF(D68&lt;&gt;Lookup!$L$7,0,IF(INDEX(views[icon],MATCH(E68,views[object_id order],0))&lt;&gt;"",0,1))</f>
        <v>#N/A</v>
      </c>
      <c r="K68" t="e">
        <f>IF($D68=Lookup!$L$6,INDEX(views[object_id],MATCH($E68,views[object_id order],0)),"")</f>
        <v>#N/A</v>
      </c>
      <c r="L68" t="e">
        <f>IF($D68=Lookup!$L$8,INDEX(views[name],MATCH($E68,views[object_id order],0)),"")</f>
        <v>#N/A</v>
      </c>
      <c r="M68" t="e">
        <f>IF($D68=Lookup!$L$9,INDEX(views[icon],MATCH($E68,views[object_id order],0)),"")</f>
        <v>#N/A</v>
      </c>
      <c r="N68" t="e">
        <f>IF(OR(D68=Lookup!$L$11,D68=Lookup!$L$12),INDEX(views[[1]:[25]],MATCH($E68,views[object_id order],0),G68),"")</f>
        <v>#N/A</v>
      </c>
      <c r="O68" t="str">
        <f t="shared" si="1"/>
        <v/>
      </c>
      <c r="P68" s="8" t="e">
        <f>INDEX(Lookup!$M$5:$M$12,MATCH(D68,Lookup!$L$5:$L$12,0))&amp;
K68&amp;L68&amp;M68&amp;N68&amp;
INDEX(Lookup!$N$5:$N$12,MATCH(D68,Lookup!$L$5:$L$12,0))</f>
        <v>#N/A</v>
      </c>
    </row>
    <row r="69" spans="2:16" x14ac:dyDescent="0.45">
      <c r="B69">
        <f t="shared" ref="B69:B132" si="3">B68+1</f>
        <v>67</v>
      </c>
      <c r="C69" t="e">
        <f t="shared" si="2"/>
        <v>#N/A</v>
      </c>
      <c r="D69" t="e">
        <f>VLOOKUP(C69,Lookup!$K$5:$L$12,2,FALSE)</f>
        <v>#N/A</v>
      </c>
      <c r="E69" t="e">
        <f>IF(D69=Lookup!$L$5,E68+1,E68)</f>
        <v>#N/A</v>
      </c>
      <c r="F69" s="3" t="e">
        <f>INDEX(views[Entities count],MATCH('view-code'!E69,views[object_id order],0))</f>
        <v>#N/A</v>
      </c>
      <c r="G69" t="e">
        <f>IF(D68=Lookup!$L$10,1,IF(D68=Lookup!$L$11,G68+1,""))</f>
        <v>#N/A</v>
      </c>
      <c r="H69" t="e">
        <f>IF(F69=1,IF(D69=Lookup!$L$10,2,1),IF(G69&lt;F69-1,0,1))</f>
        <v>#N/A</v>
      </c>
      <c r="I69" t="e">
        <f>IF(D69&lt;&gt;Lookup!$L$7,0,IF(INDEX(views[name],MATCH(E69,views[object_id order],0))&lt;&gt;"",0,1))</f>
        <v>#N/A</v>
      </c>
      <c r="J69" t="e">
        <f>IF(D69&lt;&gt;Lookup!$L$7,0,IF(INDEX(views[icon],MATCH(E69,views[object_id order],0))&lt;&gt;"",0,1))</f>
        <v>#N/A</v>
      </c>
      <c r="K69" t="e">
        <f>IF($D69=Lookup!$L$6,INDEX(views[object_id],MATCH($E69,views[object_id order],0)),"")</f>
        <v>#N/A</v>
      </c>
      <c r="L69" t="e">
        <f>IF($D69=Lookup!$L$8,INDEX(views[name],MATCH($E69,views[object_id order],0)),"")</f>
        <v>#N/A</v>
      </c>
      <c r="M69" t="e">
        <f>IF($D69=Lookup!$L$9,INDEX(views[icon],MATCH($E69,views[object_id order],0)),"")</f>
        <v>#N/A</v>
      </c>
      <c r="N69" t="e">
        <f>IF(OR(D69=Lookup!$L$11,D69=Lookup!$L$12),INDEX(views[[1]:[25]],MATCH($E69,views[object_id order],0),G69),"")</f>
        <v>#N/A</v>
      </c>
      <c r="O69" t="str">
        <f t="shared" ref="O69:O132" si="4">IF(AND(NOT(ISNA(F68)),ISNA(F69)),"END","")</f>
        <v/>
      </c>
      <c r="P69" s="8" t="e">
        <f>INDEX(Lookup!$M$5:$M$12,MATCH(D69,Lookup!$L$5:$L$12,0))&amp;
K69&amp;L69&amp;M69&amp;N69&amp;
INDEX(Lookup!$N$5:$N$12,MATCH(D69,Lookup!$L$5:$L$12,0))</f>
        <v>#N/A</v>
      </c>
    </row>
    <row r="70" spans="2:16" x14ac:dyDescent="0.45">
      <c r="B70">
        <f t="shared" si="3"/>
        <v>68</v>
      </c>
      <c r="C70" t="e">
        <f t="shared" si="2"/>
        <v>#N/A</v>
      </c>
      <c r="D70" t="e">
        <f>VLOOKUP(C70,Lookup!$K$5:$L$12,2,FALSE)</f>
        <v>#N/A</v>
      </c>
      <c r="E70" t="e">
        <f>IF(D70=Lookup!$L$5,E69+1,E69)</f>
        <v>#N/A</v>
      </c>
      <c r="F70" s="3" t="e">
        <f>INDEX(views[Entities count],MATCH('view-code'!E70,views[object_id order],0))</f>
        <v>#N/A</v>
      </c>
      <c r="G70" t="e">
        <f>IF(D69=Lookup!$L$10,1,IF(D69=Lookup!$L$11,G69+1,""))</f>
        <v>#N/A</v>
      </c>
      <c r="H70" t="e">
        <f>IF(F70=1,IF(D70=Lookup!$L$10,2,1),IF(G70&lt;F70-1,0,1))</f>
        <v>#N/A</v>
      </c>
      <c r="I70" t="e">
        <f>IF(D70&lt;&gt;Lookup!$L$7,0,IF(INDEX(views[name],MATCH(E70,views[object_id order],0))&lt;&gt;"",0,1))</f>
        <v>#N/A</v>
      </c>
      <c r="J70" t="e">
        <f>IF(D70&lt;&gt;Lookup!$L$7,0,IF(INDEX(views[icon],MATCH(E70,views[object_id order],0))&lt;&gt;"",0,1))</f>
        <v>#N/A</v>
      </c>
      <c r="K70" t="e">
        <f>IF($D70=Lookup!$L$6,INDEX(views[object_id],MATCH($E70,views[object_id order],0)),"")</f>
        <v>#N/A</v>
      </c>
      <c r="L70" t="e">
        <f>IF($D70=Lookup!$L$8,INDEX(views[name],MATCH($E70,views[object_id order],0)),"")</f>
        <v>#N/A</v>
      </c>
      <c r="M70" t="e">
        <f>IF($D70=Lookup!$L$9,INDEX(views[icon],MATCH($E70,views[object_id order],0)),"")</f>
        <v>#N/A</v>
      </c>
      <c r="N70" t="e">
        <f>IF(OR(D70=Lookup!$L$11,D70=Lookup!$L$12),INDEX(views[[1]:[25]],MATCH($E70,views[object_id order],0),G70),"")</f>
        <v>#N/A</v>
      </c>
      <c r="O70" t="str">
        <f t="shared" si="4"/>
        <v/>
      </c>
      <c r="P70" s="8" t="e">
        <f>INDEX(Lookup!$M$5:$M$12,MATCH(D70,Lookup!$L$5:$L$12,0))&amp;
K70&amp;L70&amp;M70&amp;N70&amp;
INDEX(Lookup!$N$5:$N$12,MATCH(D70,Lookup!$L$5:$L$12,0))</f>
        <v>#N/A</v>
      </c>
    </row>
    <row r="71" spans="2:16" x14ac:dyDescent="0.45">
      <c r="B71">
        <f t="shared" si="3"/>
        <v>69</v>
      </c>
      <c r="C71" t="e">
        <f t="shared" ref="C71:C134" si="5">IF(C70=8,  1,  C70+SUM(H70:J70)  )</f>
        <v>#N/A</v>
      </c>
      <c r="D71" t="e">
        <f>VLOOKUP(C71,Lookup!$K$5:$L$12,2,FALSE)</f>
        <v>#N/A</v>
      </c>
      <c r="E71" t="e">
        <f>IF(D71=Lookup!$L$5,E70+1,E70)</f>
        <v>#N/A</v>
      </c>
      <c r="F71" s="3" t="e">
        <f>INDEX(views[Entities count],MATCH('view-code'!E71,views[object_id order],0))</f>
        <v>#N/A</v>
      </c>
      <c r="G71" t="e">
        <f>IF(D70=Lookup!$L$10,1,IF(D70=Lookup!$L$11,G70+1,""))</f>
        <v>#N/A</v>
      </c>
      <c r="H71" t="e">
        <f>IF(F71=1,IF(D71=Lookup!$L$10,2,1),IF(G71&lt;F71-1,0,1))</f>
        <v>#N/A</v>
      </c>
      <c r="I71" t="e">
        <f>IF(D71&lt;&gt;Lookup!$L$7,0,IF(INDEX(views[name],MATCH(E71,views[object_id order],0))&lt;&gt;"",0,1))</f>
        <v>#N/A</v>
      </c>
      <c r="J71" t="e">
        <f>IF(D71&lt;&gt;Lookup!$L$7,0,IF(INDEX(views[icon],MATCH(E71,views[object_id order],0))&lt;&gt;"",0,1))</f>
        <v>#N/A</v>
      </c>
      <c r="K71" t="e">
        <f>IF($D71=Lookup!$L$6,INDEX(views[object_id],MATCH($E71,views[object_id order],0)),"")</f>
        <v>#N/A</v>
      </c>
      <c r="L71" t="e">
        <f>IF($D71=Lookup!$L$8,INDEX(views[name],MATCH($E71,views[object_id order],0)),"")</f>
        <v>#N/A</v>
      </c>
      <c r="M71" t="e">
        <f>IF($D71=Lookup!$L$9,INDEX(views[icon],MATCH($E71,views[object_id order],0)),"")</f>
        <v>#N/A</v>
      </c>
      <c r="N71" t="e">
        <f>IF(OR(D71=Lookup!$L$11,D71=Lookup!$L$12),INDEX(views[[1]:[25]],MATCH($E71,views[object_id order],0),G71),"")</f>
        <v>#N/A</v>
      </c>
      <c r="O71" t="str">
        <f t="shared" si="4"/>
        <v/>
      </c>
      <c r="P71" s="8" t="e">
        <f>INDEX(Lookup!$M$5:$M$12,MATCH(D71,Lookup!$L$5:$L$12,0))&amp;
K71&amp;L71&amp;M71&amp;N71&amp;
INDEX(Lookup!$N$5:$N$12,MATCH(D71,Lookup!$L$5:$L$12,0))</f>
        <v>#N/A</v>
      </c>
    </row>
    <row r="72" spans="2:16" x14ac:dyDescent="0.45">
      <c r="B72">
        <f t="shared" si="3"/>
        <v>70</v>
      </c>
      <c r="C72" t="e">
        <f t="shared" si="5"/>
        <v>#N/A</v>
      </c>
      <c r="D72" t="e">
        <f>VLOOKUP(C72,Lookup!$K$5:$L$12,2,FALSE)</f>
        <v>#N/A</v>
      </c>
      <c r="E72" t="e">
        <f>IF(D72=Lookup!$L$5,E71+1,E71)</f>
        <v>#N/A</v>
      </c>
      <c r="F72" s="3" t="e">
        <f>INDEX(views[Entities count],MATCH('view-code'!E72,views[object_id order],0))</f>
        <v>#N/A</v>
      </c>
      <c r="G72" t="e">
        <f>IF(D71=Lookup!$L$10,1,IF(D71=Lookup!$L$11,G71+1,""))</f>
        <v>#N/A</v>
      </c>
      <c r="H72" t="e">
        <f>IF(F72=1,IF(D72=Lookup!$L$10,2,1),IF(G72&lt;F72-1,0,1))</f>
        <v>#N/A</v>
      </c>
      <c r="I72" t="e">
        <f>IF(D72&lt;&gt;Lookup!$L$7,0,IF(INDEX(views[name],MATCH(E72,views[object_id order],0))&lt;&gt;"",0,1))</f>
        <v>#N/A</v>
      </c>
      <c r="J72" t="e">
        <f>IF(D72&lt;&gt;Lookup!$L$7,0,IF(INDEX(views[icon],MATCH(E72,views[object_id order],0))&lt;&gt;"",0,1))</f>
        <v>#N/A</v>
      </c>
      <c r="K72" t="e">
        <f>IF($D72=Lookup!$L$6,INDEX(views[object_id],MATCH($E72,views[object_id order],0)),"")</f>
        <v>#N/A</v>
      </c>
      <c r="L72" t="e">
        <f>IF($D72=Lookup!$L$8,INDEX(views[name],MATCH($E72,views[object_id order],0)),"")</f>
        <v>#N/A</v>
      </c>
      <c r="M72" t="e">
        <f>IF($D72=Lookup!$L$9,INDEX(views[icon],MATCH($E72,views[object_id order],0)),"")</f>
        <v>#N/A</v>
      </c>
      <c r="N72" t="e">
        <f>IF(OR(D72=Lookup!$L$11,D72=Lookup!$L$12),INDEX(views[[1]:[25]],MATCH($E72,views[object_id order],0),G72),"")</f>
        <v>#N/A</v>
      </c>
      <c r="O72" t="str">
        <f t="shared" si="4"/>
        <v/>
      </c>
      <c r="P72" s="8" t="e">
        <f>INDEX(Lookup!$M$5:$M$12,MATCH(D72,Lookup!$L$5:$L$12,0))&amp;
K72&amp;L72&amp;M72&amp;N72&amp;
INDEX(Lookup!$N$5:$N$12,MATCH(D72,Lookup!$L$5:$L$12,0))</f>
        <v>#N/A</v>
      </c>
    </row>
    <row r="73" spans="2:16" x14ac:dyDescent="0.45">
      <c r="B73">
        <f t="shared" si="3"/>
        <v>71</v>
      </c>
      <c r="C73" t="e">
        <f t="shared" si="5"/>
        <v>#N/A</v>
      </c>
      <c r="D73" t="e">
        <f>VLOOKUP(C73,Lookup!$K$5:$L$12,2,FALSE)</f>
        <v>#N/A</v>
      </c>
      <c r="E73" t="e">
        <f>IF(D73=Lookup!$L$5,E72+1,E72)</f>
        <v>#N/A</v>
      </c>
      <c r="F73" s="3" t="e">
        <f>INDEX(views[Entities count],MATCH('view-code'!E73,views[object_id order],0))</f>
        <v>#N/A</v>
      </c>
      <c r="G73" t="e">
        <f>IF(D72=Lookup!$L$10,1,IF(D72=Lookup!$L$11,G72+1,""))</f>
        <v>#N/A</v>
      </c>
      <c r="H73" t="e">
        <f>IF(F73=1,IF(D73=Lookup!$L$10,2,1),IF(G73&lt;F73-1,0,1))</f>
        <v>#N/A</v>
      </c>
      <c r="I73" t="e">
        <f>IF(D73&lt;&gt;Lookup!$L$7,0,IF(INDEX(views[name],MATCH(E73,views[object_id order],0))&lt;&gt;"",0,1))</f>
        <v>#N/A</v>
      </c>
      <c r="J73" t="e">
        <f>IF(D73&lt;&gt;Lookup!$L$7,0,IF(INDEX(views[icon],MATCH(E73,views[object_id order],0))&lt;&gt;"",0,1))</f>
        <v>#N/A</v>
      </c>
      <c r="K73" t="e">
        <f>IF($D73=Lookup!$L$6,INDEX(views[object_id],MATCH($E73,views[object_id order],0)),"")</f>
        <v>#N/A</v>
      </c>
      <c r="L73" t="e">
        <f>IF($D73=Lookup!$L$8,INDEX(views[name],MATCH($E73,views[object_id order],0)),"")</f>
        <v>#N/A</v>
      </c>
      <c r="M73" t="e">
        <f>IF($D73=Lookup!$L$9,INDEX(views[icon],MATCH($E73,views[object_id order],0)),"")</f>
        <v>#N/A</v>
      </c>
      <c r="N73" t="e">
        <f>IF(OR(D73=Lookup!$L$11,D73=Lookup!$L$12),INDEX(views[[1]:[25]],MATCH($E73,views[object_id order],0),G73),"")</f>
        <v>#N/A</v>
      </c>
      <c r="O73" t="str">
        <f t="shared" si="4"/>
        <v/>
      </c>
      <c r="P73" s="8" t="e">
        <f>INDEX(Lookup!$M$5:$M$12,MATCH(D73,Lookup!$L$5:$L$12,0))&amp;
K73&amp;L73&amp;M73&amp;N73&amp;
INDEX(Lookup!$N$5:$N$12,MATCH(D73,Lookup!$L$5:$L$12,0))</f>
        <v>#N/A</v>
      </c>
    </row>
    <row r="74" spans="2:16" x14ac:dyDescent="0.45">
      <c r="B74">
        <f t="shared" si="3"/>
        <v>72</v>
      </c>
      <c r="C74" t="e">
        <f t="shared" si="5"/>
        <v>#N/A</v>
      </c>
      <c r="D74" t="e">
        <f>VLOOKUP(C74,Lookup!$K$5:$L$12,2,FALSE)</f>
        <v>#N/A</v>
      </c>
      <c r="E74" t="e">
        <f>IF(D74=Lookup!$L$5,E73+1,E73)</f>
        <v>#N/A</v>
      </c>
      <c r="F74" s="3" t="e">
        <f>INDEX(views[Entities count],MATCH('view-code'!E74,views[object_id order],0))</f>
        <v>#N/A</v>
      </c>
      <c r="G74" t="e">
        <f>IF(D73=Lookup!$L$10,1,IF(D73=Lookup!$L$11,G73+1,""))</f>
        <v>#N/A</v>
      </c>
      <c r="H74" t="e">
        <f>IF(F74=1,IF(D74=Lookup!$L$10,2,1),IF(G74&lt;F74-1,0,1))</f>
        <v>#N/A</v>
      </c>
      <c r="I74" t="e">
        <f>IF(D74&lt;&gt;Lookup!$L$7,0,IF(INDEX(views[name],MATCH(E74,views[object_id order],0))&lt;&gt;"",0,1))</f>
        <v>#N/A</v>
      </c>
      <c r="J74" t="e">
        <f>IF(D74&lt;&gt;Lookup!$L$7,0,IF(INDEX(views[icon],MATCH(E74,views[object_id order],0))&lt;&gt;"",0,1))</f>
        <v>#N/A</v>
      </c>
      <c r="K74" t="e">
        <f>IF($D74=Lookup!$L$6,INDEX(views[object_id],MATCH($E74,views[object_id order],0)),"")</f>
        <v>#N/A</v>
      </c>
      <c r="L74" t="e">
        <f>IF($D74=Lookup!$L$8,INDEX(views[name],MATCH($E74,views[object_id order],0)),"")</f>
        <v>#N/A</v>
      </c>
      <c r="M74" t="e">
        <f>IF($D74=Lookup!$L$9,INDEX(views[icon],MATCH($E74,views[object_id order],0)),"")</f>
        <v>#N/A</v>
      </c>
      <c r="N74" t="e">
        <f>IF(OR(D74=Lookup!$L$11,D74=Lookup!$L$12),INDEX(views[[1]:[25]],MATCH($E74,views[object_id order],0),G74),"")</f>
        <v>#N/A</v>
      </c>
      <c r="O74" t="str">
        <f t="shared" si="4"/>
        <v/>
      </c>
      <c r="P74" s="8" t="e">
        <f>INDEX(Lookup!$M$5:$M$12,MATCH(D74,Lookup!$L$5:$L$12,0))&amp;
K74&amp;L74&amp;M74&amp;N74&amp;
INDEX(Lookup!$N$5:$N$12,MATCH(D74,Lookup!$L$5:$L$12,0))</f>
        <v>#N/A</v>
      </c>
    </row>
    <row r="75" spans="2:16" x14ac:dyDescent="0.45">
      <c r="B75">
        <f t="shared" si="3"/>
        <v>73</v>
      </c>
      <c r="C75" t="e">
        <f t="shared" si="5"/>
        <v>#N/A</v>
      </c>
      <c r="D75" t="e">
        <f>VLOOKUP(C75,Lookup!$K$5:$L$12,2,FALSE)</f>
        <v>#N/A</v>
      </c>
      <c r="E75" t="e">
        <f>IF(D75=Lookup!$L$5,E74+1,E74)</f>
        <v>#N/A</v>
      </c>
      <c r="F75" s="3" t="e">
        <f>INDEX(views[Entities count],MATCH('view-code'!E75,views[object_id order],0))</f>
        <v>#N/A</v>
      </c>
      <c r="G75" t="e">
        <f>IF(D74=Lookup!$L$10,1,IF(D74=Lookup!$L$11,G74+1,""))</f>
        <v>#N/A</v>
      </c>
      <c r="H75" t="e">
        <f>IF(F75=1,IF(D75=Lookup!$L$10,2,1),IF(G75&lt;F75-1,0,1))</f>
        <v>#N/A</v>
      </c>
      <c r="I75" t="e">
        <f>IF(D75&lt;&gt;Lookup!$L$7,0,IF(INDEX(views[name],MATCH(E75,views[object_id order],0))&lt;&gt;"",0,1))</f>
        <v>#N/A</v>
      </c>
      <c r="J75" t="e">
        <f>IF(D75&lt;&gt;Lookup!$L$7,0,IF(INDEX(views[icon],MATCH(E75,views[object_id order],0))&lt;&gt;"",0,1))</f>
        <v>#N/A</v>
      </c>
      <c r="K75" t="e">
        <f>IF($D75=Lookup!$L$6,INDEX(views[object_id],MATCH($E75,views[object_id order],0)),"")</f>
        <v>#N/A</v>
      </c>
      <c r="L75" t="e">
        <f>IF($D75=Lookup!$L$8,INDEX(views[name],MATCH($E75,views[object_id order],0)),"")</f>
        <v>#N/A</v>
      </c>
      <c r="M75" t="e">
        <f>IF($D75=Lookup!$L$9,INDEX(views[icon],MATCH($E75,views[object_id order],0)),"")</f>
        <v>#N/A</v>
      </c>
      <c r="N75" t="e">
        <f>IF(OR(D75=Lookup!$L$11,D75=Lookup!$L$12),INDEX(views[[1]:[25]],MATCH($E75,views[object_id order],0),G75),"")</f>
        <v>#N/A</v>
      </c>
      <c r="O75" t="str">
        <f t="shared" si="4"/>
        <v/>
      </c>
      <c r="P75" s="8" t="e">
        <f>INDEX(Lookup!$M$5:$M$12,MATCH(D75,Lookup!$L$5:$L$12,0))&amp;
K75&amp;L75&amp;M75&amp;N75&amp;
INDEX(Lookup!$N$5:$N$12,MATCH(D75,Lookup!$L$5:$L$12,0))</f>
        <v>#N/A</v>
      </c>
    </row>
    <row r="76" spans="2:16" x14ac:dyDescent="0.45">
      <c r="B76">
        <f t="shared" si="3"/>
        <v>74</v>
      </c>
      <c r="C76" t="e">
        <f t="shared" si="5"/>
        <v>#N/A</v>
      </c>
      <c r="D76" t="e">
        <f>VLOOKUP(C76,Lookup!$K$5:$L$12,2,FALSE)</f>
        <v>#N/A</v>
      </c>
      <c r="E76" t="e">
        <f>IF(D76=Lookup!$L$5,E75+1,E75)</f>
        <v>#N/A</v>
      </c>
      <c r="F76" s="3" t="e">
        <f>INDEX(views[Entities count],MATCH('view-code'!E76,views[object_id order],0))</f>
        <v>#N/A</v>
      </c>
      <c r="G76" t="e">
        <f>IF(D75=Lookup!$L$10,1,IF(D75=Lookup!$L$11,G75+1,""))</f>
        <v>#N/A</v>
      </c>
      <c r="H76" t="e">
        <f>IF(F76=1,IF(D76=Lookup!$L$10,2,1),IF(G76&lt;F76-1,0,1))</f>
        <v>#N/A</v>
      </c>
      <c r="I76" t="e">
        <f>IF(D76&lt;&gt;Lookup!$L$7,0,IF(INDEX(views[name],MATCH(E76,views[object_id order],0))&lt;&gt;"",0,1))</f>
        <v>#N/A</v>
      </c>
      <c r="J76" t="e">
        <f>IF(D76&lt;&gt;Lookup!$L$7,0,IF(INDEX(views[icon],MATCH(E76,views[object_id order],0))&lt;&gt;"",0,1))</f>
        <v>#N/A</v>
      </c>
      <c r="K76" t="e">
        <f>IF($D76=Lookup!$L$6,INDEX(views[object_id],MATCH($E76,views[object_id order],0)),"")</f>
        <v>#N/A</v>
      </c>
      <c r="L76" t="e">
        <f>IF($D76=Lookup!$L$8,INDEX(views[name],MATCH($E76,views[object_id order],0)),"")</f>
        <v>#N/A</v>
      </c>
      <c r="M76" t="e">
        <f>IF($D76=Lookup!$L$9,INDEX(views[icon],MATCH($E76,views[object_id order],0)),"")</f>
        <v>#N/A</v>
      </c>
      <c r="N76" t="e">
        <f>IF(OR(D76=Lookup!$L$11,D76=Lookup!$L$12),INDEX(views[[1]:[25]],MATCH($E76,views[object_id order],0),G76),"")</f>
        <v>#N/A</v>
      </c>
      <c r="O76" t="str">
        <f t="shared" si="4"/>
        <v/>
      </c>
      <c r="P76" s="8" t="e">
        <f>INDEX(Lookup!$M$5:$M$12,MATCH(D76,Lookup!$L$5:$L$12,0))&amp;
K76&amp;L76&amp;M76&amp;N76&amp;
INDEX(Lookup!$N$5:$N$12,MATCH(D76,Lookup!$L$5:$L$12,0))</f>
        <v>#N/A</v>
      </c>
    </row>
    <row r="77" spans="2:16" x14ac:dyDescent="0.45">
      <c r="B77">
        <f t="shared" si="3"/>
        <v>75</v>
      </c>
      <c r="C77" t="e">
        <f t="shared" si="5"/>
        <v>#N/A</v>
      </c>
      <c r="D77" t="e">
        <f>VLOOKUP(C77,Lookup!$K$5:$L$12,2,FALSE)</f>
        <v>#N/A</v>
      </c>
      <c r="E77" t="e">
        <f>IF(D77=Lookup!$L$5,E76+1,E76)</f>
        <v>#N/A</v>
      </c>
      <c r="F77" s="3" t="e">
        <f>INDEX(views[Entities count],MATCH('view-code'!E77,views[object_id order],0))</f>
        <v>#N/A</v>
      </c>
      <c r="G77" t="e">
        <f>IF(D76=Lookup!$L$10,1,IF(D76=Lookup!$L$11,G76+1,""))</f>
        <v>#N/A</v>
      </c>
      <c r="H77" t="e">
        <f>IF(F77=1,IF(D77=Lookup!$L$10,2,1),IF(G77&lt;F77-1,0,1))</f>
        <v>#N/A</v>
      </c>
      <c r="I77" t="e">
        <f>IF(D77&lt;&gt;Lookup!$L$7,0,IF(INDEX(views[name],MATCH(E77,views[object_id order],0))&lt;&gt;"",0,1))</f>
        <v>#N/A</v>
      </c>
      <c r="J77" t="e">
        <f>IF(D77&lt;&gt;Lookup!$L$7,0,IF(INDEX(views[icon],MATCH(E77,views[object_id order],0))&lt;&gt;"",0,1))</f>
        <v>#N/A</v>
      </c>
      <c r="K77" t="e">
        <f>IF($D77=Lookup!$L$6,INDEX(views[object_id],MATCH($E77,views[object_id order],0)),"")</f>
        <v>#N/A</v>
      </c>
      <c r="L77" t="e">
        <f>IF($D77=Lookup!$L$8,INDEX(views[name],MATCH($E77,views[object_id order],0)),"")</f>
        <v>#N/A</v>
      </c>
      <c r="M77" t="e">
        <f>IF($D77=Lookup!$L$9,INDEX(views[icon],MATCH($E77,views[object_id order],0)),"")</f>
        <v>#N/A</v>
      </c>
      <c r="N77" t="e">
        <f>IF(OR(D77=Lookup!$L$11,D77=Lookup!$L$12),INDEX(views[[1]:[25]],MATCH($E77,views[object_id order],0),G77),"")</f>
        <v>#N/A</v>
      </c>
      <c r="O77" t="str">
        <f t="shared" si="4"/>
        <v/>
      </c>
      <c r="P77" s="8" t="e">
        <f>INDEX(Lookup!$M$5:$M$12,MATCH(D77,Lookup!$L$5:$L$12,0))&amp;
K77&amp;L77&amp;M77&amp;N77&amp;
INDEX(Lookup!$N$5:$N$12,MATCH(D77,Lookup!$L$5:$L$12,0))</f>
        <v>#N/A</v>
      </c>
    </row>
    <row r="78" spans="2:16" x14ac:dyDescent="0.45">
      <c r="B78">
        <f t="shared" si="3"/>
        <v>76</v>
      </c>
      <c r="C78" t="e">
        <f t="shared" si="5"/>
        <v>#N/A</v>
      </c>
      <c r="D78" t="e">
        <f>VLOOKUP(C78,Lookup!$K$5:$L$12,2,FALSE)</f>
        <v>#N/A</v>
      </c>
      <c r="E78" t="e">
        <f>IF(D78=Lookup!$L$5,E77+1,E77)</f>
        <v>#N/A</v>
      </c>
      <c r="F78" s="3" t="e">
        <f>INDEX(views[Entities count],MATCH('view-code'!E78,views[object_id order],0))</f>
        <v>#N/A</v>
      </c>
      <c r="G78" t="e">
        <f>IF(D77=Lookup!$L$10,1,IF(D77=Lookup!$L$11,G77+1,""))</f>
        <v>#N/A</v>
      </c>
      <c r="H78" t="e">
        <f>IF(F78=1,IF(D78=Lookup!$L$10,2,1),IF(G78&lt;F78-1,0,1))</f>
        <v>#N/A</v>
      </c>
      <c r="I78" t="e">
        <f>IF(D78&lt;&gt;Lookup!$L$7,0,IF(INDEX(views[name],MATCH(E78,views[object_id order],0))&lt;&gt;"",0,1))</f>
        <v>#N/A</v>
      </c>
      <c r="J78" t="e">
        <f>IF(D78&lt;&gt;Lookup!$L$7,0,IF(INDEX(views[icon],MATCH(E78,views[object_id order],0))&lt;&gt;"",0,1))</f>
        <v>#N/A</v>
      </c>
      <c r="K78" t="e">
        <f>IF($D78=Lookup!$L$6,INDEX(views[object_id],MATCH($E78,views[object_id order],0)),"")</f>
        <v>#N/A</v>
      </c>
      <c r="L78" t="e">
        <f>IF($D78=Lookup!$L$8,INDEX(views[name],MATCH($E78,views[object_id order],0)),"")</f>
        <v>#N/A</v>
      </c>
      <c r="M78" t="e">
        <f>IF($D78=Lookup!$L$9,INDEX(views[icon],MATCH($E78,views[object_id order],0)),"")</f>
        <v>#N/A</v>
      </c>
      <c r="N78" t="e">
        <f>IF(OR(D78=Lookup!$L$11,D78=Lookup!$L$12),INDEX(views[[1]:[25]],MATCH($E78,views[object_id order],0),G78),"")</f>
        <v>#N/A</v>
      </c>
      <c r="O78" t="str">
        <f t="shared" si="4"/>
        <v/>
      </c>
      <c r="P78" s="8" t="e">
        <f>INDEX(Lookup!$M$5:$M$12,MATCH(D78,Lookup!$L$5:$L$12,0))&amp;
K78&amp;L78&amp;M78&amp;N78&amp;
INDEX(Lookup!$N$5:$N$12,MATCH(D78,Lookup!$L$5:$L$12,0))</f>
        <v>#N/A</v>
      </c>
    </row>
    <row r="79" spans="2:16" x14ac:dyDescent="0.45">
      <c r="B79">
        <f t="shared" si="3"/>
        <v>77</v>
      </c>
      <c r="C79" t="e">
        <f t="shared" si="5"/>
        <v>#N/A</v>
      </c>
      <c r="D79" t="e">
        <f>VLOOKUP(C79,Lookup!$K$5:$L$12,2,FALSE)</f>
        <v>#N/A</v>
      </c>
      <c r="E79" t="e">
        <f>IF(D79=Lookup!$L$5,E78+1,E78)</f>
        <v>#N/A</v>
      </c>
      <c r="F79" s="3" t="e">
        <f>INDEX(views[Entities count],MATCH('view-code'!E79,views[object_id order],0))</f>
        <v>#N/A</v>
      </c>
      <c r="G79" t="e">
        <f>IF(D78=Lookup!$L$10,1,IF(D78=Lookup!$L$11,G78+1,""))</f>
        <v>#N/A</v>
      </c>
      <c r="H79" t="e">
        <f>IF(F79=1,IF(D79=Lookup!$L$10,2,1),IF(G79&lt;F79-1,0,1))</f>
        <v>#N/A</v>
      </c>
      <c r="I79" t="e">
        <f>IF(D79&lt;&gt;Lookup!$L$7,0,IF(INDEX(views[name],MATCH(E79,views[object_id order],0))&lt;&gt;"",0,1))</f>
        <v>#N/A</v>
      </c>
      <c r="J79" t="e">
        <f>IF(D79&lt;&gt;Lookup!$L$7,0,IF(INDEX(views[icon],MATCH(E79,views[object_id order],0))&lt;&gt;"",0,1))</f>
        <v>#N/A</v>
      </c>
      <c r="K79" t="e">
        <f>IF($D79=Lookup!$L$6,INDEX(views[object_id],MATCH($E79,views[object_id order],0)),"")</f>
        <v>#N/A</v>
      </c>
      <c r="L79" t="e">
        <f>IF($D79=Lookup!$L$8,INDEX(views[name],MATCH($E79,views[object_id order],0)),"")</f>
        <v>#N/A</v>
      </c>
      <c r="M79" t="e">
        <f>IF($D79=Lookup!$L$9,INDEX(views[icon],MATCH($E79,views[object_id order],0)),"")</f>
        <v>#N/A</v>
      </c>
      <c r="N79" t="e">
        <f>IF(OR(D79=Lookup!$L$11,D79=Lookup!$L$12),INDEX(views[[1]:[25]],MATCH($E79,views[object_id order],0),G79),"")</f>
        <v>#N/A</v>
      </c>
      <c r="O79" t="str">
        <f t="shared" si="4"/>
        <v/>
      </c>
      <c r="P79" s="8" t="e">
        <f>INDEX(Lookup!$M$5:$M$12,MATCH(D79,Lookup!$L$5:$L$12,0))&amp;
K79&amp;L79&amp;M79&amp;N79&amp;
INDEX(Lookup!$N$5:$N$12,MATCH(D79,Lookup!$L$5:$L$12,0))</f>
        <v>#N/A</v>
      </c>
    </row>
    <row r="80" spans="2:16" x14ac:dyDescent="0.45">
      <c r="B80">
        <f t="shared" si="3"/>
        <v>78</v>
      </c>
      <c r="C80" t="e">
        <f t="shared" si="5"/>
        <v>#N/A</v>
      </c>
      <c r="D80" t="e">
        <f>VLOOKUP(C80,Lookup!$K$5:$L$12,2,FALSE)</f>
        <v>#N/A</v>
      </c>
      <c r="E80" t="e">
        <f>IF(D80=Lookup!$L$5,E79+1,E79)</f>
        <v>#N/A</v>
      </c>
      <c r="F80" s="3" t="e">
        <f>INDEX(views[Entities count],MATCH('view-code'!E80,views[object_id order],0))</f>
        <v>#N/A</v>
      </c>
      <c r="G80" t="e">
        <f>IF(D79=Lookup!$L$10,1,IF(D79=Lookup!$L$11,G79+1,""))</f>
        <v>#N/A</v>
      </c>
      <c r="H80" t="e">
        <f>IF(F80=1,IF(D80=Lookup!$L$10,2,1),IF(G80&lt;F80-1,0,1))</f>
        <v>#N/A</v>
      </c>
      <c r="I80" t="e">
        <f>IF(D80&lt;&gt;Lookup!$L$7,0,IF(INDEX(views[name],MATCH(E80,views[object_id order],0))&lt;&gt;"",0,1))</f>
        <v>#N/A</v>
      </c>
      <c r="J80" t="e">
        <f>IF(D80&lt;&gt;Lookup!$L$7,0,IF(INDEX(views[icon],MATCH(E80,views[object_id order],0))&lt;&gt;"",0,1))</f>
        <v>#N/A</v>
      </c>
      <c r="K80" t="e">
        <f>IF($D80=Lookup!$L$6,INDEX(views[object_id],MATCH($E80,views[object_id order],0)),"")</f>
        <v>#N/A</v>
      </c>
      <c r="L80" t="e">
        <f>IF($D80=Lookup!$L$8,INDEX(views[name],MATCH($E80,views[object_id order],0)),"")</f>
        <v>#N/A</v>
      </c>
      <c r="M80" t="e">
        <f>IF($D80=Lookup!$L$9,INDEX(views[icon],MATCH($E80,views[object_id order],0)),"")</f>
        <v>#N/A</v>
      </c>
      <c r="N80" t="e">
        <f>IF(OR(D80=Lookup!$L$11,D80=Lookup!$L$12),INDEX(views[[1]:[25]],MATCH($E80,views[object_id order],0),G80),"")</f>
        <v>#N/A</v>
      </c>
      <c r="O80" t="str">
        <f t="shared" si="4"/>
        <v/>
      </c>
      <c r="P80" s="8" t="e">
        <f>INDEX(Lookup!$M$5:$M$12,MATCH(D80,Lookup!$L$5:$L$12,0))&amp;
K80&amp;L80&amp;M80&amp;N80&amp;
INDEX(Lookup!$N$5:$N$12,MATCH(D80,Lookup!$L$5:$L$12,0))</f>
        <v>#N/A</v>
      </c>
    </row>
    <row r="81" spans="2:16" x14ac:dyDescent="0.45">
      <c r="B81">
        <f t="shared" si="3"/>
        <v>79</v>
      </c>
      <c r="C81" t="e">
        <f t="shared" si="5"/>
        <v>#N/A</v>
      </c>
      <c r="D81" t="e">
        <f>VLOOKUP(C81,Lookup!$K$5:$L$12,2,FALSE)</f>
        <v>#N/A</v>
      </c>
      <c r="E81" t="e">
        <f>IF(D81=Lookup!$L$5,E80+1,E80)</f>
        <v>#N/A</v>
      </c>
      <c r="F81" s="3" t="e">
        <f>INDEX(views[Entities count],MATCH('view-code'!E81,views[object_id order],0))</f>
        <v>#N/A</v>
      </c>
      <c r="G81" t="e">
        <f>IF(D80=Lookup!$L$10,1,IF(D80=Lookup!$L$11,G80+1,""))</f>
        <v>#N/A</v>
      </c>
      <c r="H81" t="e">
        <f>IF(F81=1,IF(D81=Lookup!$L$10,2,1),IF(G81&lt;F81-1,0,1))</f>
        <v>#N/A</v>
      </c>
      <c r="I81" t="e">
        <f>IF(D81&lt;&gt;Lookup!$L$7,0,IF(INDEX(views[name],MATCH(E81,views[object_id order],0))&lt;&gt;"",0,1))</f>
        <v>#N/A</v>
      </c>
      <c r="J81" t="e">
        <f>IF(D81&lt;&gt;Lookup!$L$7,0,IF(INDEX(views[icon],MATCH(E81,views[object_id order],0))&lt;&gt;"",0,1))</f>
        <v>#N/A</v>
      </c>
      <c r="K81" t="e">
        <f>IF($D81=Lookup!$L$6,INDEX(views[object_id],MATCH($E81,views[object_id order],0)),"")</f>
        <v>#N/A</v>
      </c>
      <c r="L81" t="e">
        <f>IF($D81=Lookup!$L$8,INDEX(views[name],MATCH($E81,views[object_id order],0)),"")</f>
        <v>#N/A</v>
      </c>
      <c r="M81" t="e">
        <f>IF($D81=Lookup!$L$9,INDEX(views[icon],MATCH($E81,views[object_id order],0)),"")</f>
        <v>#N/A</v>
      </c>
      <c r="N81" t="e">
        <f>IF(OR(D81=Lookup!$L$11,D81=Lookup!$L$12),INDEX(views[[1]:[25]],MATCH($E81,views[object_id order],0),G81),"")</f>
        <v>#N/A</v>
      </c>
      <c r="O81" t="str">
        <f t="shared" si="4"/>
        <v/>
      </c>
      <c r="P81" s="8" t="e">
        <f>INDEX(Lookup!$M$5:$M$12,MATCH(D81,Lookup!$L$5:$L$12,0))&amp;
K81&amp;L81&amp;M81&amp;N81&amp;
INDEX(Lookup!$N$5:$N$12,MATCH(D81,Lookup!$L$5:$L$12,0))</f>
        <v>#N/A</v>
      </c>
    </row>
    <row r="82" spans="2:16" x14ac:dyDescent="0.45">
      <c r="B82">
        <f t="shared" si="3"/>
        <v>80</v>
      </c>
      <c r="C82" t="e">
        <f t="shared" si="5"/>
        <v>#N/A</v>
      </c>
      <c r="D82" t="e">
        <f>VLOOKUP(C82,Lookup!$K$5:$L$12,2,FALSE)</f>
        <v>#N/A</v>
      </c>
      <c r="E82" t="e">
        <f>IF(D82=Lookup!$L$5,E81+1,E81)</f>
        <v>#N/A</v>
      </c>
      <c r="F82" s="3" t="e">
        <f>INDEX(views[Entities count],MATCH('view-code'!E82,views[object_id order],0))</f>
        <v>#N/A</v>
      </c>
      <c r="G82" t="e">
        <f>IF(D81=Lookup!$L$10,1,IF(D81=Lookup!$L$11,G81+1,""))</f>
        <v>#N/A</v>
      </c>
      <c r="H82" t="e">
        <f>IF(F82=1,IF(D82=Lookup!$L$10,2,1),IF(G82&lt;F82-1,0,1))</f>
        <v>#N/A</v>
      </c>
      <c r="I82" t="e">
        <f>IF(D82&lt;&gt;Lookup!$L$7,0,IF(INDEX(views[name],MATCH(E82,views[object_id order],0))&lt;&gt;"",0,1))</f>
        <v>#N/A</v>
      </c>
      <c r="J82" t="e">
        <f>IF(D82&lt;&gt;Lookup!$L$7,0,IF(INDEX(views[icon],MATCH(E82,views[object_id order],0))&lt;&gt;"",0,1))</f>
        <v>#N/A</v>
      </c>
      <c r="K82" t="e">
        <f>IF($D82=Lookup!$L$6,INDEX(views[object_id],MATCH($E82,views[object_id order],0)),"")</f>
        <v>#N/A</v>
      </c>
      <c r="L82" t="e">
        <f>IF($D82=Lookup!$L$8,INDEX(views[name],MATCH($E82,views[object_id order],0)),"")</f>
        <v>#N/A</v>
      </c>
      <c r="M82" t="e">
        <f>IF($D82=Lookup!$L$9,INDEX(views[icon],MATCH($E82,views[object_id order],0)),"")</f>
        <v>#N/A</v>
      </c>
      <c r="N82" t="e">
        <f>IF(OR(D82=Lookup!$L$11,D82=Lookup!$L$12),INDEX(views[[1]:[25]],MATCH($E82,views[object_id order],0),G82),"")</f>
        <v>#N/A</v>
      </c>
      <c r="O82" t="str">
        <f t="shared" si="4"/>
        <v/>
      </c>
      <c r="P82" s="8" t="e">
        <f>INDEX(Lookup!$M$5:$M$12,MATCH(D82,Lookup!$L$5:$L$12,0))&amp;
K82&amp;L82&amp;M82&amp;N82&amp;
INDEX(Lookup!$N$5:$N$12,MATCH(D82,Lookup!$L$5:$L$12,0))</f>
        <v>#N/A</v>
      </c>
    </row>
    <row r="83" spans="2:16" x14ac:dyDescent="0.45">
      <c r="B83">
        <f t="shared" si="3"/>
        <v>81</v>
      </c>
      <c r="C83" t="e">
        <f t="shared" si="5"/>
        <v>#N/A</v>
      </c>
      <c r="D83" t="e">
        <f>VLOOKUP(C83,Lookup!$K$5:$L$12,2,FALSE)</f>
        <v>#N/A</v>
      </c>
      <c r="E83" t="e">
        <f>IF(D83=Lookup!$L$5,E82+1,E82)</f>
        <v>#N/A</v>
      </c>
      <c r="F83" s="3" t="e">
        <f>INDEX(views[Entities count],MATCH('view-code'!E83,views[object_id order],0))</f>
        <v>#N/A</v>
      </c>
      <c r="G83" t="e">
        <f>IF(D82=Lookup!$L$10,1,IF(D82=Lookup!$L$11,G82+1,""))</f>
        <v>#N/A</v>
      </c>
      <c r="H83" t="e">
        <f>IF(F83=1,IF(D83=Lookup!$L$10,2,1),IF(G83&lt;F83-1,0,1))</f>
        <v>#N/A</v>
      </c>
      <c r="I83" t="e">
        <f>IF(D83&lt;&gt;Lookup!$L$7,0,IF(INDEX(views[name],MATCH(E83,views[object_id order],0))&lt;&gt;"",0,1))</f>
        <v>#N/A</v>
      </c>
      <c r="J83" t="e">
        <f>IF(D83&lt;&gt;Lookup!$L$7,0,IF(INDEX(views[icon],MATCH(E83,views[object_id order],0))&lt;&gt;"",0,1))</f>
        <v>#N/A</v>
      </c>
      <c r="K83" t="e">
        <f>IF($D83=Lookup!$L$6,INDEX(views[object_id],MATCH($E83,views[object_id order],0)),"")</f>
        <v>#N/A</v>
      </c>
      <c r="L83" t="e">
        <f>IF($D83=Lookup!$L$8,INDEX(views[name],MATCH($E83,views[object_id order],0)),"")</f>
        <v>#N/A</v>
      </c>
      <c r="M83" t="e">
        <f>IF($D83=Lookup!$L$9,INDEX(views[icon],MATCH($E83,views[object_id order],0)),"")</f>
        <v>#N/A</v>
      </c>
      <c r="N83" t="e">
        <f>IF(OR(D83=Lookup!$L$11,D83=Lookup!$L$12),INDEX(views[[1]:[25]],MATCH($E83,views[object_id order],0),G83),"")</f>
        <v>#N/A</v>
      </c>
      <c r="O83" t="str">
        <f t="shared" si="4"/>
        <v/>
      </c>
      <c r="P83" s="8" t="e">
        <f>INDEX(Lookup!$M$5:$M$12,MATCH(D83,Lookup!$L$5:$L$12,0))&amp;
K83&amp;L83&amp;M83&amp;N83&amp;
INDEX(Lookup!$N$5:$N$12,MATCH(D83,Lookup!$L$5:$L$12,0))</f>
        <v>#N/A</v>
      </c>
    </row>
    <row r="84" spans="2:16" x14ac:dyDescent="0.45">
      <c r="B84">
        <f t="shared" si="3"/>
        <v>82</v>
      </c>
      <c r="C84" t="e">
        <f t="shared" si="5"/>
        <v>#N/A</v>
      </c>
      <c r="D84" t="e">
        <f>VLOOKUP(C84,Lookup!$K$5:$L$12,2,FALSE)</f>
        <v>#N/A</v>
      </c>
      <c r="E84" t="e">
        <f>IF(D84=Lookup!$L$5,E83+1,E83)</f>
        <v>#N/A</v>
      </c>
      <c r="F84" s="3" t="e">
        <f>INDEX(views[Entities count],MATCH('view-code'!E84,views[object_id order],0))</f>
        <v>#N/A</v>
      </c>
      <c r="G84" t="e">
        <f>IF(D83=Lookup!$L$10,1,IF(D83=Lookup!$L$11,G83+1,""))</f>
        <v>#N/A</v>
      </c>
      <c r="H84" t="e">
        <f>IF(F84=1,IF(D84=Lookup!$L$10,2,1),IF(G84&lt;F84-1,0,1))</f>
        <v>#N/A</v>
      </c>
      <c r="I84" t="e">
        <f>IF(D84&lt;&gt;Lookup!$L$7,0,IF(INDEX(views[name],MATCH(E84,views[object_id order],0))&lt;&gt;"",0,1))</f>
        <v>#N/A</v>
      </c>
      <c r="J84" t="e">
        <f>IF(D84&lt;&gt;Lookup!$L$7,0,IF(INDEX(views[icon],MATCH(E84,views[object_id order],0))&lt;&gt;"",0,1))</f>
        <v>#N/A</v>
      </c>
      <c r="K84" t="e">
        <f>IF($D84=Lookup!$L$6,INDEX(views[object_id],MATCH($E84,views[object_id order],0)),"")</f>
        <v>#N/A</v>
      </c>
      <c r="L84" t="e">
        <f>IF($D84=Lookup!$L$8,INDEX(views[name],MATCH($E84,views[object_id order],0)),"")</f>
        <v>#N/A</v>
      </c>
      <c r="M84" t="e">
        <f>IF($D84=Lookup!$L$9,INDEX(views[icon],MATCH($E84,views[object_id order],0)),"")</f>
        <v>#N/A</v>
      </c>
      <c r="N84" t="e">
        <f>IF(OR(D84=Lookup!$L$11,D84=Lookup!$L$12),INDEX(views[[1]:[25]],MATCH($E84,views[object_id order],0),G84),"")</f>
        <v>#N/A</v>
      </c>
      <c r="O84" t="str">
        <f t="shared" si="4"/>
        <v/>
      </c>
      <c r="P84" s="8" t="e">
        <f>INDEX(Lookup!$M$5:$M$12,MATCH(D84,Lookup!$L$5:$L$12,0))&amp;
K84&amp;L84&amp;M84&amp;N84&amp;
INDEX(Lookup!$N$5:$N$12,MATCH(D84,Lookup!$L$5:$L$12,0))</f>
        <v>#N/A</v>
      </c>
    </row>
    <row r="85" spans="2:16" x14ac:dyDescent="0.45">
      <c r="B85">
        <f t="shared" si="3"/>
        <v>83</v>
      </c>
      <c r="C85" t="e">
        <f t="shared" si="5"/>
        <v>#N/A</v>
      </c>
      <c r="D85" t="e">
        <f>VLOOKUP(C85,Lookup!$K$5:$L$12,2,FALSE)</f>
        <v>#N/A</v>
      </c>
      <c r="E85" t="e">
        <f>IF(D85=Lookup!$L$5,E84+1,E84)</f>
        <v>#N/A</v>
      </c>
      <c r="F85" s="3" t="e">
        <f>INDEX(views[Entities count],MATCH('view-code'!E85,views[object_id order],0))</f>
        <v>#N/A</v>
      </c>
      <c r="G85" t="e">
        <f>IF(D84=Lookup!$L$10,1,IF(D84=Lookup!$L$11,G84+1,""))</f>
        <v>#N/A</v>
      </c>
      <c r="H85" t="e">
        <f>IF(F85=1,IF(D85=Lookup!$L$10,2,1),IF(G85&lt;F85-1,0,1))</f>
        <v>#N/A</v>
      </c>
      <c r="I85" t="e">
        <f>IF(D85&lt;&gt;Lookup!$L$7,0,IF(INDEX(views[name],MATCH(E85,views[object_id order],0))&lt;&gt;"",0,1))</f>
        <v>#N/A</v>
      </c>
      <c r="J85" t="e">
        <f>IF(D85&lt;&gt;Lookup!$L$7,0,IF(INDEX(views[icon],MATCH(E85,views[object_id order],0))&lt;&gt;"",0,1))</f>
        <v>#N/A</v>
      </c>
      <c r="K85" t="e">
        <f>IF($D85=Lookup!$L$6,INDEX(views[object_id],MATCH($E85,views[object_id order],0)),"")</f>
        <v>#N/A</v>
      </c>
      <c r="L85" t="e">
        <f>IF($D85=Lookup!$L$8,INDEX(views[name],MATCH($E85,views[object_id order],0)),"")</f>
        <v>#N/A</v>
      </c>
      <c r="M85" t="e">
        <f>IF($D85=Lookup!$L$9,INDEX(views[icon],MATCH($E85,views[object_id order],0)),"")</f>
        <v>#N/A</v>
      </c>
      <c r="N85" t="e">
        <f>IF(OR(D85=Lookup!$L$11,D85=Lookup!$L$12),INDEX(views[[1]:[25]],MATCH($E85,views[object_id order],0),G85),"")</f>
        <v>#N/A</v>
      </c>
      <c r="O85" t="str">
        <f t="shared" si="4"/>
        <v/>
      </c>
      <c r="P85" s="8" t="e">
        <f>INDEX(Lookup!$M$5:$M$12,MATCH(D85,Lookup!$L$5:$L$12,0))&amp;
K85&amp;L85&amp;M85&amp;N85&amp;
INDEX(Lookup!$N$5:$N$12,MATCH(D85,Lookup!$L$5:$L$12,0))</f>
        <v>#N/A</v>
      </c>
    </row>
    <row r="86" spans="2:16" x14ac:dyDescent="0.45">
      <c r="B86">
        <f t="shared" si="3"/>
        <v>84</v>
      </c>
      <c r="C86" t="e">
        <f t="shared" si="5"/>
        <v>#N/A</v>
      </c>
      <c r="D86" t="e">
        <f>VLOOKUP(C86,Lookup!$K$5:$L$12,2,FALSE)</f>
        <v>#N/A</v>
      </c>
      <c r="E86" t="e">
        <f>IF(D86=Lookup!$L$5,E85+1,E85)</f>
        <v>#N/A</v>
      </c>
      <c r="F86" s="3" t="e">
        <f>INDEX(views[Entities count],MATCH('view-code'!E86,views[object_id order],0))</f>
        <v>#N/A</v>
      </c>
      <c r="G86" t="e">
        <f>IF(D85=Lookup!$L$10,1,IF(D85=Lookup!$L$11,G85+1,""))</f>
        <v>#N/A</v>
      </c>
      <c r="H86" t="e">
        <f>IF(F86=1,IF(D86=Lookup!$L$10,2,1),IF(G86&lt;F86-1,0,1))</f>
        <v>#N/A</v>
      </c>
      <c r="I86" t="e">
        <f>IF(D86&lt;&gt;Lookup!$L$7,0,IF(INDEX(views[name],MATCH(E86,views[object_id order],0))&lt;&gt;"",0,1))</f>
        <v>#N/A</v>
      </c>
      <c r="J86" t="e">
        <f>IF(D86&lt;&gt;Lookup!$L$7,0,IF(INDEX(views[icon],MATCH(E86,views[object_id order],0))&lt;&gt;"",0,1))</f>
        <v>#N/A</v>
      </c>
      <c r="K86" t="e">
        <f>IF($D86=Lookup!$L$6,INDEX(views[object_id],MATCH($E86,views[object_id order],0)),"")</f>
        <v>#N/A</v>
      </c>
      <c r="L86" t="e">
        <f>IF($D86=Lookup!$L$8,INDEX(views[name],MATCH($E86,views[object_id order],0)),"")</f>
        <v>#N/A</v>
      </c>
      <c r="M86" t="e">
        <f>IF($D86=Lookup!$L$9,INDEX(views[icon],MATCH($E86,views[object_id order],0)),"")</f>
        <v>#N/A</v>
      </c>
      <c r="N86" t="e">
        <f>IF(OR(D86=Lookup!$L$11,D86=Lookup!$L$12),INDEX(views[[1]:[25]],MATCH($E86,views[object_id order],0),G86),"")</f>
        <v>#N/A</v>
      </c>
      <c r="O86" t="str">
        <f t="shared" si="4"/>
        <v/>
      </c>
      <c r="P86" s="8" t="e">
        <f>INDEX(Lookup!$M$5:$M$12,MATCH(D86,Lookup!$L$5:$L$12,0))&amp;
K86&amp;L86&amp;M86&amp;N86&amp;
INDEX(Lookup!$N$5:$N$12,MATCH(D86,Lookup!$L$5:$L$12,0))</f>
        <v>#N/A</v>
      </c>
    </row>
    <row r="87" spans="2:16" x14ac:dyDescent="0.45">
      <c r="B87">
        <f t="shared" si="3"/>
        <v>85</v>
      </c>
      <c r="C87" t="e">
        <f t="shared" si="5"/>
        <v>#N/A</v>
      </c>
      <c r="D87" t="e">
        <f>VLOOKUP(C87,Lookup!$K$5:$L$12,2,FALSE)</f>
        <v>#N/A</v>
      </c>
      <c r="E87" t="e">
        <f>IF(D87=Lookup!$L$5,E86+1,E86)</f>
        <v>#N/A</v>
      </c>
      <c r="F87" s="3" t="e">
        <f>INDEX(views[Entities count],MATCH('view-code'!E87,views[object_id order],0))</f>
        <v>#N/A</v>
      </c>
      <c r="G87" t="e">
        <f>IF(D86=Lookup!$L$10,1,IF(D86=Lookup!$L$11,G86+1,""))</f>
        <v>#N/A</v>
      </c>
      <c r="H87" t="e">
        <f>IF(F87=1,IF(D87=Lookup!$L$10,2,1),IF(G87&lt;F87-1,0,1))</f>
        <v>#N/A</v>
      </c>
      <c r="I87" t="e">
        <f>IF(D87&lt;&gt;Lookup!$L$7,0,IF(INDEX(views[name],MATCH(E87,views[object_id order],0))&lt;&gt;"",0,1))</f>
        <v>#N/A</v>
      </c>
      <c r="J87" t="e">
        <f>IF(D87&lt;&gt;Lookup!$L$7,0,IF(INDEX(views[icon],MATCH(E87,views[object_id order],0))&lt;&gt;"",0,1))</f>
        <v>#N/A</v>
      </c>
      <c r="K87" t="e">
        <f>IF($D87=Lookup!$L$6,INDEX(views[object_id],MATCH($E87,views[object_id order],0)),"")</f>
        <v>#N/A</v>
      </c>
      <c r="L87" t="e">
        <f>IF($D87=Lookup!$L$8,INDEX(views[name],MATCH($E87,views[object_id order],0)),"")</f>
        <v>#N/A</v>
      </c>
      <c r="M87" t="e">
        <f>IF($D87=Lookup!$L$9,INDEX(views[icon],MATCH($E87,views[object_id order],0)),"")</f>
        <v>#N/A</v>
      </c>
      <c r="N87" t="e">
        <f>IF(OR(D87=Lookup!$L$11,D87=Lookup!$L$12),INDEX(views[[1]:[25]],MATCH($E87,views[object_id order],0),G87),"")</f>
        <v>#N/A</v>
      </c>
      <c r="O87" t="str">
        <f t="shared" si="4"/>
        <v/>
      </c>
      <c r="P87" s="8" t="e">
        <f>INDEX(Lookup!$M$5:$M$12,MATCH(D87,Lookup!$L$5:$L$12,0))&amp;
K87&amp;L87&amp;M87&amp;N87&amp;
INDEX(Lookup!$N$5:$N$12,MATCH(D87,Lookup!$L$5:$L$12,0))</f>
        <v>#N/A</v>
      </c>
    </row>
    <row r="88" spans="2:16" x14ac:dyDescent="0.45">
      <c r="B88">
        <f t="shared" si="3"/>
        <v>86</v>
      </c>
      <c r="C88" t="e">
        <f t="shared" si="5"/>
        <v>#N/A</v>
      </c>
      <c r="D88" t="e">
        <f>VLOOKUP(C88,Lookup!$K$5:$L$12,2,FALSE)</f>
        <v>#N/A</v>
      </c>
      <c r="E88" t="e">
        <f>IF(D88=Lookup!$L$5,E87+1,E87)</f>
        <v>#N/A</v>
      </c>
      <c r="F88" s="3" t="e">
        <f>INDEX(views[Entities count],MATCH('view-code'!E88,views[object_id order],0))</f>
        <v>#N/A</v>
      </c>
      <c r="G88" t="e">
        <f>IF(D87=Lookup!$L$10,1,IF(D87=Lookup!$L$11,G87+1,""))</f>
        <v>#N/A</v>
      </c>
      <c r="H88" t="e">
        <f>IF(F88=1,IF(D88=Lookup!$L$10,2,1),IF(G88&lt;F88-1,0,1))</f>
        <v>#N/A</v>
      </c>
      <c r="I88" t="e">
        <f>IF(D88&lt;&gt;Lookup!$L$7,0,IF(INDEX(views[name],MATCH(E88,views[object_id order],0))&lt;&gt;"",0,1))</f>
        <v>#N/A</v>
      </c>
      <c r="J88" t="e">
        <f>IF(D88&lt;&gt;Lookup!$L$7,0,IF(INDEX(views[icon],MATCH(E88,views[object_id order],0))&lt;&gt;"",0,1))</f>
        <v>#N/A</v>
      </c>
      <c r="K88" t="e">
        <f>IF($D88=Lookup!$L$6,INDEX(views[object_id],MATCH($E88,views[object_id order],0)),"")</f>
        <v>#N/A</v>
      </c>
      <c r="L88" t="e">
        <f>IF($D88=Lookup!$L$8,INDEX(views[name],MATCH($E88,views[object_id order],0)),"")</f>
        <v>#N/A</v>
      </c>
      <c r="M88" t="e">
        <f>IF($D88=Lookup!$L$9,INDEX(views[icon],MATCH($E88,views[object_id order],0)),"")</f>
        <v>#N/A</v>
      </c>
      <c r="N88" t="e">
        <f>IF(OR(D88=Lookup!$L$11,D88=Lookup!$L$12),INDEX(views[[1]:[25]],MATCH($E88,views[object_id order],0),G88),"")</f>
        <v>#N/A</v>
      </c>
      <c r="O88" t="str">
        <f t="shared" si="4"/>
        <v/>
      </c>
      <c r="P88" s="8" t="e">
        <f>INDEX(Lookup!$M$5:$M$12,MATCH(D88,Lookup!$L$5:$L$12,0))&amp;
K88&amp;L88&amp;M88&amp;N88&amp;
INDEX(Lookup!$N$5:$N$12,MATCH(D88,Lookup!$L$5:$L$12,0))</f>
        <v>#N/A</v>
      </c>
    </row>
    <row r="89" spans="2:16" x14ac:dyDescent="0.45">
      <c r="B89">
        <f t="shared" si="3"/>
        <v>87</v>
      </c>
      <c r="C89" t="e">
        <f t="shared" si="5"/>
        <v>#N/A</v>
      </c>
      <c r="D89" t="e">
        <f>VLOOKUP(C89,Lookup!$K$5:$L$12,2,FALSE)</f>
        <v>#N/A</v>
      </c>
      <c r="E89" t="e">
        <f>IF(D89=Lookup!$L$5,E88+1,E88)</f>
        <v>#N/A</v>
      </c>
      <c r="F89" s="3" t="e">
        <f>INDEX(views[Entities count],MATCH('view-code'!E89,views[object_id order],0))</f>
        <v>#N/A</v>
      </c>
      <c r="G89" t="e">
        <f>IF(D88=Lookup!$L$10,1,IF(D88=Lookup!$L$11,G88+1,""))</f>
        <v>#N/A</v>
      </c>
      <c r="H89" t="e">
        <f>IF(F89=1,IF(D89=Lookup!$L$10,2,1),IF(G89&lt;F89-1,0,1))</f>
        <v>#N/A</v>
      </c>
      <c r="I89" t="e">
        <f>IF(D89&lt;&gt;Lookup!$L$7,0,IF(INDEX(views[name],MATCH(E89,views[object_id order],0))&lt;&gt;"",0,1))</f>
        <v>#N/A</v>
      </c>
      <c r="J89" t="e">
        <f>IF(D89&lt;&gt;Lookup!$L$7,0,IF(INDEX(views[icon],MATCH(E89,views[object_id order],0))&lt;&gt;"",0,1))</f>
        <v>#N/A</v>
      </c>
      <c r="K89" t="e">
        <f>IF($D89=Lookup!$L$6,INDEX(views[object_id],MATCH($E89,views[object_id order],0)),"")</f>
        <v>#N/A</v>
      </c>
      <c r="L89" t="e">
        <f>IF($D89=Lookup!$L$8,INDEX(views[name],MATCH($E89,views[object_id order],0)),"")</f>
        <v>#N/A</v>
      </c>
      <c r="M89" t="e">
        <f>IF($D89=Lookup!$L$9,INDEX(views[icon],MATCH($E89,views[object_id order],0)),"")</f>
        <v>#N/A</v>
      </c>
      <c r="N89" t="e">
        <f>IF(OR(D89=Lookup!$L$11,D89=Lookup!$L$12),INDEX(views[[1]:[25]],MATCH($E89,views[object_id order],0),G89),"")</f>
        <v>#N/A</v>
      </c>
      <c r="O89" t="str">
        <f t="shared" si="4"/>
        <v/>
      </c>
      <c r="P89" s="8" t="e">
        <f>INDEX(Lookup!$M$5:$M$12,MATCH(D89,Lookup!$L$5:$L$12,0))&amp;
K89&amp;L89&amp;M89&amp;N89&amp;
INDEX(Lookup!$N$5:$N$12,MATCH(D89,Lookup!$L$5:$L$12,0))</f>
        <v>#N/A</v>
      </c>
    </row>
    <row r="90" spans="2:16" x14ac:dyDescent="0.45">
      <c r="B90">
        <f t="shared" si="3"/>
        <v>88</v>
      </c>
      <c r="C90" t="e">
        <f t="shared" si="5"/>
        <v>#N/A</v>
      </c>
      <c r="D90" t="e">
        <f>VLOOKUP(C90,Lookup!$K$5:$L$12,2,FALSE)</f>
        <v>#N/A</v>
      </c>
      <c r="E90" t="e">
        <f>IF(D90=Lookup!$L$5,E89+1,E89)</f>
        <v>#N/A</v>
      </c>
      <c r="F90" s="3" t="e">
        <f>INDEX(views[Entities count],MATCH('view-code'!E90,views[object_id order],0))</f>
        <v>#N/A</v>
      </c>
      <c r="G90" t="e">
        <f>IF(D89=Lookup!$L$10,1,IF(D89=Lookup!$L$11,G89+1,""))</f>
        <v>#N/A</v>
      </c>
      <c r="H90" t="e">
        <f>IF(F90=1,IF(D90=Lookup!$L$10,2,1),IF(G90&lt;F90-1,0,1))</f>
        <v>#N/A</v>
      </c>
      <c r="I90" t="e">
        <f>IF(D90&lt;&gt;Lookup!$L$7,0,IF(INDEX(views[name],MATCH(E90,views[object_id order],0))&lt;&gt;"",0,1))</f>
        <v>#N/A</v>
      </c>
      <c r="J90" t="e">
        <f>IF(D90&lt;&gt;Lookup!$L$7,0,IF(INDEX(views[icon],MATCH(E90,views[object_id order],0))&lt;&gt;"",0,1))</f>
        <v>#N/A</v>
      </c>
      <c r="K90" t="e">
        <f>IF($D90=Lookup!$L$6,INDEX(views[object_id],MATCH($E90,views[object_id order],0)),"")</f>
        <v>#N/A</v>
      </c>
      <c r="L90" t="e">
        <f>IF($D90=Lookup!$L$8,INDEX(views[name],MATCH($E90,views[object_id order],0)),"")</f>
        <v>#N/A</v>
      </c>
      <c r="M90" t="e">
        <f>IF($D90=Lookup!$L$9,INDEX(views[icon],MATCH($E90,views[object_id order],0)),"")</f>
        <v>#N/A</v>
      </c>
      <c r="N90" t="e">
        <f>IF(OR(D90=Lookup!$L$11,D90=Lookup!$L$12),INDEX(views[[1]:[25]],MATCH($E90,views[object_id order],0),G90),"")</f>
        <v>#N/A</v>
      </c>
      <c r="O90" t="str">
        <f t="shared" si="4"/>
        <v/>
      </c>
      <c r="P90" s="8" t="e">
        <f>INDEX(Lookup!$M$5:$M$12,MATCH(D90,Lookup!$L$5:$L$12,0))&amp;
K90&amp;L90&amp;M90&amp;N90&amp;
INDEX(Lookup!$N$5:$N$12,MATCH(D90,Lookup!$L$5:$L$12,0))</f>
        <v>#N/A</v>
      </c>
    </row>
    <row r="91" spans="2:16" x14ac:dyDescent="0.45">
      <c r="B91">
        <f t="shared" si="3"/>
        <v>89</v>
      </c>
      <c r="C91" t="e">
        <f t="shared" si="5"/>
        <v>#N/A</v>
      </c>
      <c r="D91" t="e">
        <f>VLOOKUP(C91,Lookup!$K$5:$L$12,2,FALSE)</f>
        <v>#N/A</v>
      </c>
      <c r="E91" t="e">
        <f>IF(D91=Lookup!$L$5,E90+1,E90)</f>
        <v>#N/A</v>
      </c>
      <c r="F91" s="3" t="e">
        <f>INDEX(views[Entities count],MATCH('view-code'!E91,views[object_id order],0))</f>
        <v>#N/A</v>
      </c>
      <c r="G91" t="e">
        <f>IF(D90=Lookup!$L$10,1,IF(D90=Lookup!$L$11,G90+1,""))</f>
        <v>#N/A</v>
      </c>
      <c r="H91" t="e">
        <f>IF(F91=1,IF(D91=Lookup!$L$10,2,1),IF(G91&lt;F91-1,0,1))</f>
        <v>#N/A</v>
      </c>
      <c r="I91" t="e">
        <f>IF(D91&lt;&gt;Lookup!$L$7,0,IF(INDEX(views[name],MATCH(E91,views[object_id order],0))&lt;&gt;"",0,1))</f>
        <v>#N/A</v>
      </c>
      <c r="J91" t="e">
        <f>IF(D91&lt;&gt;Lookup!$L$7,0,IF(INDEX(views[icon],MATCH(E91,views[object_id order],0))&lt;&gt;"",0,1))</f>
        <v>#N/A</v>
      </c>
      <c r="K91" t="e">
        <f>IF($D91=Lookup!$L$6,INDEX(views[object_id],MATCH($E91,views[object_id order],0)),"")</f>
        <v>#N/A</v>
      </c>
      <c r="L91" t="e">
        <f>IF($D91=Lookup!$L$8,INDEX(views[name],MATCH($E91,views[object_id order],0)),"")</f>
        <v>#N/A</v>
      </c>
      <c r="M91" t="e">
        <f>IF($D91=Lookup!$L$9,INDEX(views[icon],MATCH($E91,views[object_id order],0)),"")</f>
        <v>#N/A</v>
      </c>
      <c r="N91" t="e">
        <f>IF(OR(D91=Lookup!$L$11,D91=Lookup!$L$12),INDEX(views[[1]:[25]],MATCH($E91,views[object_id order],0),G91),"")</f>
        <v>#N/A</v>
      </c>
      <c r="O91" t="str">
        <f t="shared" si="4"/>
        <v/>
      </c>
      <c r="P91" s="8" t="e">
        <f>INDEX(Lookup!$M$5:$M$12,MATCH(D91,Lookup!$L$5:$L$12,0))&amp;
K91&amp;L91&amp;M91&amp;N91&amp;
INDEX(Lookup!$N$5:$N$12,MATCH(D91,Lookup!$L$5:$L$12,0))</f>
        <v>#N/A</v>
      </c>
    </row>
    <row r="92" spans="2:16" x14ac:dyDescent="0.45">
      <c r="B92">
        <f t="shared" si="3"/>
        <v>90</v>
      </c>
      <c r="C92" t="e">
        <f t="shared" si="5"/>
        <v>#N/A</v>
      </c>
      <c r="D92" t="e">
        <f>VLOOKUP(C92,Lookup!$K$5:$L$12,2,FALSE)</f>
        <v>#N/A</v>
      </c>
      <c r="E92" t="e">
        <f>IF(D92=Lookup!$L$5,E91+1,E91)</f>
        <v>#N/A</v>
      </c>
      <c r="F92" s="3" t="e">
        <f>INDEX(views[Entities count],MATCH('view-code'!E92,views[object_id order],0))</f>
        <v>#N/A</v>
      </c>
      <c r="G92" t="e">
        <f>IF(D91=Lookup!$L$10,1,IF(D91=Lookup!$L$11,G91+1,""))</f>
        <v>#N/A</v>
      </c>
      <c r="H92" t="e">
        <f>IF(F92=1,IF(D92=Lookup!$L$10,2,1),IF(G92&lt;F92-1,0,1))</f>
        <v>#N/A</v>
      </c>
      <c r="I92" t="e">
        <f>IF(D92&lt;&gt;Lookup!$L$7,0,IF(INDEX(views[name],MATCH(E92,views[object_id order],0))&lt;&gt;"",0,1))</f>
        <v>#N/A</v>
      </c>
      <c r="J92" t="e">
        <f>IF(D92&lt;&gt;Lookup!$L$7,0,IF(INDEX(views[icon],MATCH(E92,views[object_id order],0))&lt;&gt;"",0,1))</f>
        <v>#N/A</v>
      </c>
      <c r="K92" t="e">
        <f>IF($D92=Lookup!$L$6,INDEX(views[object_id],MATCH($E92,views[object_id order],0)),"")</f>
        <v>#N/A</v>
      </c>
      <c r="L92" t="e">
        <f>IF($D92=Lookup!$L$8,INDEX(views[name],MATCH($E92,views[object_id order],0)),"")</f>
        <v>#N/A</v>
      </c>
      <c r="M92" t="e">
        <f>IF($D92=Lookup!$L$9,INDEX(views[icon],MATCH($E92,views[object_id order],0)),"")</f>
        <v>#N/A</v>
      </c>
      <c r="N92" t="e">
        <f>IF(OR(D92=Lookup!$L$11,D92=Lookup!$L$12),INDEX(views[[1]:[25]],MATCH($E92,views[object_id order],0),G92),"")</f>
        <v>#N/A</v>
      </c>
      <c r="O92" t="str">
        <f t="shared" si="4"/>
        <v/>
      </c>
      <c r="P92" s="8" t="e">
        <f>INDEX(Lookup!$M$5:$M$12,MATCH(D92,Lookup!$L$5:$L$12,0))&amp;
K92&amp;L92&amp;M92&amp;N92&amp;
INDEX(Lookup!$N$5:$N$12,MATCH(D92,Lookup!$L$5:$L$12,0))</f>
        <v>#N/A</v>
      </c>
    </row>
    <row r="93" spans="2:16" x14ac:dyDescent="0.45">
      <c r="B93">
        <f t="shared" si="3"/>
        <v>91</v>
      </c>
      <c r="C93" t="e">
        <f t="shared" si="5"/>
        <v>#N/A</v>
      </c>
      <c r="D93" t="e">
        <f>VLOOKUP(C93,Lookup!$K$5:$L$12,2,FALSE)</f>
        <v>#N/A</v>
      </c>
      <c r="E93" t="e">
        <f>IF(D93=Lookup!$L$5,E92+1,E92)</f>
        <v>#N/A</v>
      </c>
      <c r="F93" s="3" t="e">
        <f>INDEX(views[Entities count],MATCH('view-code'!E93,views[object_id order],0))</f>
        <v>#N/A</v>
      </c>
      <c r="G93" t="e">
        <f>IF(D92=Lookup!$L$10,1,IF(D92=Lookup!$L$11,G92+1,""))</f>
        <v>#N/A</v>
      </c>
      <c r="H93" t="e">
        <f>IF(F93=1,IF(D93=Lookup!$L$10,2,1),IF(G93&lt;F93-1,0,1))</f>
        <v>#N/A</v>
      </c>
      <c r="I93" t="e">
        <f>IF(D93&lt;&gt;Lookup!$L$7,0,IF(INDEX(views[name],MATCH(E93,views[object_id order],0))&lt;&gt;"",0,1))</f>
        <v>#N/A</v>
      </c>
      <c r="J93" t="e">
        <f>IF(D93&lt;&gt;Lookup!$L$7,0,IF(INDEX(views[icon],MATCH(E93,views[object_id order],0))&lt;&gt;"",0,1))</f>
        <v>#N/A</v>
      </c>
      <c r="K93" t="e">
        <f>IF($D93=Lookup!$L$6,INDEX(views[object_id],MATCH($E93,views[object_id order],0)),"")</f>
        <v>#N/A</v>
      </c>
      <c r="L93" t="e">
        <f>IF($D93=Lookup!$L$8,INDEX(views[name],MATCH($E93,views[object_id order],0)),"")</f>
        <v>#N/A</v>
      </c>
      <c r="M93" t="e">
        <f>IF($D93=Lookup!$L$9,INDEX(views[icon],MATCH($E93,views[object_id order],0)),"")</f>
        <v>#N/A</v>
      </c>
      <c r="N93" t="e">
        <f>IF(OR(D93=Lookup!$L$11,D93=Lookup!$L$12),INDEX(views[[1]:[25]],MATCH($E93,views[object_id order],0),G93),"")</f>
        <v>#N/A</v>
      </c>
      <c r="O93" t="str">
        <f t="shared" si="4"/>
        <v/>
      </c>
      <c r="P93" s="8" t="e">
        <f>INDEX(Lookup!$M$5:$M$12,MATCH(D93,Lookup!$L$5:$L$12,0))&amp;
K93&amp;L93&amp;M93&amp;N93&amp;
INDEX(Lookup!$N$5:$N$12,MATCH(D93,Lookup!$L$5:$L$12,0))</f>
        <v>#N/A</v>
      </c>
    </row>
    <row r="94" spans="2:16" x14ac:dyDescent="0.45">
      <c r="B94">
        <f t="shared" si="3"/>
        <v>92</v>
      </c>
      <c r="C94" t="e">
        <f t="shared" si="5"/>
        <v>#N/A</v>
      </c>
      <c r="D94" t="e">
        <f>VLOOKUP(C94,Lookup!$K$5:$L$12,2,FALSE)</f>
        <v>#N/A</v>
      </c>
      <c r="E94" t="e">
        <f>IF(D94=Lookup!$L$5,E93+1,E93)</f>
        <v>#N/A</v>
      </c>
      <c r="F94" s="3" t="e">
        <f>INDEX(views[Entities count],MATCH('view-code'!E94,views[object_id order],0))</f>
        <v>#N/A</v>
      </c>
      <c r="G94" t="e">
        <f>IF(D93=Lookup!$L$10,1,IF(D93=Lookup!$L$11,G93+1,""))</f>
        <v>#N/A</v>
      </c>
      <c r="H94" t="e">
        <f>IF(F94=1,IF(D94=Lookup!$L$10,2,1),IF(G94&lt;F94-1,0,1))</f>
        <v>#N/A</v>
      </c>
      <c r="I94" t="e">
        <f>IF(D94&lt;&gt;Lookup!$L$7,0,IF(INDEX(views[name],MATCH(E94,views[object_id order],0))&lt;&gt;"",0,1))</f>
        <v>#N/A</v>
      </c>
      <c r="J94" t="e">
        <f>IF(D94&lt;&gt;Lookup!$L$7,0,IF(INDEX(views[icon],MATCH(E94,views[object_id order],0))&lt;&gt;"",0,1))</f>
        <v>#N/A</v>
      </c>
      <c r="K94" t="e">
        <f>IF($D94=Lookup!$L$6,INDEX(views[object_id],MATCH($E94,views[object_id order],0)),"")</f>
        <v>#N/A</v>
      </c>
      <c r="L94" t="e">
        <f>IF($D94=Lookup!$L$8,INDEX(views[name],MATCH($E94,views[object_id order],0)),"")</f>
        <v>#N/A</v>
      </c>
      <c r="M94" t="e">
        <f>IF($D94=Lookup!$L$9,INDEX(views[icon],MATCH($E94,views[object_id order],0)),"")</f>
        <v>#N/A</v>
      </c>
      <c r="N94" t="e">
        <f>IF(OR(D94=Lookup!$L$11,D94=Lookup!$L$12),INDEX(views[[1]:[25]],MATCH($E94,views[object_id order],0),G94),"")</f>
        <v>#N/A</v>
      </c>
      <c r="O94" t="str">
        <f t="shared" si="4"/>
        <v/>
      </c>
      <c r="P94" s="8" t="e">
        <f>INDEX(Lookup!$M$5:$M$12,MATCH(D94,Lookup!$L$5:$L$12,0))&amp;
K94&amp;L94&amp;M94&amp;N94&amp;
INDEX(Lookup!$N$5:$N$12,MATCH(D94,Lookup!$L$5:$L$12,0))</f>
        <v>#N/A</v>
      </c>
    </row>
    <row r="95" spans="2:16" x14ac:dyDescent="0.45">
      <c r="B95">
        <f t="shared" si="3"/>
        <v>93</v>
      </c>
      <c r="C95" t="e">
        <f t="shared" si="5"/>
        <v>#N/A</v>
      </c>
      <c r="D95" t="e">
        <f>VLOOKUP(C95,Lookup!$K$5:$L$12,2,FALSE)</f>
        <v>#N/A</v>
      </c>
      <c r="E95" t="e">
        <f>IF(D95=Lookup!$L$5,E94+1,E94)</f>
        <v>#N/A</v>
      </c>
      <c r="F95" s="3" t="e">
        <f>INDEX(views[Entities count],MATCH('view-code'!E95,views[object_id order],0))</f>
        <v>#N/A</v>
      </c>
      <c r="G95" t="e">
        <f>IF(D94=Lookup!$L$10,1,IF(D94=Lookup!$L$11,G94+1,""))</f>
        <v>#N/A</v>
      </c>
      <c r="H95" t="e">
        <f>IF(F95=1,IF(D95=Lookup!$L$10,2,1),IF(G95&lt;F95-1,0,1))</f>
        <v>#N/A</v>
      </c>
      <c r="I95" t="e">
        <f>IF(D95&lt;&gt;Lookup!$L$7,0,IF(INDEX(views[name],MATCH(E95,views[object_id order],0))&lt;&gt;"",0,1))</f>
        <v>#N/A</v>
      </c>
      <c r="J95" t="e">
        <f>IF(D95&lt;&gt;Lookup!$L$7,0,IF(INDEX(views[icon],MATCH(E95,views[object_id order],0))&lt;&gt;"",0,1))</f>
        <v>#N/A</v>
      </c>
      <c r="K95" t="e">
        <f>IF($D95=Lookup!$L$6,INDEX(views[object_id],MATCH($E95,views[object_id order],0)),"")</f>
        <v>#N/A</v>
      </c>
      <c r="L95" t="e">
        <f>IF($D95=Lookup!$L$8,INDEX(views[name],MATCH($E95,views[object_id order],0)),"")</f>
        <v>#N/A</v>
      </c>
      <c r="M95" t="e">
        <f>IF($D95=Lookup!$L$9,INDEX(views[icon],MATCH($E95,views[object_id order],0)),"")</f>
        <v>#N/A</v>
      </c>
      <c r="N95" t="e">
        <f>IF(OR(D95=Lookup!$L$11,D95=Lookup!$L$12),INDEX(views[[1]:[25]],MATCH($E95,views[object_id order],0),G95),"")</f>
        <v>#N/A</v>
      </c>
      <c r="O95" t="str">
        <f t="shared" si="4"/>
        <v/>
      </c>
      <c r="P95" s="8" t="e">
        <f>INDEX(Lookup!$M$5:$M$12,MATCH(D95,Lookup!$L$5:$L$12,0))&amp;
K95&amp;L95&amp;M95&amp;N95&amp;
INDEX(Lookup!$N$5:$N$12,MATCH(D95,Lookup!$L$5:$L$12,0))</f>
        <v>#N/A</v>
      </c>
    </row>
    <row r="96" spans="2:16" x14ac:dyDescent="0.45">
      <c r="B96">
        <f t="shared" si="3"/>
        <v>94</v>
      </c>
      <c r="C96" t="e">
        <f t="shared" si="5"/>
        <v>#N/A</v>
      </c>
      <c r="D96" t="e">
        <f>VLOOKUP(C96,Lookup!$K$5:$L$12,2,FALSE)</f>
        <v>#N/A</v>
      </c>
      <c r="E96" t="e">
        <f>IF(D96=Lookup!$L$5,E95+1,E95)</f>
        <v>#N/A</v>
      </c>
      <c r="F96" s="3" t="e">
        <f>INDEX(views[Entities count],MATCH('view-code'!E96,views[object_id order],0))</f>
        <v>#N/A</v>
      </c>
      <c r="G96" t="e">
        <f>IF(D95=Lookup!$L$10,1,IF(D95=Lookup!$L$11,G95+1,""))</f>
        <v>#N/A</v>
      </c>
      <c r="H96" t="e">
        <f>IF(F96=1,IF(D96=Lookup!$L$10,2,1),IF(G96&lt;F96-1,0,1))</f>
        <v>#N/A</v>
      </c>
      <c r="I96" t="e">
        <f>IF(D96&lt;&gt;Lookup!$L$7,0,IF(INDEX(views[name],MATCH(E96,views[object_id order],0))&lt;&gt;"",0,1))</f>
        <v>#N/A</v>
      </c>
      <c r="J96" t="e">
        <f>IF(D96&lt;&gt;Lookup!$L$7,0,IF(INDEX(views[icon],MATCH(E96,views[object_id order],0))&lt;&gt;"",0,1))</f>
        <v>#N/A</v>
      </c>
      <c r="K96" t="e">
        <f>IF($D96=Lookup!$L$6,INDEX(views[object_id],MATCH($E96,views[object_id order],0)),"")</f>
        <v>#N/A</v>
      </c>
      <c r="L96" t="e">
        <f>IF($D96=Lookup!$L$8,INDEX(views[name],MATCH($E96,views[object_id order],0)),"")</f>
        <v>#N/A</v>
      </c>
      <c r="M96" t="e">
        <f>IF($D96=Lookup!$L$9,INDEX(views[icon],MATCH($E96,views[object_id order],0)),"")</f>
        <v>#N/A</v>
      </c>
      <c r="N96" t="e">
        <f>IF(OR(D96=Lookup!$L$11,D96=Lookup!$L$12),INDEX(views[[1]:[25]],MATCH($E96,views[object_id order],0),G96),"")</f>
        <v>#N/A</v>
      </c>
      <c r="O96" t="str">
        <f t="shared" si="4"/>
        <v/>
      </c>
      <c r="P96" s="8" t="e">
        <f>INDEX(Lookup!$M$5:$M$12,MATCH(D96,Lookup!$L$5:$L$12,0))&amp;
K96&amp;L96&amp;M96&amp;N96&amp;
INDEX(Lookup!$N$5:$N$12,MATCH(D96,Lookup!$L$5:$L$12,0))</f>
        <v>#N/A</v>
      </c>
    </row>
    <row r="97" spans="2:16" x14ac:dyDescent="0.45">
      <c r="B97">
        <f t="shared" si="3"/>
        <v>95</v>
      </c>
      <c r="C97" t="e">
        <f t="shared" si="5"/>
        <v>#N/A</v>
      </c>
      <c r="D97" t="e">
        <f>VLOOKUP(C97,Lookup!$K$5:$L$12,2,FALSE)</f>
        <v>#N/A</v>
      </c>
      <c r="E97" t="e">
        <f>IF(D97=Lookup!$L$5,E96+1,E96)</f>
        <v>#N/A</v>
      </c>
      <c r="F97" s="3" t="e">
        <f>INDEX(views[Entities count],MATCH('view-code'!E97,views[object_id order],0))</f>
        <v>#N/A</v>
      </c>
      <c r="G97" t="e">
        <f>IF(D96=Lookup!$L$10,1,IF(D96=Lookup!$L$11,G96+1,""))</f>
        <v>#N/A</v>
      </c>
      <c r="H97" t="e">
        <f>IF(F97=1,IF(D97=Lookup!$L$10,2,1),IF(G97&lt;F97-1,0,1))</f>
        <v>#N/A</v>
      </c>
      <c r="I97" t="e">
        <f>IF(D97&lt;&gt;Lookup!$L$7,0,IF(INDEX(views[name],MATCH(E97,views[object_id order],0))&lt;&gt;"",0,1))</f>
        <v>#N/A</v>
      </c>
      <c r="J97" t="e">
        <f>IF(D97&lt;&gt;Lookup!$L$7,0,IF(INDEX(views[icon],MATCH(E97,views[object_id order],0))&lt;&gt;"",0,1))</f>
        <v>#N/A</v>
      </c>
      <c r="K97" t="e">
        <f>IF($D97=Lookup!$L$6,INDEX(views[object_id],MATCH($E97,views[object_id order],0)),"")</f>
        <v>#N/A</v>
      </c>
      <c r="L97" t="e">
        <f>IF($D97=Lookup!$L$8,INDEX(views[name],MATCH($E97,views[object_id order],0)),"")</f>
        <v>#N/A</v>
      </c>
      <c r="M97" t="e">
        <f>IF($D97=Lookup!$L$9,INDEX(views[icon],MATCH($E97,views[object_id order],0)),"")</f>
        <v>#N/A</v>
      </c>
      <c r="N97" t="e">
        <f>IF(OR(D97=Lookup!$L$11,D97=Lookup!$L$12),INDEX(views[[1]:[25]],MATCH($E97,views[object_id order],0),G97),"")</f>
        <v>#N/A</v>
      </c>
      <c r="O97" t="str">
        <f t="shared" si="4"/>
        <v/>
      </c>
      <c r="P97" s="8" t="e">
        <f>INDEX(Lookup!$M$5:$M$12,MATCH(D97,Lookup!$L$5:$L$12,0))&amp;
K97&amp;L97&amp;M97&amp;N97&amp;
INDEX(Lookup!$N$5:$N$12,MATCH(D97,Lookup!$L$5:$L$12,0))</f>
        <v>#N/A</v>
      </c>
    </row>
    <row r="98" spans="2:16" x14ac:dyDescent="0.45">
      <c r="B98">
        <f t="shared" si="3"/>
        <v>96</v>
      </c>
      <c r="C98" t="e">
        <f t="shared" si="5"/>
        <v>#N/A</v>
      </c>
      <c r="D98" t="e">
        <f>VLOOKUP(C98,Lookup!$K$5:$L$12,2,FALSE)</f>
        <v>#N/A</v>
      </c>
      <c r="E98" t="e">
        <f>IF(D98=Lookup!$L$5,E97+1,E97)</f>
        <v>#N/A</v>
      </c>
      <c r="F98" s="3" t="e">
        <f>INDEX(views[Entities count],MATCH('view-code'!E98,views[object_id order],0))</f>
        <v>#N/A</v>
      </c>
      <c r="G98" t="e">
        <f>IF(D97=Lookup!$L$10,1,IF(D97=Lookup!$L$11,G97+1,""))</f>
        <v>#N/A</v>
      </c>
      <c r="H98" t="e">
        <f>IF(F98=1,IF(D98=Lookup!$L$10,2,1),IF(G98&lt;F98-1,0,1))</f>
        <v>#N/A</v>
      </c>
      <c r="I98" t="e">
        <f>IF(D98&lt;&gt;Lookup!$L$7,0,IF(INDEX(views[name],MATCH(E98,views[object_id order],0))&lt;&gt;"",0,1))</f>
        <v>#N/A</v>
      </c>
      <c r="J98" t="e">
        <f>IF(D98&lt;&gt;Lookup!$L$7,0,IF(INDEX(views[icon],MATCH(E98,views[object_id order],0))&lt;&gt;"",0,1))</f>
        <v>#N/A</v>
      </c>
      <c r="K98" t="e">
        <f>IF($D98=Lookup!$L$6,INDEX(views[object_id],MATCH($E98,views[object_id order],0)),"")</f>
        <v>#N/A</v>
      </c>
      <c r="L98" t="e">
        <f>IF($D98=Lookup!$L$8,INDEX(views[name],MATCH($E98,views[object_id order],0)),"")</f>
        <v>#N/A</v>
      </c>
      <c r="M98" t="e">
        <f>IF($D98=Lookup!$L$9,INDEX(views[icon],MATCH($E98,views[object_id order],0)),"")</f>
        <v>#N/A</v>
      </c>
      <c r="N98" t="e">
        <f>IF(OR(D98=Lookup!$L$11,D98=Lookup!$L$12),INDEX(views[[1]:[25]],MATCH($E98,views[object_id order],0),G98),"")</f>
        <v>#N/A</v>
      </c>
      <c r="O98" t="str">
        <f t="shared" si="4"/>
        <v/>
      </c>
      <c r="P98" s="8" t="e">
        <f>INDEX(Lookup!$M$5:$M$12,MATCH(D98,Lookup!$L$5:$L$12,0))&amp;
K98&amp;L98&amp;M98&amp;N98&amp;
INDEX(Lookup!$N$5:$N$12,MATCH(D98,Lookup!$L$5:$L$12,0))</f>
        <v>#N/A</v>
      </c>
    </row>
    <row r="99" spans="2:16" x14ac:dyDescent="0.45">
      <c r="B99">
        <f t="shared" si="3"/>
        <v>97</v>
      </c>
      <c r="C99" t="e">
        <f t="shared" si="5"/>
        <v>#N/A</v>
      </c>
      <c r="D99" t="e">
        <f>VLOOKUP(C99,Lookup!$K$5:$L$12,2,FALSE)</f>
        <v>#N/A</v>
      </c>
      <c r="E99" t="e">
        <f>IF(D99=Lookup!$L$5,E98+1,E98)</f>
        <v>#N/A</v>
      </c>
      <c r="F99" s="3" t="e">
        <f>INDEX(views[Entities count],MATCH('view-code'!E99,views[object_id order],0))</f>
        <v>#N/A</v>
      </c>
      <c r="G99" t="e">
        <f>IF(D98=Lookup!$L$10,1,IF(D98=Lookup!$L$11,G98+1,""))</f>
        <v>#N/A</v>
      </c>
      <c r="H99" t="e">
        <f>IF(F99=1,IF(D99=Lookup!$L$10,2,1),IF(G99&lt;F99-1,0,1))</f>
        <v>#N/A</v>
      </c>
      <c r="I99" t="e">
        <f>IF(D99&lt;&gt;Lookup!$L$7,0,IF(INDEX(views[name],MATCH(E99,views[object_id order],0))&lt;&gt;"",0,1))</f>
        <v>#N/A</v>
      </c>
      <c r="J99" t="e">
        <f>IF(D99&lt;&gt;Lookup!$L$7,0,IF(INDEX(views[icon],MATCH(E99,views[object_id order],0))&lt;&gt;"",0,1))</f>
        <v>#N/A</v>
      </c>
      <c r="K99" t="e">
        <f>IF($D99=Lookup!$L$6,INDEX(views[object_id],MATCH($E99,views[object_id order],0)),"")</f>
        <v>#N/A</v>
      </c>
      <c r="L99" t="e">
        <f>IF($D99=Lookup!$L$8,INDEX(views[name],MATCH($E99,views[object_id order],0)),"")</f>
        <v>#N/A</v>
      </c>
      <c r="M99" t="e">
        <f>IF($D99=Lookup!$L$9,INDEX(views[icon],MATCH($E99,views[object_id order],0)),"")</f>
        <v>#N/A</v>
      </c>
      <c r="N99" t="e">
        <f>IF(OR(D99=Lookup!$L$11,D99=Lookup!$L$12),INDEX(views[[1]:[25]],MATCH($E99,views[object_id order],0),G99),"")</f>
        <v>#N/A</v>
      </c>
      <c r="O99" t="str">
        <f t="shared" si="4"/>
        <v/>
      </c>
      <c r="P99" s="8" t="e">
        <f>INDEX(Lookup!$M$5:$M$12,MATCH(D99,Lookup!$L$5:$L$12,0))&amp;
K99&amp;L99&amp;M99&amp;N99&amp;
INDEX(Lookup!$N$5:$N$12,MATCH(D99,Lookup!$L$5:$L$12,0))</f>
        <v>#N/A</v>
      </c>
    </row>
    <row r="100" spans="2:16" x14ac:dyDescent="0.45">
      <c r="B100">
        <f t="shared" si="3"/>
        <v>98</v>
      </c>
      <c r="C100" t="e">
        <f t="shared" si="5"/>
        <v>#N/A</v>
      </c>
      <c r="D100" t="e">
        <f>VLOOKUP(C100,Lookup!$K$5:$L$12,2,FALSE)</f>
        <v>#N/A</v>
      </c>
      <c r="E100" t="e">
        <f>IF(D100=Lookup!$L$5,E99+1,E99)</f>
        <v>#N/A</v>
      </c>
      <c r="F100" s="3" t="e">
        <f>INDEX(views[Entities count],MATCH('view-code'!E100,views[object_id order],0))</f>
        <v>#N/A</v>
      </c>
      <c r="G100" t="e">
        <f>IF(D99=Lookup!$L$10,1,IF(D99=Lookup!$L$11,G99+1,""))</f>
        <v>#N/A</v>
      </c>
      <c r="H100" t="e">
        <f>IF(F100=1,IF(D100=Lookup!$L$10,2,1),IF(G100&lt;F100-1,0,1))</f>
        <v>#N/A</v>
      </c>
      <c r="I100" t="e">
        <f>IF(D100&lt;&gt;Lookup!$L$7,0,IF(INDEX(views[name],MATCH(E100,views[object_id order],0))&lt;&gt;"",0,1))</f>
        <v>#N/A</v>
      </c>
      <c r="J100" t="e">
        <f>IF(D100&lt;&gt;Lookup!$L$7,0,IF(INDEX(views[icon],MATCH(E100,views[object_id order],0))&lt;&gt;"",0,1))</f>
        <v>#N/A</v>
      </c>
      <c r="K100" t="e">
        <f>IF($D100=Lookup!$L$6,INDEX(views[object_id],MATCH($E100,views[object_id order],0)),"")</f>
        <v>#N/A</v>
      </c>
      <c r="L100" t="e">
        <f>IF($D100=Lookup!$L$8,INDEX(views[name],MATCH($E100,views[object_id order],0)),"")</f>
        <v>#N/A</v>
      </c>
      <c r="M100" t="e">
        <f>IF($D100=Lookup!$L$9,INDEX(views[icon],MATCH($E100,views[object_id order],0)),"")</f>
        <v>#N/A</v>
      </c>
      <c r="N100" t="e">
        <f>IF(OR(D100=Lookup!$L$11,D100=Lookup!$L$12),INDEX(views[[1]:[25]],MATCH($E100,views[object_id order],0),G100),"")</f>
        <v>#N/A</v>
      </c>
      <c r="O100" t="str">
        <f t="shared" si="4"/>
        <v/>
      </c>
      <c r="P100" s="8" t="e">
        <f>INDEX(Lookup!$M$5:$M$12,MATCH(D100,Lookup!$L$5:$L$12,0))&amp;
K100&amp;L100&amp;M100&amp;N100&amp;
INDEX(Lookup!$N$5:$N$12,MATCH(D100,Lookup!$L$5:$L$12,0))</f>
        <v>#N/A</v>
      </c>
    </row>
    <row r="101" spans="2:16" x14ac:dyDescent="0.45">
      <c r="B101">
        <f t="shared" si="3"/>
        <v>99</v>
      </c>
      <c r="C101" t="e">
        <f t="shared" si="5"/>
        <v>#N/A</v>
      </c>
      <c r="D101" t="e">
        <f>VLOOKUP(C101,Lookup!$K$5:$L$12,2,FALSE)</f>
        <v>#N/A</v>
      </c>
      <c r="E101" t="e">
        <f>IF(D101=Lookup!$L$5,E100+1,E100)</f>
        <v>#N/A</v>
      </c>
      <c r="F101" s="3" t="e">
        <f>INDEX(views[Entities count],MATCH('view-code'!E101,views[object_id order],0))</f>
        <v>#N/A</v>
      </c>
      <c r="G101" t="e">
        <f>IF(D100=Lookup!$L$10,1,IF(D100=Lookup!$L$11,G100+1,""))</f>
        <v>#N/A</v>
      </c>
      <c r="H101" t="e">
        <f>IF(F101=1,IF(D101=Lookup!$L$10,2,1),IF(G101&lt;F101-1,0,1))</f>
        <v>#N/A</v>
      </c>
      <c r="I101" t="e">
        <f>IF(D101&lt;&gt;Lookup!$L$7,0,IF(INDEX(views[name],MATCH(E101,views[object_id order],0))&lt;&gt;"",0,1))</f>
        <v>#N/A</v>
      </c>
      <c r="J101" t="e">
        <f>IF(D101&lt;&gt;Lookup!$L$7,0,IF(INDEX(views[icon],MATCH(E101,views[object_id order],0))&lt;&gt;"",0,1))</f>
        <v>#N/A</v>
      </c>
      <c r="K101" t="e">
        <f>IF($D101=Lookup!$L$6,INDEX(views[object_id],MATCH($E101,views[object_id order],0)),"")</f>
        <v>#N/A</v>
      </c>
      <c r="L101" t="e">
        <f>IF($D101=Lookup!$L$8,INDEX(views[name],MATCH($E101,views[object_id order],0)),"")</f>
        <v>#N/A</v>
      </c>
      <c r="M101" t="e">
        <f>IF($D101=Lookup!$L$9,INDEX(views[icon],MATCH($E101,views[object_id order],0)),"")</f>
        <v>#N/A</v>
      </c>
      <c r="N101" t="e">
        <f>IF(OR(D101=Lookup!$L$11,D101=Lookup!$L$12),INDEX(views[[1]:[25]],MATCH($E101,views[object_id order],0),G101),"")</f>
        <v>#N/A</v>
      </c>
      <c r="O101" t="str">
        <f t="shared" si="4"/>
        <v/>
      </c>
      <c r="P101" s="8" t="e">
        <f>INDEX(Lookup!$M$5:$M$12,MATCH(D101,Lookup!$L$5:$L$12,0))&amp;
K101&amp;L101&amp;M101&amp;N101&amp;
INDEX(Lookup!$N$5:$N$12,MATCH(D101,Lookup!$L$5:$L$12,0))</f>
        <v>#N/A</v>
      </c>
    </row>
    <row r="102" spans="2:16" x14ac:dyDescent="0.45">
      <c r="B102">
        <f t="shared" si="3"/>
        <v>100</v>
      </c>
      <c r="C102" t="e">
        <f t="shared" si="5"/>
        <v>#N/A</v>
      </c>
      <c r="D102" t="e">
        <f>VLOOKUP(C102,Lookup!$K$5:$L$12,2,FALSE)</f>
        <v>#N/A</v>
      </c>
      <c r="E102" t="e">
        <f>IF(D102=Lookup!$L$5,E101+1,E101)</f>
        <v>#N/A</v>
      </c>
      <c r="F102" s="3" t="e">
        <f>INDEX(views[Entities count],MATCH('view-code'!E102,views[object_id order],0))</f>
        <v>#N/A</v>
      </c>
      <c r="G102" t="e">
        <f>IF(D101=Lookup!$L$10,1,IF(D101=Lookup!$L$11,G101+1,""))</f>
        <v>#N/A</v>
      </c>
      <c r="H102" t="e">
        <f>IF(F102=1,IF(D102=Lookup!$L$10,2,1),IF(G102&lt;F102-1,0,1))</f>
        <v>#N/A</v>
      </c>
      <c r="I102" t="e">
        <f>IF(D102&lt;&gt;Lookup!$L$7,0,IF(INDEX(views[name],MATCH(E102,views[object_id order],0))&lt;&gt;"",0,1))</f>
        <v>#N/A</v>
      </c>
      <c r="J102" t="e">
        <f>IF(D102&lt;&gt;Lookup!$L$7,0,IF(INDEX(views[icon],MATCH(E102,views[object_id order],0))&lt;&gt;"",0,1))</f>
        <v>#N/A</v>
      </c>
      <c r="K102" t="e">
        <f>IF($D102=Lookup!$L$6,INDEX(views[object_id],MATCH($E102,views[object_id order],0)),"")</f>
        <v>#N/A</v>
      </c>
      <c r="L102" t="e">
        <f>IF($D102=Lookup!$L$8,INDEX(views[name],MATCH($E102,views[object_id order],0)),"")</f>
        <v>#N/A</v>
      </c>
      <c r="M102" t="e">
        <f>IF($D102=Lookup!$L$9,INDEX(views[icon],MATCH($E102,views[object_id order],0)),"")</f>
        <v>#N/A</v>
      </c>
      <c r="N102" t="e">
        <f>IF(OR(D102=Lookup!$L$11,D102=Lookup!$L$12),INDEX(views[[1]:[25]],MATCH($E102,views[object_id order],0),G102),"")</f>
        <v>#N/A</v>
      </c>
      <c r="O102" t="str">
        <f t="shared" si="4"/>
        <v/>
      </c>
      <c r="P102" s="8" t="e">
        <f>INDEX(Lookup!$M$5:$M$12,MATCH(D102,Lookup!$L$5:$L$12,0))&amp;
K102&amp;L102&amp;M102&amp;N102&amp;
INDEX(Lookup!$N$5:$N$12,MATCH(D102,Lookup!$L$5:$L$12,0))</f>
        <v>#N/A</v>
      </c>
    </row>
    <row r="103" spans="2:16" x14ac:dyDescent="0.45">
      <c r="B103">
        <f t="shared" si="3"/>
        <v>101</v>
      </c>
      <c r="C103" t="e">
        <f t="shared" si="5"/>
        <v>#N/A</v>
      </c>
      <c r="D103" t="e">
        <f>VLOOKUP(C103,Lookup!$K$5:$L$12,2,FALSE)</f>
        <v>#N/A</v>
      </c>
      <c r="E103" t="e">
        <f>IF(D103=Lookup!$L$5,E102+1,E102)</f>
        <v>#N/A</v>
      </c>
      <c r="F103" s="3" t="e">
        <f>INDEX(views[Entities count],MATCH('view-code'!E103,views[object_id order],0))</f>
        <v>#N/A</v>
      </c>
      <c r="G103" t="e">
        <f>IF(D102=Lookup!$L$10,1,IF(D102=Lookup!$L$11,G102+1,""))</f>
        <v>#N/A</v>
      </c>
      <c r="H103" t="e">
        <f>IF(F103=1,IF(D103=Lookup!$L$10,2,1),IF(G103&lt;F103-1,0,1))</f>
        <v>#N/A</v>
      </c>
      <c r="I103" t="e">
        <f>IF(D103&lt;&gt;Lookup!$L$7,0,IF(INDEX(views[name],MATCH(E103,views[object_id order],0))&lt;&gt;"",0,1))</f>
        <v>#N/A</v>
      </c>
      <c r="J103" t="e">
        <f>IF(D103&lt;&gt;Lookup!$L$7,0,IF(INDEX(views[icon],MATCH(E103,views[object_id order],0))&lt;&gt;"",0,1))</f>
        <v>#N/A</v>
      </c>
      <c r="K103" t="e">
        <f>IF($D103=Lookup!$L$6,INDEX(views[object_id],MATCH($E103,views[object_id order],0)),"")</f>
        <v>#N/A</v>
      </c>
      <c r="L103" t="e">
        <f>IF($D103=Lookup!$L$8,INDEX(views[name],MATCH($E103,views[object_id order],0)),"")</f>
        <v>#N/A</v>
      </c>
      <c r="M103" t="e">
        <f>IF($D103=Lookup!$L$9,INDEX(views[icon],MATCH($E103,views[object_id order],0)),"")</f>
        <v>#N/A</v>
      </c>
      <c r="N103" t="e">
        <f>IF(OR(D103=Lookup!$L$11,D103=Lookup!$L$12),INDEX(views[[1]:[25]],MATCH($E103,views[object_id order],0),G103),"")</f>
        <v>#N/A</v>
      </c>
      <c r="O103" t="str">
        <f t="shared" si="4"/>
        <v/>
      </c>
      <c r="P103" s="8" t="e">
        <f>INDEX(Lookup!$M$5:$M$12,MATCH(D103,Lookup!$L$5:$L$12,0))&amp;
K103&amp;L103&amp;M103&amp;N103&amp;
INDEX(Lookup!$N$5:$N$12,MATCH(D103,Lookup!$L$5:$L$12,0))</f>
        <v>#N/A</v>
      </c>
    </row>
    <row r="104" spans="2:16" x14ac:dyDescent="0.45">
      <c r="B104">
        <f t="shared" si="3"/>
        <v>102</v>
      </c>
      <c r="C104" t="e">
        <f t="shared" si="5"/>
        <v>#N/A</v>
      </c>
      <c r="D104" t="e">
        <f>VLOOKUP(C104,Lookup!$K$5:$L$12,2,FALSE)</f>
        <v>#N/A</v>
      </c>
      <c r="E104" t="e">
        <f>IF(D104=Lookup!$L$5,E103+1,E103)</f>
        <v>#N/A</v>
      </c>
      <c r="F104" s="3" t="e">
        <f>INDEX(views[Entities count],MATCH('view-code'!E104,views[object_id order],0))</f>
        <v>#N/A</v>
      </c>
      <c r="G104" t="e">
        <f>IF(D103=Lookup!$L$10,1,IF(D103=Lookup!$L$11,G103+1,""))</f>
        <v>#N/A</v>
      </c>
      <c r="H104" t="e">
        <f>IF(F104=1,IF(D104=Lookup!$L$10,2,1),IF(G104&lt;F104-1,0,1))</f>
        <v>#N/A</v>
      </c>
      <c r="I104" t="e">
        <f>IF(D104&lt;&gt;Lookup!$L$7,0,IF(INDEX(views[name],MATCH(E104,views[object_id order],0))&lt;&gt;"",0,1))</f>
        <v>#N/A</v>
      </c>
      <c r="J104" t="e">
        <f>IF(D104&lt;&gt;Lookup!$L$7,0,IF(INDEX(views[icon],MATCH(E104,views[object_id order],0))&lt;&gt;"",0,1))</f>
        <v>#N/A</v>
      </c>
      <c r="K104" t="e">
        <f>IF($D104=Lookup!$L$6,INDEX(views[object_id],MATCH($E104,views[object_id order],0)),"")</f>
        <v>#N/A</v>
      </c>
      <c r="L104" t="e">
        <f>IF($D104=Lookup!$L$8,INDEX(views[name],MATCH($E104,views[object_id order],0)),"")</f>
        <v>#N/A</v>
      </c>
      <c r="M104" t="e">
        <f>IF($D104=Lookup!$L$9,INDEX(views[icon],MATCH($E104,views[object_id order],0)),"")</f>
        <v>#N/A</v>
      </c>
      <c r="N104" t="e">
        <f>IF(OR(D104=Lookup!$L$11,D104=Lookup!$L$12),INDEX(views[[1]:[25]],MATCH($E104,views[object_id order],0),G104),"")</f>
        <v>#N/A</v>
      </c>
      <c r="O104" t="str">
        <f t="shared" si="4"/>
        <v/>
      </c>
      <c r="P104" s="8" t="e">
        <f>INDEX(Lookup!$M$5:$M$12,MATCH(D104,Lookup!$L$5:$L$12,0))&amp;
K104&amp;L104&amp;M104&amp;N104&amp;
INDEX(Lookup!$N$5:$N$12,MATCH(D104,Lookup!$L$5:$L$12,0))</f>
        <v>#N/A</v>
      </c>
    </row>
    <row r="105" spans="2:16" x14ac:dyDescent="0.45">
      <c r="B105">
        <f t="shared" si="3"/>
        <v>103</v>
      </c>
      <c r="C105" t="e">
        <f t="shared" si="5"/>
        <v>#N/A</v>
      </c>
      <c r="D105" t="e">
        <f>VLOOKUP(C105,Lookup!$K$5:$L$12,2,FALSE)</f>
        <v>#N/A</v>
      </c>
      <c r="E105" t="e">
        <f>IF(D105=Lookup!$L$5,E104+1,E104)</f>
        <v>#N/A</v>
      </c>
      <c r="F105" s="3" t="e">
        <f>INDEX(views[Entities count],MATCH('view-code'!E105,views[object_id order],0))</f>
        <v>#N/A</v>
      </c>
      <c r="G105" t="e">
        <f>IF(D104=Lookup!$L$10,1,IF(D104=Lookup!$L$11,G104+1,""))</f>
        <v>#N/A</v>
      </c>
      <c r="H105" t="e">
        <f>IF(F105=1,IF(D105=Lookup!$L$10,2,1),IF(G105&lt;F105-1,0,1))</f>
        <v>#N/A</v>
      </c>
      <c r="I105" t="e">
        <f>IF(D105&lt;&gt;Lookup!$L$7,0,IF(INDEX(views[name],MATCH(E105,views[object_id order],0))&lt;&gt;"",0,1))</f>
        <v>#N/A</v>
      </c>
      <c r="J105" t="e">
        <f>IF(D105&lt;&gt;Lookup!$L$7,0,IF(INDEX(views[icon],MATCH(E105,views[object_id order],0))&lt;&gt;"",0,1))</f>
        <v>#N/A</v>
      </c>
      <c r="K105" t="e">
        <f>IF($D105=Lookup!$L$6,INDEX(views[object_id],MATCH($E105,views[object_id order],0)),"")</f>
        <v>#N/A</v>
      </c>
      <c r="L105" t="e">
        <f>IF($D105=Lookup!$L$8,INDEX(views[name],MATCH($E105,views[object_id order],0)),"")</f>
        <v>#N/A</v>
      </c>
      <c r="M105" t="e">
        <f>IF($D105=Lookup!$L$9,INDEX(views[icon],MATCH($E105,views[object_id order],0)),"")</f>
        <v>#N/A</v>
      </c>
      <c r="N105" t="e">
        <f>IF(OR(D105=Lookup!$L$11,D105=Lookup!$L$12),INDEX(views[[1]:[25]],MATCH($E105,views[object_id order],0),G105),"")</f>
        <v>#N/A</v>
      </c>
      <c r="O105" t="str">
        <f t="shared" si="4"/>
        <v/>
      </c>
      <c r="P105" s="8" t="e">
        <f>INDEX(Lookup!$M$5:$M$12,MATCH(D105,Lookup!$L$5:$L$12,0))&amp;
K105&amp;L105&amp;M105&amp;N105&amp;
INDEX(Lookup!$N$5:$N$12,MATCH(D105,Lookup!$L$5:$L$12,0))</f>
        <v>#N/A</v>
      </c>
    </row>
    <row r="106" spans="2:16" x14ac:dyDescent="0.45">
      <c r="B106">
        <f t="shared" si="3"/>
        <v>104</v>
      </c>
      <c r="C106" t="e">
        <f t="shared" si="5"/>
        <v>#N/A</v>
      </c>
      <c r="D106" t="e">
        <f>VLOOKUP(C106,Lookup!$K$5:$L$12,2,FALSE)</f>
        <v>#N/A</v>
      </c>
      <c r="E106" t="e">
        <f>IF(D106=Lookup!$L$5,E105+1,E105)</f>
        <v>#N/A</v>
      </c>
      <c r="F106" s="3" t="e">
        <f>INDEX(views[Entities count],MATCH('view-code'!E106,views[object_id order],0))</f>
        <v>#N/A</v>
      </c>
      <c r="G106" t="e">
        <f>IF(D105=Lookup!$L$10,1,IF(D105=Lookup!$L$11,G105+1,""))</f>
        <v>#N/A</v>
      </c>
      <c r="H106" t="e">
        <f>IF(F106=1,IF(D106=Lookup!$L$10,2,1),IF(G106&lt;F106-1,0,1))</f>
        <v>#N/A</v>
      </c>
      <c r="I106" t="e">
        <f>IF(D106&lt;&gt;Lookup!$L$7,0,IF(INDEX(views[name],MATCH(E106,views[object_id order],0))&lt;&gt;"",0,1))</f>
        <v>#N/A</v>
      </c>
      <c r="J106" t="e">
        <f>IF(D106&lt;&gt;Lookup!$L$7,0,IF(INDEX(views[icon],MATCH(E106,views[object_id order],0))&lt;&gt;"",0,1))</f>
        <v>#N/A</v>
      </c>
      <c r="K106" t="e">
        <f>IF($D106=Lookup!$L$6,INDEX(views[object_id],MATCH($E106,views[object_id order],0)),"")</f>
        <v>#N/A</v>
      </c>
      <c r="L106" t="e">
        <f>IF($D106=Lookup!$L$8,INDEX(views[name],MATCH($E106,views[object_id order],0)),"")</f>
        <v>#N/A</v>
      </c>
      <c r="M106" t="e">
        <f>IF($D106=Lookup!$L$9,INDEX(views[icon],MATCH($E106,views[object_id order],0)),"")</f>
        <v>#N/A</v>
      </c>
      <c r="N106" t="e">
        <f>IF(OR(D106=Lookup!$L$11,D106=Lookup!$L$12),INDEX(views[[1]:[25]],MATCH($E106,views[object_id order],0),G106),"")</f>
        <v>#N/A</v>
      </c>
      <c r="O106" t="str">
        <f t="shared" si="4"/>
        <v/>
      </c>
      <c r="P106" s="8" t="e">
        <f>INDEX(Lookup!$M$5:$M$12,MATCH(D106,Lookup!$L$5:$L$12,0))&amp;
K106&amp;L106&amp;M106&amp;N106&amp;
INDEX(Lookup!$N$5:$N$12,MATCH(D106,Lookup!$L$5:$L$12,0))</f>
        <v>#N/A</v>
      </c>
    </row>
    <row r="107" spans="2:16" x14ac:dyDescent="0.45">
      <c r="B107">
        <f t="shared" si="3"/>
        <v>105</v>
      </c>
      <c r="C107" t="e">
        <f t="shared" si="5"/>
        <v>#N/A</v>
      </c>
      <c r="D107" t="e">
        <f>VLOOKUP(C107,Lookup!$K$5:$L$12,2,FALSE)</f>
        <v>#N/A</v>
      </c>
      <c r="E107" t="e">
        <f>IF(D107=Lookup!$L$5,E106+1,E106)</f>
        <v>#N/A</v>
      </c>
      <c r="F107" s="3" t="e">
        <f>INDEX(views[Entities count],MATCH('view-code'!E107,views[object_id order],0))</f>
        <v>#N/A</v>
      </c>
      <c r="G107" t="e">
        <f>IF(D106=Lookup!$L$10,1,IF(D106=Lookup!$L$11,G106+1,""))</f>
        <v>#N/A</v>
      </c>
      <c r="H107" t="e">
        <f>IF(F107=1,IF(D107=Lookup!$L$10,2,1),IF(G107&lt;F107-1,0,1))</f>
        <v>#N/A</v>
      </c>
      <c r="I107" t="e">
        <f>IF(D107&lt;&gt;Lookup!$L$7,0,IF(INDEX(views[name],MATCH(E107,views[object_id order],0))&lt;&gt;"",0,1))</f>
        <v>#N/A</v>
      </c>
      <c r="J107" t="e">
        <f>IF(D107&lt;&gt;Lookup!$L$7,0,IF(INDEX(views[icon],MATCH(E107,views[object_id order],0))&lt;&gt;"",0,1))</f>
        <v>#N/A</v>
      </c>
      <c r="K107" t="e">
        <f>IF($D107=Lookup!$L$6,INDEX(views[object_id],MATCH($E107,views[object_id order],0)),"")</f>
        <v>#N/A</v>
      </c>
      <c r="L107" t="e">
        <f>IF($D107=Lookup!$L$8,INDEX(views[name],MATCH($E107,views[object_id order],0)),"")</f>
        <v>#N/A</v>
      </c>
      <c r="M107" t="e">
        <f>IF($D107=Lookup!$L$9,INDEX(views[icon],MATCH($E107,views[object_id order],0)),"")</f>
        <v>#N/A</v>
      </c>
      <c r="N107" t="e">
        <f>IF(OR(D107=Lookup!$L$11,D107=Lookup!$L$12),INDEX(views[[1]:[25]],MATCH($E107,views[object_id order],0),G107),"")</f>
        <v>#N/A</v>
      </c>
      <c r="O107" t="str">
        <f t="shared" si="4"/>
        <v/>
      </c>
      <c r="P107" s="8" t="e">
        <f>INDEX(Lookup!$M$5:$M$12,MATCH(D107,Lookup!$L$5:$L$12,0))&amp;
K107&amp;L107&amp;M107&amp;N107&amp;
INDEX(Lookup!$N$5:$N$12,MATCH(D107,Lookup!$L$5:$L$12,0))</f>
        <v>#N/A</v>
      </c>
    </row>
    <row r="108" spans="2:16" x14ac:dyDescent="0.45">
      <c r="B108">
        <f t="shared" si="3"/>
        <v>106</v>
      </c>
      <c r="C108" t="e">
        <f t="shared" si="5"/>
        <v>#N/A</v>
      </c>
      <c r="D108" t="e">
        <f>VLOOKUP(C108,Lookup!$K$5:$L$12,2,FALSE)</f>
        <v>#N/A</v>
      </c>
      <c r="E108" t="e">
        <f>IF(D108=Lookup!$L$5,E107+1,E107)</f>
        <v>#N/A</v>
      </c>
      <c r="F108" s="3" t="e">
        <f>INDEX(views[Entities count],MATCH('view-code'!E108,views[object_id order],0))</f>
        <v>#N/A</v>
      </c>
      <c r="G108" t="e">
        <f>IF(D107=Lookup!$L$10,1,IF(D107=Lookup!$L$11,G107+1,""))</f>
        <v>#N/A</v>
      </c>
      <c r="H108" t="e">
        <f>IF(F108=1,IF(D108=Lookup!$L$10,2,1),IF(G108&lt;F108-1,0,1))</f>
        <v>#N/A</v>
      </c>
      <c r="I108" t="e">
        <f>IF(D108&lt;&gt;Lookup!$L$7,0,IF(INDEX(views[name],MATCH(E108,views[object_id order],0))&lt;&gt;"",0,1))</f>
        <v>#N/A</v>
      </c>
      <c r="J108" t="e">
        <f>IF(D108&lt;&gt;Lookup!$L$7,0,IF(INDEX(views[icon],MATCH(E108,views[object_id order],0))&lt;&gt;"",0,1))</f>
        <v>#N/A</v>
      </c>
      <c r="K108" t="e">
        <f>IF($D108=Lookup!$L$6,INDEX(views[object_id],MATCH($E108,views[object_id order],0)),"")</f>
        <v>#N/A</v>
      </c>
      <c r="L108" t="e">
        <f>IF($D108=Lookup!$L$8,INDEX(views[name],MATCH($E108,views[object_id order],0)),"")</f>
        <v>#N/A</v>
      </c>
      <c r="M108" t="e">
        <f>IF($D108=Lookup!$L$9,INDEX(views[icon],MATCH($E108,views[object_id order],0)),"")</f>
        <v>#N/A</v>
      </c>
      <c r="N108" t="e">
        <f>IF(OR(D108=Lookup!$L$11,D108=Lookup!$L$12),INDEX(views[[1]:[25]],MATCH($E108,views[object_id order],0),G108),"")</f>
        <v>#N/A</v>
      </c>
      <c r="O108" t="str">
        <f t="shared" si="4"/>
        <v/>
      </c>
      <c r="P108" s="8" t="e">
        <f>INDEX(Lookup!$M$5:$M$12,MATCH(D108,Lookup!$L$5:$L$12,0))&amp;
K108&amp;L108&amp;M108&amp;N108&amp;
INDEX(Lookup!$N$5:$N$12,MATCH(D108,Lookup!$L$5:$L$12,0))</f>
        <v>#N/A</v>
      </c>
    </row>
    <row r="109" spans="2:16" x14ac:dyDescent="0.45">
      <c r="B109">
        <f t="shared" si="3"/>
        <v>107</v>
      </c>
      <c r="C109" t="e">
        <f t="shared" si="5"/>
        <v>#N/A</v>
      </c>
      <c r="D109" t="e">
        <f>VLOOKUP(C109,Lookup!$K$5:$L$12,2,FALSE)</f>
        <v>#N/A</v>
      </c>
      <c r="E109" t="e">
        <f>IF(D109=Lookup!$L$5,E108+1,E108)</f>
        <v>#N/A</v>
      </c>
      <c r="F109" s="3" t="e">
        <f>INDEX(views[Entities count],MATCH('view-code'!E109,views[object_id order],0))</f>
        <v>#N/A</v>
      </c>
      <c r="G109" t="e">
        <f>IF(D108=Lookup!$L$10,1,IF(D108=Lookup!$L$11,G108+1,""))</f>
        <v>#N/A</v>
      </c>
      <c r="H109" t="e">
        <f>IF(F109=1,IF(D109=Lookup!$L$10,2,1),IF(G109&lt;F109-1,0,1))</f>
        <v>#N/A</v>
      </c>
      <c r="I109" t="e">
        <f>IF(D109&lt;&gt;Lookup!$L$7,0,IF(INDEX(views[name],MATCH(E109,views[object_id order],0))&lt;&gt;"",0,1))</f>
        <v>#N/A</v>
      </c>
      <c r="J109" t="e">
        <f>IF(D109&lt;&gt;Lookup!$L$7,0,IF(INDEX(views[icon],MATCH(E109,views[object_id order],0))&lt;&gt;"",0,1))</f>
        <v>#N/A</v>
      </c>
      <c r="K109" t="e">
        <f>IF($D109=Lookup!$L$6,INDEX(views[object_id],MATCH($E109,views[object_id order],0)),"")</f>
        <v>#N/A</v>
      </c>
      <c r="L109" t="e">
        <f>IF($D109=Lookup!$L$8,INDEX(views[name],MATCH($E109,views[object_id order],0)),"")</f>
        <v>#N/A</v>
      </c>
      <c r="M109" t="e">
        <f>IF($D109=Lookup!$L$9,INDEX(views[icon],MATCH($E109,views[object_id order],0)),"")</f>
        <v>#N/A</v>
      </c>
      <c r="N109" t="e">
        <f>IF(OR(D109=Lookup!$L$11,D109=Lookup!$L$12),INDEX(views[[1]:[25]],MATCH($E109,views[object_id order],0),G109),"")</f>
        <v>#N/A</v>
      </c>
      <c r="O109" t="str">
        <f t="shared" si="4"/>
        <v/>
      </c>
      <c r="P109" s="8" t="e">
        <f>INDEX(Lookup!$M$5:$M$12,MATCH(D109,Lookup!$L$5:$L$12,0))&amp;
K109&amp;L109&amp;M109&amp;N109&amp;
INDEX(Lookup!$N$5:$N$12,MATCH(D109,Lookup!$L$5:$L$12,0))</f>
        <v>#N/A</v>
      </c>
    </row>
    <row r="110" spans="2:16" x14ac:dyDescent="0.45">
      <c r="B110">
        <f t="shared" si="3"/>
        <v>108</v>
      </c>
      <c r="C110" t="e">
        <f t="shared" si="5"/>
        <v>#N/A</v>
      </c>
      <c r="D110" t="e">
        <f>VLOOKUP(C110,Lookup!$K$5:$L$12,2,FALSE)</f>
        <v>#N/A</v>
      </c>
      <c r="E110" t="e">
        <f>IF(D110=Lookup!$L$5,E109+1,E109)</f>
        <v>#N/A</v>
      </c>
      <c r="F110" s="3" t="e">
        <f>INDEX(views[Entities count],MATCH('view-code'!E110,views[object_id order],0))</f>
        <v>#N/A</v>
      </c>
      <c r="G110" t="e">
        <f>IF(D109=Lookup!$L$10,1,IF(D109=Lookup!$L$11,G109+1,""))</f>
        <v>#N/A</v>
      </c>
      <c r="H110" t="e">
        <f>IF(F110=1,IF(D110=Lookup!$L$10,2,1),IF(G110&lt;F110-1,0,1))</f>
        <v>#N/A</v>
      </c>
      <c r="I110" t="e">
        <f>IF(D110&lt;&gt;Lookup!$L$7,0,IF(INDEX(views[name],MATCH(E110,views[object_id order],0))&lt;&gt;"",0,1))</f>
        <v>#N/A</v>
      </c>
      <c r="J110" t="e">
        <f>IF(D110&lt;&gt;Lookup!$L$7,0,IF(INDEX(views[icon],MATCH(E110,views[object_id order],0))&lt;&gt;"",0,1))</f>
        <v>#N/A</v>
      </c>
      <c r="K110" t="e">
        <f>IF($D110=Lookup!$L$6,INDEX(views[object_id],MATCH($E110,views[object_id order],0)),"")</f>
        <v>#N/A</v>
      </c>
      <c r="L110" t="e">
        <f>IF($D110=Lookup!$L$8,INDEX(views[name],MATCH($E110,views[object_id order],0)),"")</f>
        <v>#N/A</v>
      </c>
      <c r="M110" t="e">
        <f>IF($D110=Lookup!$L$9,INDEX(views[icon],MATCH($E110,views[object_id order],0)),"")</f>
        <v>#N/A</v>
      </c>
      <c r="N110" t="e">
        <f>IF(OR(D110=Lookup!$L$11,D110=Lookup!$L$12),INDEX(views[[1]:[25]],MATCH($E110,views[object_id order],0),G110),"")</f>
        <v>#N/A</v>
      </c>
      <c r="O110" t="str">
        <f t="shared" si="4"/>
        <v/>
      </c>
      <c r="P110" s="8" t="e">
        <f>INDEX(Lookup!$M$5:$M$12,MATCH(D110,Lookup!$L$5:$L$12,0))&amp;
K110&amp;L110&amp;M110&amp;N110&amp;
INDEX(Lookup!$N$5:$N$12,MATCH(D110,Lookup!$L$5:$L$12,0))</f>
        <v>#N/A</v>
      </c>
    </row>
    <row r="111" spans="2:16" x14ac:dyDescent="0.45">
      <c r="B111">
        <f t="shared" si="3"/>
        <v>109</v>
      </c>
      <c r="C111" t="e">
        <f t="shared" si="5"/>
        <v>#N/A</v>
      </c>
      <c r="D111" t="e">
        <f>VLOOKUP(C111,Lookup!$K$5:$L$12,2,FALSE)</f>
        <v>#N/A</v>
      </c>
      <c r="E111" t="e">
        <f>IF(D111=Lookup!$L$5,E110+1,E110)</f>
        <v>#N/A</v>
      </c>
      <c r="F111" s="3" t="e">
        <f>INDEX(views[Entities count],MATCH('view-code'!E111,views[object_id order],0))</f>
        <v>#N/A</v>
      </c>
      <c r="G111" t="e">
        <f>IF(D110=Lookup!$L$10,1,IF(D110=Lookup!$L$11,G110+1,""))</f>
        <v>#N/A</v>
      </c>
      <c r="H111" t="e">
        <f>IF(F111=1,IF(D111=Lookup!$L$10,2,1),IF(G111&lt;F111-1,0,1))</f>
        <v>#N/A</v>
      </c>
      <c r="I111" t="e">
        <f>IF(D111&lt;&gt;Lookup!$L$7,0,IF(INDEX(views[name],MATCH(E111,views[object_id order],0))&lt;&gt;"",0,1))</f>
        <v>#N/A</v>
      </c>
      <c r="J111" t="e">
        <f>IF(D111&lt;&gt;Lookup!$L$7,0,IF(INDEX(views[icon],MATCH(E111,views[object_id order],0))&lt;&gt;"",0,1))</f>
        <v>#N/A</v>
      </c>
      <c r="K111" t="e">
        <f>IF($D111=Lookup!$L$6,INDEX(views[object_id],MATCH($E111,views[object_id order],0)),"")</f>
        <v>#N/A</v>
      </c>
      <c r="L111" t="e">
        <f>IF($D111=Lookup!$L$8,INDEX(views[name],MATCH($E111,views[object_id order],0)),"")</f>
        <v>#N/A</v>
      </c>
      <c r="M111" t="e">
        <f>IF($D111=Lookup!$L$9,INDEX(views[icon],MATCH($E111,views[object_id order],0)),"")</f>
        <v>#N/A</v>
      </c>
      <c r="N111" t="e">
        <f>IF(OR(D111=Lookup!$L$11,D111=Lookup!$L$12),INDEX(views[[1]:[25]],MATCH($E111,views[object_id order],0),G111),"")</f>
        <v>#N/A</v>
      </c>
      <c r="O111" t="str">
        <f t="shared" si="4"/>
        <v/>
      </c>
      <c r="P111" s="8" t="e">
        <f>INDEX(Lookup!$M$5:$M$12,MATCH(D111,Lookup!$L$5:$L$12,0))&amp;
K111&amp;L111&amp;M111&amp;N111&amp;
INDEX(Lookup!$N$5:$N$12,MATCH(D111,Lookup!$L$5:$L$12,0))</f>
        <v>#N/A</v>
      </c>
    </row>
    <row r="112" spans="2:16" x14ac:dyDescent="0.45">
      <c r="B112">
        <f t="shared" si="3"/>
        <v>110</v>
      </c>
      <c r="C112" t="e">
        <f t="shared" si="5"/>
        <v>#N/A</v>
      </c>
      <c r="D112" t="e">
        <f>VLOOKUP(C112,Lookup!$K$5:$L$12,2,FALSE)</f>
        <v>#N/A</v>
      </c>
      <c r="E112" t="e">
        <f>IF(D112=Lookup!$L$5,E111+1,E111)</f>
        <v>#N/A</v>
      </c>
      <c r="F112" s="3" t="e">
        <f>INDEX(views[Entities count],MATCH('view-code'!E112,views[object_id order],0))</f>
        <v>#N/A</v>
      </c>
      <c r="G112" t="e">
        <f>IF(D111=Lookup!$L$10,1,IF(D111=Lookup!$L$11,G111+1,""))</f>
        <v>#N/A</v>
      </c>
      <c r="H112" t="e">
        <f>IF(F112=1,IF(D112=Lookup!$L$10,2,1),IF(G112&lt;F112-1,0,1))</f>
        <v>#N/A</v>
      </c>
      <c r="I112" t="e">
        <f>IF(D112&lt;&gt;Lookup!$L$7,0,IF(INDEX(views[name],MATCH(E112,views[object_id order],0))&lt;&gt;"",0,1))</f>
        <v>#N/A</v>
      </c>
      <c r="J112" t="e">
        <f>IF(D112&lt;&gt;Lookup!$L$7,0,IF(INDEX(views[icon],MATCH(E112,views[object_id order],0))&lt;&gt;"",0,1))</f>
        <v>#N/A</v>
      </c>
      <c r="K112" t="e">
        <f>IF($D112=Lookup!$L$6,INDEX(views[object_id],MATCH($E112,views[object_id order],0)),"")</f>
        <v>#N/A</v>
      </c>
      <c r="L112" t="e">
        <f>IF($D112=Lookup!$L$8,INDEX(views[name],MATCH($E112,views[object_id order],0)),"")</f>
        <v>#N/A</v>
      </c>
      <c r="M112" t="e">
        <f>IF($D112=Lookup!$L$9,INDEX(views[icon],MATCH($E112,views[object_id order],0)),"")</f>
        <v>#N/A</v>
      </c>
      <c r="N112" t="e">
        <f>IF(OR(D112=Lookup!$L$11,D112=Lookup!$L$12),INDEX(views[[1]:[25]],MATCH($E112,views[object_id order],0),G112),"")</f>
        <v>#N/A</v>
      </c>
      <c r="O112" t="str">
        <f t="shared" si="4"/>
        <v/>
      </c>
      <c r="P112" s="8" t="e">
        <f>INDEX(Lookup!$M$5:$M$12,MATCH(D112,Lookup!$L$5:$L$12,0))&amp;
K112&amp;L112&amp;M112&amp;N112&amp;
INDEX(Lookup!$N$5:$N$12,MATCH(D112,Lookup!$L$5:$L$12,0))</f>
        <v>#N/A</v>
      </c>
    </row>
    <row r="113" spans="2:16" x14ac:dyDescent="0.45">
      <c r="B113">
        <f t="shared" si="3"/>
        <v>111</v>
      </c>
      <c r="C113" t="e">
        <f t="shared" si="5"/>
        <v>#N/A</v>
      </c>
      <c r="D113" t="e">
        <f>VLOOKUP(C113,Lookup!$K$5:$L$12,2,FALSE)</f>
        <v>#N/A</v>
      </c>
      <c r="E113" t="e">
        <f>IF(D113=Lookup!$L$5,E112+1,E112)</f>
        <v>#N/A</v>
      </c>
      <c r="F113" s="3" t="e">
        <f>INDEX(views[Entities count],MATCH('view-code'!E113,views[object_id order],0))</f>
        <v>#N/A</v>
      </c>
      <c r="G113" t="e">
        <f>IF(D112=Lookup!$L$10,1,IF(D112=Lookup!$L$11,G112+1,""))</f>
        <v>#N/A</v>
      </c>
      <c r="H113" t="e">
        <f>IF(F113=1,IF(D113=Lookup!$L$10,2,1),IF(G113&lt;F113-1,0,1))</f>
        <v>#N/A</v>
      </c>
      <c r="I113" t="e">
        <f>IF(D113&lt;&gt;Lookup!$L$7,0,IF(INDEX(views[name],MATCH(E113,views[object_id order],0))&lt;&gt;"",0,1))</f>
        <v>#N/A</v>
      </c>
      <c r="J113" t="e">
        <f>IF(D113&lt;&gt;Lookup!$L$7,0,IF(INDEX(views[icon],MATCH(E113,views[object_id order],0))&lt;&gt;"",0,1))</f>
        <v>#N/A</v>
      </c>
      <c r="K113" t="e">
        <f>IF($D113=Lookup!$L$6,INDEX(views[object_id],MATCH($E113,views[object_id order],0)),"")</f>
        <v>#N/A</v>
      </c>
      <c r="L113" t="e">
        <f>IF($D113=Lookup!$L$8,INDEX(views[name],MATCH($E113,views[object_id order],0)),"")</f>
        <v>#N/A</v>
      </c>
      <c r="M113" t="e">
        <f>IF($D113=Lookup!$L$9,INDEX(views[icon],MATCH($E113,views[object_id order],0)),"")</f>
        <v>#N/A</v>
      </c>
      <c r="N113" t="e">
        <f>IF(OR(D113=Lookup!$L$11,D113=Lookup!$L$12),INDEX(views[[1]:[25]],MATCH($E113,views[object_id order],0),G113),"")</f>
        <v>#N/A</v>
      </c>
      <c r="O113" t="str">
        <f t="shared" si="4"/>
        <v/>
      </c>
      <c r="P113" s="8" t="e">
        <f>INDEX(Lookup!$M$5:$M$12,MATCH(D113,Lookup!$L$5:$L$12,0))&amp;
K113&amp;L113&amp;M113&amp;N113&amp;
INDEX(Lookup!$N$5:$N$12,MATCH(D113,Lookup!$L$5:$L$12,0))</f>
        <v>#N/A</v>
      </c>
    </row>
    <row r="114" spans="2:16" x14ac:dyDescent="0.45">
      <c r="B114">
        <f t="shared" si="3"/>
        <v>112</v>
      </c>
      <c r="C114" t="e">
        <f t="shared" si="5"/>
        <v>#N/A</v>
      </c>
      <c r="D114" t="e">
        <f>VLOOKUP(C114,Lookup!$K$5:$L$12,2,FALSE)</f>
        <v>#N/A</v>
      </c>
      <c r="E114" t="e">
        <f>IF(D114=Lookup!$L$5,E113+1,E113)</f>
        <v>#N/A</v>
      </c>
      <c r="F114" s="3" t="e">
        <f>INDEX(views[Entities count],MATCH('view-code'!E114,views[object_id order],0))</f>
        <v>#N/A</v>
      </c>
      <c r="G114" t="e">
        <f>IF(D113=Lookup!$L$10,1,IF(D113=Lookup!$L$11,G113+1,""))</f>
        <v>#N/A</v>
      </c>
      <c r="H114" t="e">
        <f>IF(F114=1,IF(D114=Lookup!$L$10,2,1),IF(G114&lt;F114-1,0,1))</f>
        <v>#N/A</v>
      </c>
      <c r="I114" t="e">
        <f>IF(D114&lt;&gt;Lookup!$L$7,0,IF(INDEX(views[name],MATCH(E114,views[object_id order],0))&lt;&gt;"",0,1))</f>
        <v>#N/A</v>
      </c>
      <c r="J114" t="e">
        <f>IF(D114&lt;&gt;Lookup!$L$7,0,IF(INDEX(views[icon],MATCH(E114,views[object_id order],0))&lt;&gt;"",0,1))</f>
        <v>#N/A</v>
      </c>
      <c r="K114" t="e">
        <f>IF($D114=Lookup!$L$6,INDEX(views[object_id],MATCH($E114,views[object_id order],0)),"")</f>
        <v>#N/A</v>
      </c>
      <c r="L114" t="e">
        <f>IF($D114=Lookup!$L$8,INDEX(views[name],MATCH($E114,views[object_id order],0)),"")</f>
        <v>#N/A</v>
      </c>
      <c r="M114" t="e">
        <f>IF($D114=Lookup!$L$9,INDEX(views[icon],MATCH($E114,views[object_id order],0)),"")</f>
        <v>#N/A</v>
      </c>
      <c r="N114" t="e">
        <f>IF(OR(D114=Lookup!$L$11,D114=Lookup!$L$12),INDEX(views[[1]:[25]],MATCH($E114,views[object_id order],0),G114),"")</f>
        <v>#N/A</v>
      </c>
      <c r="O114" t="str">
        <f t="shared" si="4"/>
        <v/>
      </c>
      <c r="P114" s="8" t="e">
        <f>INDEX(Lookup!$M$5:$M$12,MATCH(D114,Lookup!$L$5:$L$12,0))&amp;
K114&amp;L114&amp;M114&amp;N114&amp;
INDEX(Lookup!$N$5:$N$12,MATCH(D114,Lookup!$L$5:$L$12,0))</f>
        <v>#N/A</v>
      </c>
    </row>
    <row r="115" spans="2:16" x14ac:dyDescent="0.45">
      <c r="B115">
        <f t="shared" si="3"/>
        <v>113</v>
      </c>
      <c r="C115" t="e">
        <f t="shared" si="5"/>
        <v>#N/A</v>
      </c>
      <c r="D115" t="e">
        <f>VLOOKUP(C115,Lookup!$K$5:$L$12,2,FALSE)</f>
        <v>#N/A</v>
      </c>
      <c r="E115" t="e">
        <f>IF(D115=Lookup!$L$5,E114+1,E114)</f>
        <v>#N/A</v>
      </c>
      <c r="F115" s="3" t="e">
        <f>INDEX(views[Entities count],MATCH('view-code'!E115,views[object_id order],0))</f>
        <v>#N/A</v>
      </c>
      <c r="G115" t="e">
        <f>IF(D114=Lookup!$L$10,1,IF(D114=Lookup!$L$11,G114+1,""))</f>
        <v>#N/A</v>
      </c>
      <c r="H115" t="e">
        <f>IF(F115=1,IF(D115=Lookup!$L$10,2,1),IF(G115&lt;F115-1,0,1))</f>
        <v>#N/A</v>
      </c>
      <c r="I115" t="e">
        <f>IF(D115&lt;&gt;Lookup!$L$7,0,IF(INDEX(views[name],MATCH(E115,views[object_id order],0))&lt;&gt;"",0,1))</f>
        <v>#N/A</v>
      </c>
      <c r="J115" t="e">
        <f>IF(D115&lt;&gt;Lookup!$L$7,0,IF(INDEX(views[icon],MATCH(E115,views[object_id order],0))&lt;&gt;"",0,1))</f>
        <v>#N/A</v>
      </c>
      <c r="K115" t="e">
        <f>IF($D115=Lookup!$L$6,INDEX(views[object_id],MATCH($E115,views[object_id order],0)),"")</f>
        <v>#N/A</v>
      </c>
      <c r="L115" t="e">
        <f>IF($D115=Lookup!$L$8,INDEX(views[name],MATCH($E115,views[object_id order],0)),"")</f>
        <v>#N/A</v>
      </c>
      <c r="M115" t="e">
        <f>IF($D115=Lookup!$L$9,INDEX(views[icon],MATCH($E115,views[object_id order],0)),"")</f>
        <v>#N/A</v>
      </c>
      <c r="N115" t="e">
        <f>IF(OR(D115=Lookup!$L$11,D115=Lookup!$L$12),INDEX(views[[1]:[25]],MATCH($E115,views[object_id order],0),G115),"")</f>
        <v>#N/A</v>
      </c>
      <c r="O115" t="str">
        <f t="shared" si="4"/>
        <v/>
      </c>
      <c r="P115" s="8" t="e">
        <f>INDEX(Lookup!$M$5:$M$12,MATCH(D115,Lookup!$L$5:$L$12,0))&amp;
K115&amp;L115&amp;M115&amp;N115&amp;
INDEX(Lookup!$N$5:$N$12,MATCH(D115,Lookup!$L$5:$L$12,0))</f>
        <v>#N/A</v>
      </c>
    </row>
    <row r="116" spans="2:16" x14ac:dyDescent="0.45">
      <c r="B116">
        <f t="shared" si="3"/>
        <v>114</v>
      </c>
      <c r="C116" t="e">
        <f t="shared" si="5"/>
        <v>#N/A</v>
      </c>
      <c r="D116" t="e">
        <f>VLOOKUP(C116,Lookup!$K$5:$L$12,2,FALSE)</f>
        <v>#N/A</v>
      </c>
      <c r="E116" t="e">
        <f>IF(D116=Lookup!$L$5,E115+1,E115)</f>
        <v>#N/A</v>
      </c>
      <c r="F116" s="3" t="e">
        <f>INDEX(views[Entities count],MATCH('view-code'!E116,views[object_id order],0))</f>
        <v>#N/A</v>
      </c>
      <c r="G116" t="e">
        <f>IF(D115=Lookup!$L$10,1,IF(D115=Lookup!$L$11,G115+1,""))</f>
        <v>#N/A</v>
      </c>
      <c r="H116" t="e">
        <f>IF(F116=1,IF(D116=Lookup!$L$10,2,1),IF(G116&lt;F116-1,0,1))</f>
        <v>#N/A</v>
      </c>
      <c r="I116" t="e">
        <f>IF(D116&lt;&gt;Lookup!$L$7,0,IF(INDEX(views[name],MATCH(E116,views[object_id order],0))&lt;&gt;"",0,1))</f>
        <v>#N/A</v>
      </c>
      <c r="J116" t="e">
        <f>IF(D116&lt;&gt;Lookup!$L$7,0,IF(INDEX(views[icon],MATCH(E116,views[object_id order],0))&lt;&gt;"",0,1))</f>
        <v>#N/A</v>
      </c>
      <c r="K116" t="e">
        <f>IF($D116=Lookup!$L$6,INDEX(views[object_id],MATCH($E116,views[object_id order],0)),"")</f>
        <v>#N/A</v>
      </c>
      <c r="L116" t="e">
        <f>IF($D116=Lookup!$L$8,INDEX(views[name],MATCH($E116,views[object_id order],0)),"")</f>
        <v>#N/A</v>
      </c>
      <c r="M116" t="e">
        <f>IF($D116=Lookup!$L$9,INDEX(views[icon],MATCH($E116,views[object_id order],0)),"")</f>
        <v>#N/A</v>
      </c>
      <c r="N116" t="e">
        <f>IF(OR(D116=Lookup!$L$11,D116=Lookup!$L$12),INDEX(views[[1]:[25]],MATCH($E116,views[object_id order],0),G116),"")</f>
        <v>#N/A</v>
      </c>
      <c r="O116" t="str">
        <f t="shared" si="4"/>
        <v/>
      </c>
      <c r="P116" s="8" t="e">
        <f>INDEX(Lookup!$M$5:$M$12,MATCH(D116,Lookup!$L$5:$L$12,0))&amp;
K116&amp;L116&amp;M116&amp;N116&amp;
INDEX(Lookup!$N$5:$N$12,MATCH(D116,Lookup!$L$5:$L$12,0))</f>
        <v>#N/A</v>
      </c>
    </row>
    <row r="117" spans="2:16" x14ac:dyDescent="0.45">
      <c r="B117">
        <f t="shared" si="3"/>
        <v>115</v>
      </c>
      <c r="C117" t="e">
        <f t="shared" si="5"/>
        <v>#N/A</v>
      </c>
      <c r="D117" t="e">
        <f>VLOOKUP(C117,Lookup!$K$5:$L$12,2,FALSE)</f>
        <v>#N/A</v>
      </c>
      <c r="E117" t="e">
        <f>IF(D117=Lookup!$L$5,E116+1,E116)</f>
        <v>#N/A</v>
      </c>
      <c r="F117" s="3" t="e">
        <f>INDEX(views[Entities count],MATCH('view-code'!E117,views[object_id order],0))</f>
        <v>#N/A</v>
      </c>
      <c r="G117" t="e">
        <f>IF(D116=Lookup!$L$10,1,IF(D116=Lookup!$L$11,G116+1,""))</f>
        <v>#N/A</v>
      </c>
      <c r="H117" t="e">
        <f>IF(F117=1,IF(D117=Lookup!$L$10,2,1),IF(G117&lt;F117-1,0,1))</f>
        <v>#N/A</v>
      </c>
      <c r="I117" t="e">
        <f>IF(D117&lt;&gt;Lookup!$L$7,0,IF(INDEX(views[name],MATCH(E117,views[object_id order],0))&lt;&gt;"",0,1))</f>
        <v>#N/A</v>
      </c>
      <c r="J117" t="e">
        <f>IF(D117&lt;&gt;Lookup!$L$7,0,IF(INDEX(views[icon],MATCH(E117,views[object_id order],0))&lt;&gt;"",0,1))</f>
        <v>#N/A</v>
      </c>
      <c r="K117" t="e">
        <f>IF($D117=Lookup!$L$6,INDEX(views[object_id],MATCH($E117,views[object_id order],0)),"")</f>
        <v>#N/A</v>
      </c>
      <c r="L117" t="e">
        <f>IF($D117=Lookup!$L$8,INDEX(views[name],MATCH($E117,views[object_id order],0)),"")</f>
        <v>#N/A</v>
      </c>
      <c r="M117" t="e">
        <f>IF($D117=Lookup!$L$9,INDEX(views[icon],MATCH($E117,views[object_id order],0)),"")</f>
        <v>#N/A</v>
      </c>
      <c r="N117" t="e">
        <f>IF(OR(D117=Lookup!$L$11,D117=Lookup!$L$12),INDEX(views[[1]:[25]],MATCH($E117,views[object_id order],0),G117),"")</f>
        <v>#N/A</v>
      </c>
      <c r="O117" t="str">
        <f t="shared" si="4"/>
        <v/>
      </c>
      <c r="P117" s="8" t="e">
        <f>INDEX(Lookup!$M$5:$M$12,MATCH(D117,Lookup!$L$5:$L$12,0))&amp;
K117&amp;L117&amp;M117&amp;N117&amp;
INDEX(Lookup!$N$5:$N$12,MATCH(D117,Lookup!$L$5:$L$12,0))</f>
        <v>#N/A</v>
      </c>
    </row>
    <row r="118" spans="2:16" x14ac:dyDescent="0.45">
      <c r="B118">
        <f t="shared" si="3"/>
        <v>116</v>
      </c>
      <c r="C118" t="e">
        <f t="shared" si="5"/>
        <v>#N/A</v>
      </c>
      <c r="D118" t="e">
        <f>VLOOKUP(C118,Lookup!$K$5:$L$12,2,FALSE)</f>
        <v>#N/A</v>
      </c>
      <c r="E118" t="e">
        <f>IF(D118=Lookup!$L$5,E117+1,E117)</f>
        <v>#N/A</v>
      </c>
      <c r="F118" s="3" t="e">
        <f>INDEX(views[Entities count],MATCH('view-code'!E118,views[object_id order],0))</f>
        <v>#N/A</v>
      </c>
      <c r="G118" t="e">
        <f>IF(D117=Lookup!$L$10,1,IF(D117=Lookup!$L$11,G117+1,""))</f>
        <v>#N/A</v>
      </c>
      <c r="H118" t="e">
        <f>IF(F118=1,IF(D118=Lookup!$L$10,2,1),IF(G118&lt;F118-1,0,1))</f>
        <v>#N/A</v>
      </c>
      <c r="I118" t="e">
        <f>IF(D118&lt;&gt;Lookup!$L$7,0,IF(INDEX(views[name],MATCH(E118,views[object_id order],0))&lt;&gt;"",0,1))</f>
        <v>#N/A</v>
      </c>
      <c r="J118" t="e">
        <f>IF(D118&lt;&gt;Lookup!$L$7,0,IF(INDEX(views[icon],MATCH(E118,views[object_id order],0))&lt;&gt;"",0,1))</f>
        <v>#N/A</v>
      </c>
      <c r="K118" t="e">
        <f>IF($D118=Lookup!$L$6,INDEX(views[object_id],MATCH($E118,views[object_id order],0)),"")</f>
        <v>#N/A</v>
      </c>
      <c r="L118" t="e">
        <f>IF($D118=Lookup!$L$8,INDEX(views[name],MATCH($E118,views[object_id order],0)),"")</f>
        <v>#N/A</v>
      </c>
      <c r="M118" t="e">
        <f>IF($D118=Lookup!$L$9,INDEX(views[icon],MATCH($E118,views[object_id order],0)),"")</f>
        <v>#N/A</v>
      </c>
      <c r="N118" t="e">
        <f>IF(OR(D118=Lookup!$L$11,D118=Lookup!$L$12),INDEX(views[[1]:[25]],MATCH($E118,views[object_id order],0),G118),"")</f>
        <v>#N/A</v>
      </c>
      <c r="O118" t="str">
        <f t="shared" si="4"/>
        <v/>
      </c>
      <c r="P118" s="8" t="e">
        <f>INDEX(Lookup!$M$5:$M$12,MATCH(D118,Lookup!$L$5:$L$12,0))&amp;
K118&amp;L118&amp;M118&amp;N118&amp;
INDEX(Lookup!$N$5:$N$12,MATCH(D118,Lookup!$L$5:$L$12,0))</f>
        <v>#N/A</v>
      </c>
    </row>
    <row r="119" spans="2:16" x14ac:dyDescent="0.45">
      <c r="B119">
        <f t="shared" si="3"/>
        <v>117</v>
      </c>
      <c r="C119" t="e">
        <f t="shared" si="5"/>
        <v>#N/A</v>
      </c>
      <c r="D119" t="e">
        <f>VLOOKUP(C119,Lookup!$K$5:$L$12,2,FALSE)</f>
        <v>#N/A</v>
      </c>
      <c r="E119" t="e">
        <f>IF(D119=Lookup!$L$5,E118+1,E118)</f>
        <v>#N/A</v>
      </c>
      <c r="F119" s="3" t="e">
        <f>INDEX(views[Entities count],MATCH('view-code'!E119,views[object_id order],0))</f>
        <v>#N/A</v>
      </c>
      <c r="G119" t="e">
        <f>IF(D118=Lookup!$L$10,1,IF(D118=Lookup!$L$11,G118+1,""))</f>
        <v>#N/A</v>
      </c>
      <c r="H119" t="e">
        <f>IF(F119=1,IF(D119=Lookup!$L$10,2,1),IF(G119&lt;F119-1,0,1))</f>
        <v>#N/A</v>
      </c>
      <c r="I119" t="e">
        <f>IF(D119&lt;&gt;Lookup!$L$7,0,IF(INDEX(views[name],MATCH(E119,views[object_id order],0))&lt;&gt;"",0,1))</f>
        <v>#N/A</v>
      </c>
      <c r="J119" t="e">
        <f>IF(D119&lt;&gt;Lookup!$L$7,0,IF(INDEX(views[icon],MATCH(E119,views[object_id order],0))&lt;&gt;"",0,1))</f>
        <v>#N/A</v>
      </c>
      <c r="K119" t="e">
        <f>IF($D119=Lookup!$L$6,INDEX(views[object_id],MATCH($E119,views[object_id order],0)),"")</f>
        <v>#N/A</v>
      </c>
      <c r="L119" t="e">
        <f>IF($D119=Lookup!$L$8,INDEX(views[name],MATCH($E119,views[object_id order],0)),"")</f>
        <v>#N/A</v>
      </c>
      <c r="M119" t="e">
        <f>IF($D119=Lookup!$L$9,INDEX(views[icon],MATCH($E119,views[object_id order],0)),"")</f>
        <v>#N/A</v>
      </c>
      <c r="N119" t="e">
        <f>IF(OR(D119=Lookup!$L$11,D119=Lookup!$L$12),INDEX(views[[1]:[25]],MATCH($E119,views[object_id order],0),G119),"")</f>
        <v>#N/A</v>
      </c>
      <c r="O119" t="str">
        <f t="shared" si="4"/>
        <v/>
      </c>
      <c r="P119" s="8" t="e">
        <f>INDEX(Lookup!$M$5:$M$12,MATCH(D119,Lookup!$L$5:$L$12,0))&amp;
K119&amp;L119&amp;M119&amp;N119&amp;
INDEX(Lookup!$N$5:$N$12,MATCH(D119,Lookup!$L$5:$L$12,0))</f>
        <v>#N/A</v>
      </c>
    </row>
    <row r="120" spans="2:16" x14ac:dyDescent="0.45">
      <c r="B120">
        <f t="shared" si="3"/>
        <v>118</v>
      </c>
      <c r="C120" t="e">
        <f t="shared" si="5"/>
        <v>#N/A</v>
      </c>
      <c r="D120" t="e">
        <f>VLOOKUP(C120,Lookup!$K$5:$L$12,2,FALSE)</f>
        <v>#N/A</v>
      </c>
      <c r="E120" t="e">
        <f>IF(D120=Lookup!$L$5,E119+1,E119)</f>
        <v>#N/A</v>
      </c>
      <c r="F120" s="3" t="e">
        <f>INDEX(views[Entities count],MATCH('view-code'!E120,views[object_id order],0))</f>
        <v>#N/A</v>
      </c>
      <c r="G120" t="e">
        <f>IF(D119=Lookup!$L$10,1,IF(D119=Lookup!$L$11,G119+1,""))</f>
        <v>#N/A</v>
      </c>
      <c r="H120" t="e">
        <f>IF(F120=1,IF(D120=Lookup!$L$10,2,1),IF(G120&lt;F120-1,0,1))</f>
        <v>#N/A</v>
      </c>
      <c r="I120" t="e">
        <f>IF(D120&lt;&gt;Lookup!$L$7,0,IF(INDEX(views[name],MATCH(E120,views[object_id order],0))&lt;&gt;"",0,1))</f>
        <v>#N/A</v>
      </c>
      <c r="J120" t="e">
        <f>IF(D120&lt;&gt;Lookup!$L$7,0,IF(INDEX(views[icon],MATCH(E120,views[object_id order],0))&lt;&gt;"",0,1))</f>
        <v>#N/A</v>
      </c>
      <c r="K120" t="e">
        <f>IF($D120=Lookup!$L$6,INDEX(views[object_id],MATCH($E120,views[object_id order],0)),"")</f>
        <v>#N/A</v>
      </c>
      <c r="L120" t="e">
        <f>IF($D120=Lookup!$L$8,INDEX(views[name],MATCH($E120,views[object_id order],0)),"")</f>
        <v>#N/A</v>
      </c>
      <c r="M120" t="e">
        <f>IF($D120=Lookup!$L$9,INDEX(views[icon],MATCH($E120,views[object_id order],0)),"")</f>
        <v>#N/A</v>
      </c>
      <c r="N120" t="e">
        <f>IF(OR(D120=Lookup!$L$11,D120=Lookup!$L$12),INDEX(views[[1]:[25]],MATCH($E120,views[object_id order],0),G120),"")</f>
        <v>#N/A</v>
      </c>
      <c r="O120" t="str">
        <f t="shared" si="4"/>
        <v/>
      </c>
      <c r="P120" s="8" t="e">
        <f>INDEX(Lookup!$M$5:$M$12,MATCH(D120,Lookup!$L$5:$L$12,0))&amp;
K120&amp;L120&amp;M120&amp;N120&amp;
INDEX(Lookup!$N$5:$N$12,MATCH(D120,Lookup!$L$5:$L$12,0))</f>
        <v>#N/A</v>
      </c>
    </row>
    <row r="121" spans="2:16" x14ac:dyDescent="0.45">
      <c r="B121">
        <f t="shared" si="3"/>
        <v>119</v>
      </c>
      <c r="C121" t="e">
        <f t="shared" si="5"/>
        <v>#N/A</v>
      </c>
      <c r="D121" t="e">
        <f>VLOOKUP(C121,Lookup!$K$5:$L$12,2,FALSE)</f>
        <v>#N/A</v>
      </c>
      <c r="E121" t="e">
        <f>IF(D121=Lookup!$L$5,E120+1,E120)</f>
        <v>#N/A</v>
      </c>
      <c r="F121" s="3" t="e">
        <f>INDEX(views[Entities count],MATCH('view-code'!E121,views[object_id order],0))</f>
        <v>#N/A</v>
      </c>
      <c r="G121" t="e">
        <f>IF(D120=Lookup!$L$10,1,IF(D120=Lookup!$L$11,G120+1,""))</f>
        <v>#N/A</v>
      </c>
      <c r="H121" t="e">
        <f>IF(F121=1,IF(D121=Lookup!$L$10,2,1),IF(G121&lt;F121-1,0,1))</f>
        <v>#N/A</v>
      </c>
      <c r="I121" t="e">
        <f>IF(D121&lt;&gt;Lookup!$L$7,0,IF(INDEX(views[name],MATCH(E121,views[object_id order],0))&lt;&gt;"",0,1))</f>
        <v>#N/A</v>
      </c>
      <c r="J121" t="e">
        <f>IF(D121&lt;&gt;Lookup!$L$7,0,IF(INDEX(views[icon],MATCH(E121,views[object_id order],0))&lt;&gt;"",0,1))</f>
        <v>#N/A</v>
      </c>
      <c r="K121" t="e">
        <f>IF($D121=Lookup!$L$6,INDEX(views[object_id],MATCH($E121,views[object_id order],0)),"")</f>
        <v>#N/A</v>
      </c>
      <c r="L121" t="e">
        <f>IF($D121=Lookup!$L$8,INDEX(views[name],MATCH($E121,views[object_id order],0)),"")</f>
        <v>#N/A</v>
      </c>
      <c r="M121" t="e">
        <f>IF($D121=Lookup!$L$9,INDEX(views[icon],MATCH($E121,views[object_id order],0)),"")</f>
        <v>#N/A</v>
      </c>
      <c r="N121" t="e">
        <f>IF(OR(D121=Lookup!$L$11,D121=Lookup!$L$12),INDEX(views[[1]:[25]],MATCH($E121,views[object_id order],0),G121),"")</f>
        <v>#N/A</v>
      </c>
      <c r="O121" t="str">
        <f t="shared" si="4"/>
        <v/>
      </c>
      <c r="P121" s="8" t="e">
        <f>INDEX(Lookup!$M$5:$M$12,MATCH(D121,Lookup!$L$5:$L$12,0))&amp;
K121&amp;L121&amp;M121&amp;N121&amp;
INDEX(Lookup!$N$5:$N$12,MATCH(D121,Lookup!$L$5:$L$12,0))</f>
        <v>#N/A</v>
      </c>
    </row>
    <row r="122" spans="2:16" x14ac:dyDescent="0.45">
      <c r="B122">
        <f t="shared" si="3"/>
        <v>120</v>
      </c>
      <c r="C122" t="e">
        <f t="shared" si="5"/>
        <v>#N/A</v>
      </c>
      <c r="D122" t="e">
        <f>VLOOKUP(C122,Lookup!$K$5:$L$12,2,FALSE)</f>
        <v>#N/A</v>
      </c>
      <c r="E122" t="e">
        <f>IF(D122=Lookup!$L$5,E121+1,E121)</f>
        <v>#N/A</v>
      </c>
      <c r="F122" s="3" t="e">
        <f>INDEX(views[Entities count],MATCH('view-code'!E122,views[object_id order],0))</f>
        <v>#N/A</v>
      </c>
      <c r="G122" t="e">
        <f>IF(D121=Lookup!$L$10,1,IF(D121=Lookup!$L$11,G121+1,""))</f>
        <v>#N/A</v>
      </c>
      <c r="H122" t="e">
        <f>IF(F122=1,IF(D122=Lookup!$L$10,2,1),IF(G122&lt;F122-1,0,1))</f>
        <v>#N/A</v>
      </c>
      <c r="I122" t="e">
        <f>IF(D122&lt;&gt;Lookup!$L$7,0,IF(INDEX(views[name],MATCH(E122,views[object_id order],0))&lt;&gt;"",0,1))</f>
        <v>#N/A</v>
      </c>
      <c r="J122" t="e">
        <f>IF(D122&lt;&gt;Lookup!$L$7,0,IF(INDEX(views[icon],MATCH(E122,views[object_id order],0))&lt;&gt;"",0,1))</f>
        <v>#N/A</v>
      </c>
      <c r="K122" t="e">
        <f>IF($D122=Lookup!$L$6,INDEX(views[object_id],MATCH($E122,views[object_id order],0)),"")</f>
        <v>#N/A</v>
      </c>
      <c r="L122" t="e">
        <f>IF($D122=Lookup!$L$8,INDEX(views[name],MATCH($E122,views[object_id order],0)),"")</f>
        <v>#N/A</v>
      </c>
      <c r="M122" t="e">
        <f>IF($D122=Lookup!$L$9,INDEX(views[icon],MATCH($E122,views[object_id order],0)),"")</f>
        <v>#N/A</v>
      </c>
      <c r="N122" t="e">
        <f>IF(OR(D122=Lookup!$L$11,D122=Lookup!$L$12),INDEX(views[[1]:[25]],MATCH($E122,views[object_id order],0),G122),"")</f>
        <v>#N/A</v>
      </c>
      <c r="O122" t="str">
        <f t="shared" si="4"/>
        <v/>
      </c>
      <c r="P122" s="8" t="e">
        <f>INDEX(Lookup!$M$5:$M$12,MATCH(D122,Lookup!$L$5:$L$12,0))&amp;
K122&amp;L122&amp;M122&amp;N122&amp;
INDEX(Lookup!$N$5:$N$12,MATCH(D122,Lookup!$L$5:$L$12,0))</f>
        <v>#N/A</v>
      </c>
    </row>
    <row r="123" spans="2:16" x14ac:dyDescent="0.45">
      <c r="B123">
        <f t="shared" si="3"/>
        <v>121</v>
      </c>
      <c r="C123" t="e">
        <f t="shared" si="5"/>
        <v>#N/A</v>
      </c>
      <c r="D123" t="e">
        <f>VLOOKUP(C123,Lookup!$K$5:$L$12,2,FALSE)</f>
        <v>#N/A</v>
      </c>
      <c r="E123" t="e">
        <f>IF(D123=Lookup!$L$5,E122+1,E122)</f>
        <v>#N/A</v>
      </c>
      <c r="F123" s="3" t="e">
        <f>INDEX(views[Entities count],MATCH('view-code'!E123,views[object_id order],0))</f>
        <v>#N/A</v>
      </c>
      <c r="G123" t="e">
        <f>IF(D122=Lookup!$L$10,1,IF(D122=Lookup!$L$11,G122+1,""))</f>
        <v>#N/A</v>
      </c>
      <c r="H123" t="e">
        <f>IF(F123=1,IF(D123=Lookup!$L$10,2,1),IF(G123&lt;F123-1,0,1))</f>
        <v>#N/A</v>
      </c>
      <c r="I123" t="e">
        <f>IF(D123&lt;&gt;Lookup!$L$7,0,IF(INDEX(views[name],MATCH(E123,views[object_id order],0))&lt;&gt;"",0,1))</f>
        <v>#N/A</v>
      </c>
      <c r="J123" t="e">
        <f>IF(D123&lt;&gt;Lookup!$L$7,0,IF(INDEX(views[icon],MATCH(E123,views[object_id order],0))&lt;&gt;"",0,1))</f>
        <v>#N/A</v>
      </c>
      <c r="K123" t="e">
        <f>IF($D123=Lookup!$L$6,INDEX(views[object_id],MATCH($E123,views[object_id order],0)),"")</f>
        <v>#N/A</v>
      </c>
      <c r="L123" t="e">
        <f>IF($D123=Lookup!$L$8,INDEX(views[name],MATCH($E123,views[object_id order],0)),"")</f>
        <v>#N/A</v>
      </c>
      <c r="M123" t="e">
        <f>IF($D123=Lookup!$L$9,INDEX(views[icon],MATCH($E123,views[object_id order],0)),"")</f>
        <v>#N/A</v>
      </c>
      <c r="N123" t="e">
        <f>IF(OR(D123=Lookup!$L$11,D123=Lookup!$L$12),INDEX(views[[1]:[25]],MATCH($E123,views[object_id order],0),G123),"")</f>
        <v>#N/A</v>
      </c>
      <c r="O123" t="str">
        <f t="shared" si="4"/>
        <v/>
      </c>
      <c r="P123" s="8" t="e">
        <f>INDEX(Lookup!$M$5:$M$12,MATCH(D123,Lookup!$L$5:$L$12,0))&amp;
K123&amp;L123&amp;M123&amp;N123&amp;
INDEX(Lookup!$N$5:$N$12,MATCH(D123,Lookup!$L$5:$L$12,0))</f>
        <v>#N/A</v>
      </c>
    </row>
    <row r="124" spans="2:16" x14ac:dyDescent="0.45">
      <c r="B124">
        <f t="shared" si="3"/>
        <v>122</v>
      </c>
      <c r="C124" t="e">
        <f t="shared" si="5"/>
        <v>#N/A</v>
      </c>
      <c r="D124" t="e">
        <f>VLOOKUP(C124,Lookup!$K$5:$L$12,2,FALSE)</f>
        <v>#N/A</v>
      </c>
      <c r="E124" t="e">
        <f>IF(D124=Lookup!$L$5,E123+1,E123)</f>
        <v>#N/A</v>
      </c>
      <c r="F124" s="3" t="e">
        <f>INDEX(views[Entities count],MATCH('view-code'!E124,views[object_id order],0))</f>
        <v>#N/A</v>
      </c>
      <c r="G124" t="e">
        <f>IF(D123=Lookup!$L$10,1,IF(D123=Lookup!$L$11,G123+1,""))</f>
        <v>#N/A</v>
      </c>
      <c r="H124" t="e">
        <f>IF(F124=1,IF(D124=Lookup!$L$10,2,1),IF(G124&lt;F124-1,0,1))</f>
        <v>#N/A</v>
      </c>
      <c r="I124" t="e">
        <f>IF(D124&lt;&gt;Lookup!$L$7,0,IF(INDEX(views[name],MATCH(E124,views[object_id order],0))&lt;&gt;"",0,1))</f>
        <v>#N/A</v>
      </c>
      <c r="J124" t="e">
        <f>IF(D124&lt;&gt;Lookup!$L$7,0,IF(INDEX(views[icon],MATCH(E124,views[object_id order],0))&lt;&gt;"",0,1))</f>
        <v>#N/A</v>
      </c>
      <c r="K124" t="e">
        <f>IF($D124=Lookup!$L$6,INDEX(views[object_id],MATCH($E124,views[object_id order],0)),"")</f>
        <v>#N/A</v>
      </c>
      <c r="L124" t="e">
        <f>IF($D124=Lookup!$L$8,INDEX(views[name],MATCH($E124,views[object_id order],0)),"")</f>
        <v>#N/A</v>
      </c>
      <c r="M124" t="e">
        <f>IF($D124=Lookup!$L$9,INDEX(views[icon],MATCH($E124,views[object_id order],0)),"")</f>
        <v>#N/A</v>
      </c>
      <c r="N124" t="e">
        <f>IF(OR(D124=Lookup!$L$11,D124=Lookup!$L$12),INDEX(views[[1]:[25]],MATCH($E124,views[object_id order],0),G124),"")</f>
        <v>#N/A</v>
      </c>
      <c r="O124" t="str">
        <f t="shared" si="4"/>
        <v/>
      </c>
      <c r="P124" s="8" t="e">
        <f>INDEX(Lookup!$M$5:$M$12,MATCH(D124,Lookup!$L$5:$L$12,0))&amp;
K124&amp;L124&amp;M124&amp;N124&amp;
INDEX(Lookup!$N$5:$N$12,MATCH(D124,Lookup!$L$5:$L$12,0))</f>
        <v>#N/A</v>
      </c>
    </row>
    <row r="125" spans="2:16" x14ac:dyDescent="0.45">
      <c r="B125">
        <f t="shared" si="3"/>
        <v>123</v>
      </c>
      <c r="C125" t="e">
        <f t="shared" si="5"/>
        <v>#N/A</v>
      </c>
      <c r="D125" t="e">
        <f>VLOOKUP(C125,Lookup!$K$5:$L$12,2,FALSE)</f>
        <v>#N/A</v>
      </c>
      <c r="E125" t="e">
        <f>IF(D125=Lookup!$L$5,E124+1,E124)</f>
        <v>#N/A</v>
      </c>
      <c r="F125" s="3" t="e">
        <f>INDEX(views[Entities count],MATCH('view-code'!E125,views[object_id order],0))</f>
        <v>#N/A</v>
      </c>
      <c r="G125" t="e">
        <f>IF(D124=Lookup!$L$10,1,IF(D124=Lookup!$L$11,G124+1,""))</f>
        <v>#N/A</v>
      </c>
      <c r="H125" t="e">
        <f>IF(F125=1,IF(D125=Lookup!$L$10,2,1),IF(G125&lt;F125-1,0,1))</f>
        <v>#N/A</v>
      </c>
      <c r="I125" t="e">
        <f>IF(D125&lt;&gt;Lookup!$L$7,0,IF(INDEX(views[name],MATCH(E125,views[object_id order],0))&lt;&gt;"",0,1))</f>
        <v>#N/A</v>
      </c>
      <c r="J125" t="e">
        <f>IF(D125&lt;&gt;Lookup!$L$7,0,IF(INDEX(views[icon],MATCH(E125,views[object_id order],0))&lt;&gt;"",0,1))</f>
        <v>#N/A</v>
      </c>
      <c r="K125" t="e">
        <f>IF($D125=Lookup!$L$6,INDEX(views[object_id],MATCH($E125,views[object_id order],0)),"")</f>
        <v>#N/A</v>
      </c>
      <c r="L125" t="e">
        <f>IF($D125=Lookup!$L$8,INDEX(views[name],MATCH($E125,views[object_id order],0)),"")</f>
        <v>#N/A</v>
      </c>
      <c r="M125" t="e">
        <f>IF($D125=Lookup!$L$9,INDEX(views[icon],MATCH($E125,views[object_id order],0)),"")</f>
        <v>#N/A</v>
      </c>
      <c r="N125" t="e">
        <f>IF(OR(D125=Lookup!$L$11,D125=Lookup!$L$12),INDEX(views[[1]:[25]],MATCH($E125,views[object_id order],0),G125),"")</f>
        <v>#N/A</v>
      </c>
      <c r="O125" t="str">
        <f t="shared" si="4"/>
        <v/>
      </c>
      <c r="P125" s="8" t="e">
        <f>INDEX(Lookup!$M$5:$M$12,MATCH(D125,Lookup!$L$5:$L$12,0))&amp;
K125&amp;L125&amp;M125&amp;N125&amp;
INDEX(Lookup!$N$5:$N$12,MATCH(D125,Lookup!$L$5:$L$12,0))</f>
        <v>#N/A</v>
      </c>
    </row>
    <row r="126" spans="2:16" x14ac:dyDescent="0.45">
      <c r="B126">
        <f t="shared" si="3"/>
        <v>124</v>
      </c>
      <c r="C126" t="e">
        <f t="shared" si="5"/>
        <v>#N/A</v>
      </c>
      <c r="D126" t="e">
        <f>VLOOKUP(C126,Lookup!$K$5:$L$12,2,FALSE)</f>
        <v>#N/A</v>
      </c>
      <c r="E126" t="e">
        <f>IF(D126=Lookup!$L$5,E125+1,E125)</f>
        <v>#N/A</v>
      </c>
      <c r="F126" s="3" t="e">
        <f>INDEX(views[Entities count],MATCH('view-code'!E126,views[object_id order],0))</f>
        <v>#N/A</v>
      </c>
      <c r="G126" t="e">
        <f>IF(D125=Lookup!$L$10,1,IF(D125=Lookup!$L$11,G125+1,""))</f>
        <v>#N/A</v>
      </c>
      <c r="H126" t="e">
        <f>IF(F126=1,IF(D126=Lookup!$L$10,2,1),IF(G126&lt;F126-1,0,1))</f>
        <v>#N/A</v>
      </c>
      <c r="I126" t="e">
        <f>IF(D126&lt;&gt;Lookup!$L$7,0,IF(INDEX(views[name],MATCH(E126,views[object_id order],0))&lt;&gt;"",0,1))</f>
        <v>#N/A</v>
      </c>
      <c r="J126" t="e">
        <f>IF(D126&lt;&gt;Lookup!$L$7,0,IF(INDEX(views[icon],MATCH(E126,views[object_id order],0))&lt;&gt;"",0,1))</f>
        <v>#N/A</v>
      </c>
      <c r="K126" t="e">
        <f>IF($D126=Lookup!$L$6,INDEX(views[object_id],MATCH($E126,views[object_id order],0)),"")</f>
        <v>#N/A</v>
      </c>
      <c r="L126" t="e">
        <f>IF($D126=Lookup!$L$8,INDEX(views[name],MATCH($E126,views[object_id order],0)),"")</f>
        <v>#N/A</v>
      </c>
      <c r="M126" t="e">
        <f>IF($D126=Lookup!$L$9,INDEX(views[icon],MATCH($E126,views[object_id order],0)),"")</f>
        <v>#N/A</v>
      </c>
      <c r="N126" t="e">
        <f>IF(OR(D126=Lookup!$L$11,D126=Lookup!$L$12),INDEX(views[[1]:[25]],MATCH($E126,views[object_id order],0),G126),"")</f>
        <v>#N/A</v>
      </c>
      <c r="O126" t="str">
        <f t="shared" si="4"/>
        <v/>
      </c>
      <c r="P126" s="8" t="e">
        <f>INDEX(Lookup!$M$5:$M$12,MATCH(D126,Lookup!$L$5:$L$12,0))&amp;
K126&amp;L126&amp;M126&amp;N126&amp;
INDEX(Lookup!$N$5:$N$12,MATCH(D126,Lookup!$L$5:$L$12,0))</f>
        <v>#N/A</v>
      </c>
    </row>
    <row r="127" spans="2:16" x14ac:dyDescent="0.45">
      <c r="B127">
        <f t="shared" si="3"/>
        <v>125</v>
      </c>
      <c r="C127" t="e">
        <f t="shared" si="5"/>
        <v>#N/A</v>
      </c>
      <c r="D127" t="e">
        <f>VLOOKUP(C127,Lookup!$K$5:$L$12,2,FALSE)</f>
        <v>#N/A</v>
      </c>
      <c r="E127" t="e">
        <f>IF(D127=Lookup!$L$5,E126+1,E126)</f>
        <v>#N/A</v>
      </c>
      <c r="F127" s="3" t="e">
        <f>INDEX(views[Entities count],MATCH('view-code'!E127,views[object_id order],0))</f>
        <v>#N/A</v>
      </c>
      <c r="G127" t="e">
        <f>IF(D126=Lookup!$L$10,1,IF(D126=Lookup!$L$11,G126+1,""))</f>
        <v>#N/A</v>
      </c>
      <c r="H127" t="e">
        <f>IF(F127=1,IF(D127=Lookup!$L$10,2,1),IF(G127&lt;F127-1,0,1))</f>
        <v>#N/A</v>
      </c>
      <c r="I127" t="e">
        <f>IF(D127&lt;&gt;Lookup!$L$7,0,IF(INDEX(views[name],MATCH(E127,views[object_id order],0))&lt;&gt;"",0,1))</f>
        <v>#N/A</v>
      </c>
      <c r="J127" t="e">
        <f>IF(D127&lt;&gt;Lookup!$L$7,0,IF(INDEX(views[icon],MATCH(E127,views[object_id order],0))&lt;&gt;"",0,1))</f>
        <v>#N/A</v>
      </c>
      <c r="K127" t="e">
        <f>IF($D127=Lookup!$L$6,INDEX(views[object_id],MATCH($E127,views[object_id order],0)),"")</f>
        <v>#N/A</v>
      </c>
      <c r="L127" t="e">
        <f>IF($D127=Lookup!$L$8,INDEX(views[name],MATCH($E127,views[object_id order],0)),"")</f>
        <v>#N/A</v>
      </c>
      <c r="M127" t="e">
        <f>IF($D127=Lookup!$L$9,INDEX(views[icon],MATCH($E127,views[object_id order],0)),"")</f>
        <v>#N/A</v>
      </c>
      <c r="N127" t="e">
        <f>IF(OR(D127=Lookup!$L$11,D127=Lookup!$L$12),INDEX(views[[1]:[25]],MATCH($E127,views[object_id order],0),G127),"")</f>
        <v>#N/A</v>
      </c>
      <c r="O127" t="str">
        <f t="shared" si="4"/>
        <v/>
      </c>
      <c r="P127" s="8" t="e">
        <f>INDEX(Lookup!$M$5:$M$12,MATCH(D127,Lookup!$L$5:$L$12,0))&amp;
K127&amp;L127&amp;M127&amp;N127&amp;
INDEX(Lookup!$N$5:$N$12,MATCH(D127,Lookup!$L$5:$L$12,0))</f>
        <v>#N/A</v>
      </c>
    </row>
    <row r="128" spans="2:16" x14ac:dyDescent="0.45">
      <c r="B128">
        <f t="shared" si="3"/>
        <v>126</v>
      </c>
      <c r="C128" t="e">
        <f t="shared" si="5"/>
        <v>#N/A</v>
      </c>
      <c r="D128" t="e">
        <f>VLOOKUP(C128,Lookup!$K$5:$L$12,2,FALSE)</f>
        <v>#N/A</v>
      </c>
      <c r="E128" t="e">
        <f>IF(D128=Lookup!$L$5,E127+1,E127)</f>
        <v>#N/A</v>
      </c>
      <c r="F128" s="3" t="e">
        <f>INDEX(views[Entities count],MATCH('view-code'!E128,views[object_id order],0))</f>
        <v>#N/A</v>
      </c>
      <c r="G128" t="e">
        <f>IF(D127=Lookup!$L$10,1,IF(D127=Lookup!$L$11,G127+1,""))</f>
        <v>#N/A</v>
      </c>
      <c r="H128" t="e">
        <f>IF(F128=1,IF(D128=Lookup!$L$10,2,1),IF(G128&lt;F128-1,0,1))</f>
        <v>#N/A</v>
      </c>
      <c r="I128" t="e">
        <f>IF(D128&lt;&gt;Lookup!$L$7,0,IF(INDEX(views[name],MATCH(E128,views[object_id order],0))&lt;&gt;"",0,1))</f>
        <v>#N/A</v>
      </c>
      <c r="J128" t="e">
        <f>IF(D128&lt;&gt;Lookup!$L$7,0,IF(INDEX(views[icon],MATCH(E128,views[object_id order],0))&lt;&gt;"",0,1))</f>
        <v>#N/A</v>
      </c>
      <c r="K128" t="e">
        <f>IF($D128=Lookup!$L$6,INDEX(views[object_id],MATCH($E128,views[object_id order],0)),"")</f>
        <v>#N/A</v>
      </c>
      <c r="L128" t="e">
        <f>IF($D128=Lookup!$L$8,INDEX(views[name],MATCH($E128,views[object_id order],0)),"")</f>
        <v>#N/A</v>
      </c>
      <c r="M128" t="e">
        <f>IF($D128=Lookup!$L$9,INDEX(views[icon],MATCH($E128,views[object_id order],0)),"")</f>
        <v>#N/A</v>
      </c>
      <c r="N128" t="e">
        <f>IF(OR(D128=Lookup!$L$11,D128=Lookup!$L$12),INDEX(views[[1]:[25]],MATCH($E128,views[object_id order],0),G128),"")</f>
        <v>#N/A</v>
      </c>
      <c r="O128" t="str">
        <f t="shared" si="4"/>
        <v/>
      </c>
      <c r="P128" s="8" t="e">
        <f>INDEX(Lookup!$M$5:$M$12,MATCH(D128,Lookup!$L$5:$L$12,0))&amp;
K128&amp;L128&amp;M128&amp;N128&amp;
INDEX(Lookup!$N$5:$N$12,MATCH(D128,Lookup!$L$5:$L$12,0))</f>
        <v>#N/A</v>
      </c>
    </row>
    <row r="129" spans="2:16" x14ac:dyDescent="0.45">
      <c r="B129">
        <f t="shared" si="3"/>
        <v>127</v>
      </c>
      <c r="C129" t="e">
        <f t="shared" si="5"/>
        <v>#N/A</v>
      </c>
      <c r="D129" t="e">
        <f>VLOOKUP(C129,Lookup!$K$5:$L$12,2,FALSE)</f>
        <v>#N/A</v>
      </c>
      <c r="E129" t="e">
        <f>IF(D129=Lookup!$L$5,E128+1,E128)</f>
        <v>#N/A</v>
      </c>
      <c r="F129" s="3" t="e">
        <f>INDEX(views[Entities count],MATCH('view-code'!E129,views[object_id order],0))</f>
        <v>#N/A</v>
      </c>
      <c r="G129" t="e">
        <f>IF(D128=Lookup!$L$10,1,IF(D128=Lookup!$L$11,G128+1,""))</f>
        <v>#N/A</v>
      </c>
      <c r="H129" t="e">
        <f>IF(F129=1,IF(D129=Lookup!$L$10,2,1),IF(G129&lt;F129-1,0,1))</f>
        <v>#N/A</v>
      </c>
      <c r="I129" t="e">
        <f>IF(D129&lt;&gt;Lookup!$L$7,0,IF(INDEX(views[name],MATCH(E129,views[object_id order],0))&lt;&gt;"",0,1))</f>
        <v>#N/A</v>
      </c>
      <c r="J129" t="e">
        <f>IF(D129&lt;&gt;Lookup!$L$7,0,IF(INDEX(views[icon],MATCH(E129,views[object_id order],0))&lt;&gt;"",0,1))</f>
        <v>#N/A</v>
      </c>
      <c r="K129" t="e">
        <f>IF($D129=Lookup!$L$6,INDEX(views[object_id],MATCH($E129,views[object_id order],0)),"")</f>
        <v>#N/A</v>
      </c>
      <c r="L129" t="e">
        <f>IF($D129=Lookup!$L$8,INDEX(views[name],MATCH($E129,views[object_id order],0)),"")</f>
        <v>#N/A</v>
      </c>
      <c r="M129" t="e">
        <f>IF($D129=Lookup!$L$9,INDEX(views[icon],MATCH($E129,views[object_id order],0)),"")</f>
        <v>#N/A</v>
      </c>
      <c r="N129" t="e">
        <f>IF(OR(D129=Lookup!$L$11,D129=Lookup!$L$12),INDEX(views[[1]:[25]],MATCH($E129,views[object_id order],0),G129),"")</f>
        <v>#N/A</v>
      </c>
      <c r="O129" t="str">
        <f t="shared" si="4"/>
        <v/>
      </c>
      <c r="P129" s="8" t="e">
        <f>INDEX(Lookup!$M$5:$M$12,MATCH(D129,Lookup!$L$5:$L$12,0))&amp;
K129&amp;L129&amp;M129&amp;N129&amp;
INDEX(Lookup!$N$5:$N$12,MATCH(D129,Lookup!$L$5:$L$12,0))</f>
        <v>#N/A</v>
      </c>
    </row>
    <row r="130" spans="2:16" x14ac:dyDescent="0.45">
      <c r="B130">
        <f t="shared" si="3"/>
        <v>128</v>
      </c>
      <c r="C130" t="e">
        <f t="shared" si="5"/>
        <v>#N/A</v>
      </c>
      <c r="D130" t="e">
        <f>VLOOKUP(C130,Lookup!$K$5:$L$12,2,FALSE)</f>
        <v>#N/A</v>
      </c>
      <c r="E130" t="e">
        <f>IF(D130=Lookup!$L$5,E129+1,E129)</f>
        <v>#N/A</v>
      </c>
      <c r="F130" s="3" t="e">
        <f>INDEX(views[Entities count],MATCH('view-code'!E130,views[object_id order],0))</f>
        <v>#N/A</v>
      </c>
      <c r="G130" t="e">
        <f>IF(D129=Lookup!$L$10,1,IF(D129=Lookup!$L$11,G129+1,""))</f>
        <v>#N/A</v>
      </c>
      <c r="H130" t="e">
        <f>IF(F130=1,IF(D130=Lookup!$L$10,2,1),IF(G130&lt;F130-1,0,1))</f>
        <v>#N/A</v>
      </c>
      <c r="I130" t="e">
        <f>IF(D130&lt;&gt;Lookup!$L$7,0,IF(INDEX(views[name],MATCH(E130,views[object_id order],0))&lt;&gt;"",0,1))</f>
        <v>#N/A</v>
      </c>
      <c r="J130" t="e">
        <f>IF(D130&lt;&gt;Lookup!$L$7,0,IF(INDEX(views[icon],MATCH(E130,views[object_id order],0))&lt;&gt;"",0,1))</f>
        <v>#N/A</v>
      </c>
      <c r="K130" t="e">
        <f>IF($D130=Lookup!$L$6,INDEX(views[object_id],MATCH($E130,views[object_id order],0)),"")</f>
        <v>#N/A</v>
      </c>
      <c r="L130" t="e">
        <f>IF($D130=Lookup!$L$8,INDEX(views[name],MATCH($E130,views[object_id order],0)),"")</f>
        <v>#N/A</v>
      </c>
      <c r="M130" t="e">
        <f>IF($D130=Lookup!$L$9,INDEX(views[icon],MATCH($E130,views[object_id order],0)),"")</f>
        <v>#N/A</v>
      </c>
      <c r="N130" t="e">
        <f>IF(OR(D130=Lookup!$L$11,D130=Lookup!$L$12),INDEX(views[[1]:[25]],MATCH($E130,views[object_id order],0),G130),"")</f>
        <v>#N/A</v>
      </c>
      <c r="O130" t="str">
        <f t="shared" si="4"/>
        <v/>
      </c>
      <c r="P130" s="8" t="e">
        <f>INDEX(Lookup!$M$5:$M$12,MATCH(D130,Lookup!$L$5:$L$12,0))&amp;
K130&amp;L130&amp;M130&amp;N130&amp;
INDEX(Lookup!$N$5:$N$12,MATCH(D130,Lookup!$L$5:$L$12,0))</f>
        <v>#N/A</v>
      </c>
    </row>
    <row r="131" spans="2:16" x14ac:dyDescent="0.45">
      <c r="B131">
        <f t="shared" si="3"/>
        <v>129</v>
      </c>
      <c r="C131" t="e">
        <f t="shared" si="5"/>
        <v>#N/A</v>
      </c>
      <c r="D131" t="e">
        <f>VLOOKUP(C131,Lookup!$K$5:$L$12,2,FALSE)</f>
        <v>#N/A</v>
      </c>
      <c r="E131" t="e">
        <f>IF(D131=Lookup!$L$5,E130+1,E130)</f>
        <v>#N/A</v>
      </c>
      <c r="F131" s="3" t="e">
        <f>INDEX(views[Entities count],MATCH('view-code'!E131,views[object_id order],0))</f>
        <v>#N/A</v>
      </c>
      <c r="G131" t="e">
        <f>IF(D130=Lookup!$L$10,1,IF(D130=Lookup!$L$11,G130+1,""))</f>
        <v>#N/A</v>
      </c>
      <c r="H131" t="e">
        <f>IF(F131=1,IF(D131=Lookup!$L$10,2,1),IF(G131&lt;F131-1,0,1))</f>
        <v>#N/A</v>
      </c>
      <c r="I131" t="e">
        <f>IF(D131&lt;&gt;Lookup!$L$7,0,IF(INDEX(views[name],MATCH(E131,views[object_id order],0))&lt;&gt;"",0,1))</f>
        <v>#N/A</v>
      </c>
      <c r="J131" t="e">
        <f>IF(D131&lt;&gt;Lookup!$L$7,0,IF(INDEX(views[icon],MATCH(E131,views[object_id order],0))&lt;&gt;"",0,1))</f>
        <v>#N/A</v>
      </c>
      <c r="K131" t="e">
        <f>IF($D131=Lookup!$L$6,INDEX(views[object_id],MATCH($E131,views[object_id order],0)),"")</f>
        <v>#N/A</v>
      </c>
      <c r="L131" t="e">
        <f>IF($D131=Lookup!$L$8,INDEX(views[name],MATCH($E131,views[object_id order],0)),"")</f>
        <v>#N/A</v>
      </c>
      <c r="M131" t="e">
        <f>IF($D131=Lookup!$L$9,INDEX(views[icon],MATCH($E131,views[object_id order],0)),"")</f>
        <v>#N/A</v>
      </c>
      <c r="N131" t="e">
        <f>IF(OR(D131=Lookup!$L$11,D131=Lookup!$L$12),INDEX(views[[1]:[25]],MATCH($E131,views[object_id order],0),G131),"")</f>
        <v>#N/A</v>
      </c>
      <c r="O131" t="str">
        <f t="shared" si="4"/>
        <v/>
      </c>
      <c r="P131" s="8" t="e">
        <f>INDEX(Lookup!$M$5:$M$12,MATCH(D131,Lookup!$L$5:$L$12,0))&amp;
K131&amp;L131&amp;M131&amp;N131&amp;
INDEX(Lookup!$N$5:$N$12,MATCH(D131,Lookup!$L$5:$L$12,0))</f>
        <v>#N/A</v>
      </c>
    </row>
    <row r="132" spans="2:16" x14ac:dyDescent="0.45">
      <c r="B132">
        <f t="shared" si="3"/>
        <v>130</v>
      </c>
      <c r="C132" t="e">
        <f t="shared" si="5"/>
        <v>#N/A</v>
      </c>
      <c r="D132" t="e">
        <f>VLOOKUP(C132,Lookup!$K$5:$L$12,2,FALSE)</f>
        <v>#N/A</v>
      </c>
      <c r="E132" t="e">
        <f>IF(D132=Lookup!$L$5,E131+1,E131)</f>
        <v>#N/A</v>
      </c>
      <c r="F132" s="3" t="e">
        <f>INDEX(views[Entities count],MATCH('view-code'!E132,views[object_id order],0))</f>
        <v>#N/A</v>
      </c>
      <c r="G132" t="e">
        <f>IF(D131=Lookup!$L$10,1,IF(D131=Lookup!$L$11,G131+1,""))</f>
        <v>#N/A</v>
      </c>
      <c r="H132" t="e">
        <f>IF(F132=1,IF(D132=Lookup!$L$10,2,1),IF(G132&lt;F132-1,0,1))</f>
        <v>#N/A</v>
      </c>
      <c r="I132" t="e">
        <f>IF(D132&lt;&gt;Lookup!$L$7,0,IF(INDEX(views[name],MATCH(E132,views[object_id order],0))&lt;&gt;"",0,1))</f>
        <v>#N/A</v>
      </c>
      <c r="J132" t="e">
        <f>IF(D132&lt;&gt;Lookup!$L$7,0,IF(INDEX(views[icon],MATCH(E132,views[object_id order],0))&lt;&gt;"",0,1))</f>
        <v>#N/A</v>
      </c>
      <c r="K132" t="e">
        <f>IF($D132=Lookup!$L$6,INDEX(views[object_id],MATCH($E132,views[object_id order],0)),"")</f>
        <v>#N/A</v>
      </c>
      <c r="L132" t="e">
        <f>IF($D132=Lookup!$L$8,INDEX(views[name],MATCH($E132,views[object_id order],0)),"")</f>
        <v>#N/A</v>
      </c>
      <c r="M132" t="e">
        <f>IF($D132=Lookup!$L$9,INDEX(views[icon],MATCH($E132,views[object_id order],0)),"")</f>
        <v>#N/A</v>
      </c>
      <c r="N132" t="e">
        <f>IF(OR(D132=Lookup!$L$11,D132=Lookup!$L$12),INDEX(views[[1]:[25]],MATCH($E132,views[object_id order],0),G132),"")</f>
        <v>#N/A</v>
      </c>
      <c r="O132" t="str">
        <f t="shared" si="4"/>
        <v/>
      </c>
      <c r="P132" s="8" t="e">
        <f>INDEX(Lookup!$M$5:$M$12,MATCH(D132,Lookup!$L$5:$L$12,0))&amp;
K132&amp;L132&amp;M132&amp;N132&amp;
INDEX(Lookup!$N$5:$N$12,MATCH(D132,Lookup!$L$5:$L$12,0))</f>
        <v>#N/A</v>
      </c>
    </row>
    <row r="133" spans="2:16" x14ac:dyDescent="0.45">
      <c r="B133">
        <f t="shared" ref="B133:B196" si="6">B132+1</f>
        <v>131</v>
      </c>
      <c r="C133" t="e">
        <f t="shared" si="5"/>
        <v>#N/A</v>
      </c>
      <c r="D133" t="e">
        <f>VLOOKUP(C133,Lookup!$K$5:$L$12,2,FALSE)</f>
        <v>#N/A</v>
      </c>
      <c r="E133" t="e">
        <f>IF(D133=Lookup!$L$5,E132+1,E132)</f>
        <v>#N/A</v>
      </c>
      <c r="F133" s="3" t="e">
        <f>INDEX(views[Entities count],MATCH('view-code'!E133,views[object_id order],0))</f>
        <v>#N/A</v>
      </c>
      <c r="G133" t="e">
        <f>IF(D132=Lookup!$L$10,1,IF(D132=Lookup!$L$11,G132+1,""))</f>
        <v>#N/A</v>
      </c>
      <c r="H133" t="e">
        <f>IF(F133=1,IF(D133=Lookup!$L$10,2,1),IF(G133&lt;F133-1,0,1))</f>
        <v>#N/A</v>
      </c>
      <c r="I133" t="e">
        <f>IF(D133&lt;&gt;Lookup!$L$7,0,IF(INDEX(views[name],MATCH(E133,views[object_id order],0))&lt;&gt;"",0,1))</f>
        <v>#N/A</v>
      </c>
      <c r="J133" t="e">
        <f>IF(D133&lt;&gt;Lookup!$L$7,0,IF(INDEX(views[icon],MATCH(E133,views[object_id order],0))&lt;&gt;"",0,1))</f>
        <v>#N/A</v>
      </c>
      <c r="K133" t="e">
        <f>IF($D133=Lookup!$L$6,INDEX(views[object_id],MATCH($E133,views[object_id order],0)),"")</f>
        <v>#N/A</v>
      </c>
      <c r="L133" t="e">
        <f>IF($D133=Lookup!$L$8,INDEX(views[name],MATCH($E133,views[object_id order],0)),"")</f>
        <v>#N/A</v>
      </c>
      <c r="M133" t="e">
        <f>IF($D133=Lookup!$L$9,INDEX(views[icon],MATCH($E133,views[object_id order],0)),"")</f>
        <v>#N/A</v>
      </c>
      <c r="N133" t="e">
        <f>IF(OR(D133=Lookup!$L$11,D133=Lookup!$L$12),INDEX(views[[1]:[25]],MATCH($E133,views[object_id order],0),G133),"")</f>
        <v>#N/A</v>
      </c>
      <c r="O133" t="str">
        <f t="shared" ref="O133:O196" si="7">IF(AND(NOT(ISNA(F132)),ISNA(F133)),"END","")</f>
        <v/>
      </c>
      <c r="P133" s="8" t="e">
        <f>INDEX(Lookup!$M$5:$M$12,MATCH(D133,Lookup!$L$5:$L$12,0))&amp;
K133&amp;L133&amp;M133&amp;N133&amp;
INDEX(Lookup!$N$5:$N$12,MATCH(D133,Lookup!$L$5:$L$12,0))</f>
        <v>#N/A</v>
      </c>
    </row>
    <row r="134" spans="2:16" x14ac:dyDescent="0.45">
      <c r="B134">
        <f t="shared" si="6"/>
        <v>132</v>
      </c>
      <c r="C134" t="e">
        <f t="shared" si="5"/>
        <v>#N/A</v>
      </c>
      <c r="D134" t="e">
        <f>VLOOKUP(C134,Lookup!$K$5:$L$12,2,FALSE)</f>
        <v>#N/A</v>
      </c>
      <c r="E134" t="e">
        <f>IF(D134=Lookup!$L$5,E133+1,E133)</f>
        <v>#N/A</v>
      </c>
      <c r="F134" s="3" t="e">
        <f>INDEX(views[Entities count],MATCH('view-code'!E134,views[object_id order],0))</f>
        <v>#N/A</v>
      </c>
      <c r="G134" t="e">
        <f>IF(D133=Lookup!$L$10,1,IF(D133=Lookup!$L$11,G133+1,""))</f>
        <v>#N/A</v>
      </c>
      <c r="H134" t="e">
        <f>IF(F134=1,IF(D134=Lookup!$L$10,2,1),IF(G134&lt;F134-1,0,1))</f>
        <v>#N/A</v>
      </c>
      <c r="I134" t="e">
        <f>IF(D134&lt;&gt;Lookup!$L$7,0,IF(INDEX(views[name],MATCH(E134,views[object_id order],0))&lt;&gt;"",0,1))</f>
        <v>#N/A</v>
      </c>
      <c r="J134" t="e">
        <f>IF(D134&lt;&gt;Lookup!$L$7,0,IF(INDEX(views[icon],MATCH(E134,views[object_id order],0))&lt;&gt;"",0,1))</f>
        <v>#N/A</v>
      </c>
      <c r="K134" t="e">
        <f>IF($D134=Lookup!$L$6,INDEX(views[object_id],MATCH($E134,views[object_id order],0)),"")</f>
        <v>#N/A</v>
      </c>
      <c r="L134" t="e">
        <f>IF($D134=Lookup!$L$8,INDEX(views[name],MATCH($E134,views[object_id order],0)),"")</f>
        <v>#N/A</v>
      </c>
      <c r="M134" t="e">
        <f>IF($D134=Lookup!$L$9,INDEX(views[icon],MATCH($E134,views[object_id order],0)),"")</f>
        <v>#N/A</v>
      </c>
      <c r="N134" t="e">
        <f>IF(OR(D134=Lookup!$L$11,D134=Lookup!$L$12),INDEX(views[[1]:[25]],MATCH($E134,views[object_id order],0),G134),"")</f>
        <v>#N/A</v>
      </c>
      <c r="O134" t="str">
        <f t="shared" si="7"/>
        <v/>
      </c>
      <c r="P134" s="8" t="e">
        <f>INDEX(Lookup!$M$5:$M$12,MATCH(D134,Lookup!$L$5:$L$12,0))&amp;
K134&amp;L134&amp;M134&amp;N134&amp;
INDEX(Lookup!$N$5:$N$12,MATCH(D134,Lookup!$L$5:$L$12,0))</f>
        <v>#N/A</v>
      </c>
    </row>
    <row r="135" spans="2:16" x14ac:dyDescent="0.45">
      <c r="B135">
        <f t="shared" si="6"/>
        <v>133</v>
      </c>
      <c r="C135" t="e">
        <f t="shared" ref="C135:C198" si="8">IF(C134=8,  1,  C134+SUM(H134:J134)  )</f>
        <v>#N/A</v>
      </c>
      <c r="D135" t="e">
        <f>VLOOKUP(C135,Lookup!$K$5:$L$12,2,FALSE)</f>
        <v>#N/A</v>
      </c>
      <c r="E135" t="e">
        <f>IF(D135=Lookup!$L$5,E134+1,E134)</f>
        <v>#N/A</v>
      </c>
      <c r="F135" s="3" t="e">
        <f>INDEX(views[Entities count],MATCH('view-code'!E135,views[object_id order],0))</f>
        <v>#N/A</v>
      </c>
      <c r="G135" t="e">
        <f>IF(D134=Lookup!$L$10,1,IF(D134=Lookup!$L$11,G134+1,""))</f>
        <v>#N/A</v>
      </c>
      <c r="H135" t="e">
        <f>IF(F135=1,IF(D135=Lookup!$L$10,2,1),IF(G135&lt;F135-1,0,1))</f>
        <v>#N/A</v>
      </c>
      <c r="I135" t="e">
        <f>IF(D135&lt;&gt;Lookup!$L$7,0,IF(INDEX(views[name],MATCH(E135,views[object_id order],0))&lt;&gt;"",0,1))</f>
        <v>#N/A</v>
      </c>
      <c r="J135" t="e">
        <f>IF(D135&lt;&gt;Lookup!$L$7,0,IF(INDEX(views[icon],MATCH(E135,views[object_id order],0))&lt;&gt;"",0,1))</f>
        <v>#N/A</v>
      </c>
      <c r="K135" t="e">
        <f>IF($D135=Lookup!$L$6,INDEX(views[object_id],MATCH($E135,views[object_id order],0)),"")</f>
        <v>#N/A</v>
      </c>
      <c r="L135" t="e">
        <f>IF($D135=Lookup!$L$8,INDEX(views[name],MATCH($E135,views[object_id order],0)),"")</f>
        <v>#N/A</v>
      </c>
      <c r="M135" t="e">
        <f>IF($D135=Lookup!$L$9,INDEX(views[icon],MATCH($E135,views[object_id order],0)),"")</f>
        <v>#N/A</v>
      </c>
      <c r="N135" t="e">
        <f>IF(OR(D135=Lookup!$L$11,D135=Lookup!$L$12),INDEX(views[[1]:[25]],MATCH($E135,views[object_id order],0),G135),"")</f>
        <v>#N/A</v>
      </c>
      <c r="O135" t="str">
        <f t="shared" si="7"/>
        <v/>
      </c>
      <c r="P135" s="8" t="e">
        <f>INDEX(Lookup!$M$5:$M$12,MATCH(D135,Lookup!$L$5:$L$12,0))&amp;
K135&amp;L135&amp;M135&amp;N135&amp;
INDEX(Lookup!$N$5:$N$12,MATCH(D135,Lookup!$L$5:$L$12,0))</f>
        <v>#N/A</v>
      </c>
    </row>
    <row r="136" spans="2:16" x14ac:dyDescent="0.45">
      <c r="B136">
        <f t="shared" si="6"/>
        <v>134</v>
      </c>
      <c r="C136" t="e">
        <f t="shared" si="8"/>
        <v>#N/A</v>
      </c>
      <c r="D136" t="e">
        <f>VLOOKUP(C136,Lookup!$K$5:$L$12,2,FALSE)</f>
        <v>#N/A</v>
      </c>
      <c r="E136" t="e">
        <f>IF(D136=Lookup!$L$5,E135+1,E135)</f>
        <v>#N/A</v>
      </c>
      <c r="F136" s="3" t="e">
        <f>INDEX(views[Entities count],MATCH('view-code'!E136,views[object_id order],0))</f>
        <v>#N/A</v>
      </c>
      <c r="G136" t="e">
        <f>IF(D135=Lookup!$L$10,1,IF(D135=Lookup!$L$11,G135+1,""))</f>
        <v>#N/A</v>
      </c>
      <c r="H136" t="e">
        <f>IF(F136=1,IF(D136=Lookup!$L$10,2,1),IF(G136&lt;F136-1,0,1))</f>
        <v>#N/A</v>
      </c>
      <c r="I136" t="e">
        <f>IF(D136&lt;&gt;Lookup!$L$7,0,IF(INDEX(views[name],MATCH(E136,views[object_id order],0))&lt;&gt;"",0,1))</f>
        <v>#N/A</v>
      </c>
      <c r="J136" t="e">
        <f>IF(D136&lt;&gt;Lookup!$L$7,0,IF(INDEX(views[icon],MATCH(E136,views[object_id order],0))&lt;&gt;"",0,1))</f>
        <v>#N/A</v>
      </c>
      <c r="K136" t="e">
        <f>IF($D136=Lookup!$L$6,INDEX(views[object_id],MATCH($E136,views[object_id order],0)),"")</f>
        <v>#N/A</v>
      </c>
      <c r="L136" t="e">
        <f>IF($D136=Lookup!$L$8,INDEX(views[name],MATCH($E136,views[object_id order],0)),"")</f>
        <v>#N/A</v>
      </c>
      <c r="M136" t="e">
        <f>IF($D136=Lookup!$L$9,INDEX(views[icon],MATCH($E136,views[object_id order],0)),"")</f>
        <v>#N/A</v>
      </c>
      <c r="N136" t="e">
        <f>IF(OR(D136=Lookup!$L$11,D136=Lookup!$L$12),INDEX(views[[1]:[25]],MATCH($E136,views[object_id order],0),G136),"")</f>
        <v>#N/A</v>
      </c>
      <c r="O136" t="str">
        <f t="shared" si="7"/>
        <v/>
      </c>
      <c r="P136" s="8" t="e">
        <f>INDEX(Lookup!$M$5:$M$12,MATCH(D136,Lookup!$L$5:$L$12,0))&amp;
K136&amp;L136&amp;M136&amp;N136&amp;
INDEX(Lookup!$N$5:$N$12,MATCH(D136,Lookup!$L$5:$L$12,0))</f>
        <v>#N/A</v>
      </c>
    </row>
    <row r="137" spans="2:16" x14ac:dyDescent="0.45">
      <c r="B137">
        <f t="shared" si="6"/>
        <v>135</v>
      </c>
      <c r="C137" t="e">
        <f t="shared" si="8"/>
        <v>#N/A</v>
      </c>
      <c r="D137" t="e">
        <f>VLOOKUP(C137,Lookup!$K$5:$L$12,2,FALSE)</f>
        <v>#N/A</v>
      </c>
      <c r="E137" t="e">
        <f>IF(D137=Lookup!$L$5,E136+1,E136)</f>
        <v>#N/A</v>
      </c>
      <c r="F137" s="3" t="e">
        <f>INDEX(views[Entities count],MATCH('view-code'!E137,views[object_id order],0))</f>
        <v>#N/A</v>
      </c>
      <c r="G137" t="e">
        <f>IF(D136=Lookup!$L$10,1,IF(D136=Lookup!$L$11,G136+1,""))</f>
        <v>#N/A</v>
      </c>
      <c r="H137" t="e">
        <f>IF(F137=1,IF(D137=Lookup!$L$10,2,1),IF(G137&lt;F137-1,0,1))</f>
        <v>#N/A</v>
      </c>
      <c r="I137" t="e">
        <f>IF(D137&lt;&gt;Lookup!$L$7,0,IF(INDEX(views[name],MATCH(E137,views[object_id order],0))&lt;&gt;"",0,1))</f>
        <v>#N/A</v>
      </c>
      <c r="J137" t="e">
        <f>IF(D137&lt;&gt;Lookup!$L$7,0,IF(INDEX(views[icon],MATCH(E137,views[object_id order],0))&lt;&gt;"",0,1))</f>
        <v>#N/A</v>
      </c>
      <c r="K137" t="e">
        <f>IF($D137=Lookup!$L$6,INDEX(views[object_id],MATCH($E137,views[object_id order],0)),"")</f>
        <v>#N/A</v>
      </c>
      <c r="L137" t="e">
        <f>IF($D137=Lookup!$L$8,INDEX(views[name],MATCH($E137,views[object_id order],0)),"")</f>
        <v>#N/A</v>
      </c>
      <c r="M137" t="e">
        <f>IF($D137=Lookup!$L$9,INDEX(views[icon],MATCH($E137,views[object_id order],0)),"")</f>
        <v>#N/A</v>
      </c>
      <c r="N137" t="e">
        <f>IF(OR(D137=Lookup!$L$11,D137=Lookup!$L$12),INDEX(views[[1]:[25]],MATCH($E137,views[object_id order],0),G137),"")</f>
        <v>#N/A</v>
      </c>
      <c r="O137" t="str">
        <f t="shared" si="7"/>
        <v/>
      </c>
      <c r="P137" s="8" t="e">
        <f>INDEX(Lookup!$M$5:$M$12,MATCH(D137,Lookup!$L$5:$L$12,0))&amp;
K137&amp;L137&amp;M137&amp;N137&amp;
INDEX(Lookup!$N$5:$N$12,MATCH(D137,Lookup!$L$5:$L$12,0))</f>
        <v>#N/A</v>
      </c>
    </row>
    <row r="138" spans="2:16" x14ac:dyDescent="0.45">
      <c r="B138">
        <f t="shared" si="6"/>
        <v>136</v>
      </c>
      <c r="C138" t="e">
        <f t="shared" si="8"/>
        <v>#N/A</v>
      </c>
      <c r="D138" t="e">
        <f>VLOOKUP(C138,Lookup!$K$5:$L$12,2,FALSE)</f>
        <v>#N/A</v>
      </c>
      <c r="E138" t="e">
        <f>IF(D138=Lookup!$L$5,E137+1,E137)</f>
        <v>#N/A</v>
      </c>
      <c r="F138" s="3" t="e">
        <f>INDEX(views[Entities count],MATCH('view-code'!E138,views[object_id order],0))</f>
        <v>#N/A</v>
      </c>
      <c r="G138" t="e">
        <f>IF(D137=Lookup!$L$10,1,IF(D137=Lookup!$L$11,G137+1,""))</f>
        <v>#N/A</v>
      </c>
      <c r="H138" t="e">
        <f>IF(F138=1,IF(D138=Lookup!$L$10,2,1),IF(G138&lt;F138-1,0,1))</f>
        <v>#N/A</v>
      </c>
      <c r="I138" t="e">
        <f>IF(D138&lt;&gt;Lookup!$L$7,0,IF(INDEX(views[name],MATCH(E138,views[object_id order],0))&lt;&gt;"",0,1))</f>
        <v>#N/A</v>
      </c>
      <c r="J138" t="e">
        <f>IF(D138&lt;&gt;Lookup!$L$7,0,IF(INDEX(views[icon],MATCH(E138,views[object_id order],0))&lt;&gt;"",0,1))</f>
        <v>#N/A</v>
      </c>
      <c r="K138" t="e">
        <f>IF($D138=Lookup!$L$6,INDEX(views[object_id],MATCH($E138,views[object_id order],0)),"")</f>
        <v>#N/A</v>
      </c>
      <c r="L138" t="e">
        <f>IF($D138=Lookup!$L$8,INDEX(views[name],MATCH($E138,views[object_id order],0)),"")</f>
        <v>#N/A</v>
      </c>
      <c r="M138" t="e">
        <f>IF($D138=Lookup!$L$9,INDEX(views[icon],MATCH($E138,views[object_id order],0)),"")</f>
        <v>#N/A</v>
      </c>
      <c r="N138" t="e">
        <f>IF(OR(D138=Lookup!$L$11,D138=Lookup!$L$12),INDEX(views[[1]:[25]],MATCH($E138,views[object_id order],0),G138),"")</f>
        <v>#N/A</v>
      </c>
      <c r="O138" t="str">
        <f t="shared" si="7"/>
        <v/>
      </c>
      <c r="P138" s="8" t="e">
        <f>INDEX(Lookup!$M$5:$M$12,MATCH(D138,Lookup!$L$5:$L$12,0))&amp;
K138&amp;L138&amp;M138&amp;N138&amp;
INDEX(Lookup!$N$5:$N$12,MATCH(D138,Lookup!$L$5:$L$12,0))</f>
        <v>#N/A</v>
      </c>
    </row>
    <row r="139" spans="2:16" x14ac:dyDescent="0.45">
      <c r="B139">
        <f t="shared" si="6"/>
        <v>137</v>
      </c>
      <c r="C139" t="e">
        <f t="shared" si="8"/>
        <v>#N/A</v>
      </c>
      <c r="D139" t="e">
        <f>VLOOKUP(C139,Lookup!$K$5:$L$12,2,FALSE)</f>
        <v>#N/A</v>
      </c>
      <c r="E139" t="e">
        <f>IF(D139=Lookup!$L$5,E138+1,E138)</f>
        <v>#N/A</v>
      </c>
      <c r="F139" s="3" t="e">
        <f>INDEX(views[Entities count],MATCH('view-code'!E139,views[object_id order],0))</f>
        <v>#N/A</v>
      </c>
      <c r="G139" t="e">
        <f>IF(D138=Lookup!$L$10,1,IF(D138=Lookup!$L$11,G138+1,""))</f>
        <v>#N/A</v>
      </c>
      <c r="H139" t="e">
        <f>IF(F139=1,IF(D139=Lookup!$L$10,2,1),IF(G139&lt;F139-1,0,1))</f>
        <v>#N/A</v>
      </c>
      <c r="I139" t="e">
        <f>IF(D139&lt;&gt;Lookup!$L$7,0,IF(INDEX(views[name],MATCH(E139,views[object_id order],0))&lt;&gt;"",0,1))</f>
        <v>#N/A</v>
      </c>
      <c r="J139" t="e">
        <f>IF(D139&lt;&gt;Lookup!$L$7,0,IF(INDEX(views[icon],MATCH(E139,views[object_id order],0))&lt;&gt;"",0,1))</f>
        <v>#N/A</v>
      </c>
      <c r="K139" t="e">
        <f>IF($D139=Lookup!$L$6,INDEX(views[object_id],MATCH($E139,views[object_id order],0)),"")</f>
        <v>#N/A</v>
      </c>
      <c r="L139" t="e">
        <f>IF($D139=Lookup!$L$8,INDEX(views[name],MATCH($E139,views[object_id order],0)),"")</f>
        <v>#N/A</v>
      </c>
      <c r="M139" t="e">
        <f>IF($D139=Lookup!$L$9,INDEX(views[icon],MATCH($E139,views[object_id order],0)),"")</f>
        <v>#N/A</v>
      </c>
      <c r="N139" t="e">
        <f>IF(OR(D139=Lookup!$L$11,D139=Lookup!$L$12),INDEX(views[[1]:[25]],MATCH($E139,views[object_id order],0),G139),"")</f>
        <v>#N/A</v>
      </c>
      <c r="O139" t="str">
        <f t="shared" si="7"/>
        <v/>
      </c>
      <c r="P139" s="8" t="e">
        <f>INDEX(Lookup!$M$5:$M$12,MATCH(D139,Lookup!$L$5:$L$12,0))&amp;
K139&amp;L139&amp;M139&amp;N139&amp;
INDEX(Lookup!$N$5:$N$12,MATCH(D139,Lookup!$L$5:$L$12,0))</f>
        <v>#N/A</v>
      </c>
    </row>
    <row r="140" spans="2:16" x14ac:dyDescent="0.45">
      <c r="B140">
        <f t="shared" si="6"/>
        <v>138</v>
      </c>
      <c r="C140" t="e">
        <f t="shared" si="8"/>
        <v>#N/A</v>
      </c>
      <c r="D140" t="e">
        <f>VLOOKUP(C140,Lookup!$K$5:$L$12,2,FALSE)</f>
        <v>#N/A</v>
      </c>
      <c r="E140" t="e">
        <f>IF(D140=Lookup!$L$5,E139+1,E139)</f>
        <v>#N/A</v>
      </c>
      <c r="F140" s="3" t="e">
        <f>INDEX(views[Entities count],MATCH('view-code'!E140,views[object_id order],0))</f>
        <v>#N/A</v>
      </c>
      <c r="G140" t="e">
        <f>IF(D139=Lookup!$L$10,1,IF(D139=Lookup!$L$11,G139+1,""))</f>
        <v>#N/A</v>
      </c>
      <c r="H140" t="e">
        <f>IF(F140=1,IF(D140=Lookup!$L$10,2,1),IF(G140&lt;F140-1,0,1))</f>
        <v>#N/A</v>
      </c>
      <c r="I140" t="e">
        <f>IF(D140&lt;&gt;Lookup!$L$7,0,IF(INDEX(views[name],MATCH(E140,views[object_id order],0))&lt;&gt;"",0,1))</f>
        <v>#N/A</v>
      </c>
      <c r="J140" t="e">
        <f>IF(D140&lt;&gt;Lookup!$L$7,0,IF(INDEX(views[icon],MATCH(E140,views[object_id order],0))&lt;&gt;"",0,1))</f>
        <v>#N/A</v>
      </c>
      <c r="K140" t="e">
        <f>IF($D140=Lookup!$L$6,INDEX(views[object_id],MATCH($E140,views[object_id order],0)),"")</f>
        <v>#N/A</v>
      </c>
      <c r="L140" t="e">
        <f>IF($D140=Lookup!$L$8,INDEX(views[name],MATCH($E140,views[object_id order],0)),"")</f>
        <v>#N/A</v>
      </c>
      <c r="M140" t="e">
        <f>IF($D140=Lookup!$L$9,INDEX(views[icon],MATCH($E140,views[object_id order],0)),"")</f>
        <v>#N/A</v>
      </c>
      <c r="N140" t="e">
        <f>IF(OR(D140=Lookup!$L$11,D140=Lookup!$L$12),INDEX(views[[1]:[25]],MATCH($E140,views[object_id order],0),G140),"")</f>
        <v>#N/A</v>
      </c>
      <c r="O140" t="str">
        <f t="shared" si="7"/>
        <v/>
      </c>
      <c r="P140" s="8" t="e">
        <f>INDEX(Lookup!$M$5:$M$12,MATCH(D140,Lookup!$L$5:$L$12,0))&amp;
K140&amp;L140&amp;M140&amp;N140&amp;
INDEX(Lookup!$N$5:$N$12,MATCH(D140,Lookup!$L$5:$L$12,0))</f>
        <v>#N/A</v>
      </c>
    </row>
    <row r="141" spans="2:16" x14ac:dyDescent="0.45">
      <c r="B141">
        <f t="shared" si="6"/>
        <v>139</v>
      </c>
      <c r="C141" t="e">
        <f t="shared" si="8"/>
        <v>#N/A</v>
      </c>
      <c r="D141" t="e">
        <f>VLOOKUP(C141,Lookup!$K$5:$L$12,2,FALSE)</f>
        <v>#N/A</v>
      </c>
      <c r="E141" t="e">
        <f>IF(D141=Lookup!$L$5,E140+1,E140)</f>
        <v>#N/A</v>
      </c>
      <c r="F141" s="3" t="e">
        <f>INDEX(views[Entities count],MATCH('view-code'!E141,views[object_id order],0))</f>
        <v>#N/A</v>
      </c>
      <c r="G141" t="e">
        <f>IF(D140=Lookup!$L$10,1,IF(D140=Lookup!$L$11,G140+1,""))</f>
        <v>#N/A</v>
      </c>
      <c r="H141" t="e">
        <f>IF(F141=1,IF(D141=Lookup!$L$10,2,1),IF(G141&lt;F141-1,0,1))</f>
        <v>#N/A</v>
      </c>
      <c r="I141" t="e">
        <f>IF(D141&lt;&gt;Lookup!$L$7,0,IF(INDEX(views[name],MATCH(E141,views[object_id order],0))&lt;&gt;"",0,1))</f>
        <v>#N/A</v>
      </c>
      <c r="J141" t="e">
        <f>IF(D141&lt;&gt;Lookup!$L$7,0,IF(INDEX(views[icon],MATCH(E141,views[object_id order],0))&lt;&gt;"",0,1))</f>
        <v>#N/A</v>
      </c>
      <c r="K141" t="e">
        <f>IF($D141=Lookup!$L$6,INDEX(views[object_id],MATCH($E141,views[object_id order],0)),"")</f>
        <v>#N/A</v>
      </c>
      <c r="L141" t="e">
        <f>IF($D141=Lookup!$L$8,INDEX(views[name],MATCH($E141,views[object_id order],0)),"")</f>
        <v>#N/A</v>
      </c>
      <c r="M141" t="e">
        <f>IF($D141=Lookup!$L$9,INDEX(views[icon],MATCH($E141,views[object_id order],0)),"")</f>
        <v>#N/A</v>
      </c>
      <c r="N141" t="e">
        <f>IF(OR(D141=Lookup!$L$11,D141=Lookup!$L$12),INDEX(views[[1]:[25]],MATCH($E141,views[object_id order],0),G141),"")</f>
        <v>#N/A</v>
      </c>
      <c r="O141" t="str">
        <f t="shared" si="7"/>
        <v/>
      </c>
      <c r="P141" s="8" t="e">
        <f>INDEX(Lookup!$M$5:$M$12,MATCH(D141,Lookup!$L$5:$L$12,0))&amp;
K141&amp;L141&amp;M141&amp;N141&amp;
INDEX(Lookup!$N$5:$N$12,MATCH(D141,Lookup!$L$5:$L$12,0))</f>
        <v>#N/A</v>
      </c>
    </row>
    <row r="142" spans="2:16" x14ac:dyDescent="0.45">
      <c r="B142">
        <f t="shared" si="6"/>
        <v>140</v>
      </c>
      <c r="C142" t="e">
        <f t="shared" si="8"/>
        <v>#N/A</v>
      </c>
      <c r="D142" t="e">
        <f>VLOOKUP(C142,Lookup!$K$5:$L$12,2,FALSE)</f>
        <v>#N/A</v>
      </c>
      <c r="E142" t="e">
        <f>IF(D142=Lookup!$L$5,E141+1,E141)</f>
        <v>#N/A</v>
      </c>
      <c r="F142" s="3" t="e">
        <f>INDEX(views[Entities count],MATCH('view-code'!E142,views[object_id order],0))</f>
        <v>#N/A</v>
      </c>
      <c r="G142" t="e">
        <f>IF(D141=Lookup!$L$10,1,IF(D141=Lookup!$L$11,G141+1,""))</f>
        <v>#N/A</v>
      </c>
      <c r="H142" t="e">
        <f>IF(F142=1,IF(D142=Lookup!$L$10,2,1),IF(G142&lt;F142-1,0,1))</f>
        <v>#N/A</v>
      </c>
      <c r="I142" t="e">
        <f>IF(D142&lt;&gt;Lookup!$L$7,0,IF(INDEX(views[name],MATCH(E142,views[object_id order],0))&lt;&gt;"",0,1))</f>
        <v>#N/A</v>
      </c>
      <c r="J142" t="e">
        <f>IF(D142&lt;&gt;Lookup!$L$7,0,IF(INDEX(views[icon],MATCH(E142,views[object_id order],0))&lt;&gt;"",0,1))</f>
        <v>#N/A</v>
      </c>
      <c r="K142" t="e">
        <f>IF($D142=Lookup!$L$6,INDEX(views[object_id],MATCH($E142,views[object_id order],0)),"")</f>
        <v>#N/A</v>
      </c>
      <c r="L142" t="e">
        <f>IF($D142=Lookup!$L$8,INDEX(views[name],MATCH($E142,views[object_id order],0)),"")</f>
        <v>#N/A</v>
      </c>
      <c r="M142" t="e">
        <f>IF($D142=Lookup!$L$9,INDEX(views[icon],MATCH($E142,views[object_id order],0)),"")</f>
        <v>#N/A</v>
      </c>
      <c r="N142" t="e">
        <f>IF(OR(D142=Lookup!$L$11,D142=Lookup!$L$12),INDEX(views[[1]:[25]],MATCH($E142,views[object_id order],0),G142),"")</f>
        <v>#N/A</v>
      </c>
      <c r="O142" t="str">
        <f t="shared" si="7"/>
        <v/>
      </c>
      <c r="P142" s="8" t="e">
        <f>INDEX(Lookup!$M$5:$M$12,MATCH(D142,Lookup!$L$5:$L$12,0))&amp;
K142&amp;L142&amp;M142&amp;N142&amp;
INDEX(Lookup!$N$5:$N$12,MATCH(D142,Lookup!$L$5:$L$12,0))</f>
        <v>#N/A</v>
      </c>
    </row>
    <row r="143" spans="2:16" x14ac:dyDescent="0.45">
      <c r="B143">
        <f t="shared" si="6"/>
        <v>141</v>
      </c>
      <c r="C143" t="e">
        <f t="shared" si="8"/>
        <v>#N/A</v>
      </c>
      <c r="D143" t="e">
        <f>VLOOKUP(C143,Lookup!$K$5:$L$12,2,FALSE)</f>
        <v>#N/A</v>
      </c>
      <c r="E143" t="e">
        <f>IF(D143=Lookup!$L$5,E142+1,E142)</f>
        <v>#N/A</v>
      </c>
      <c r="F143" s="3" t="e">
        <f>INDEX(views[Entities count],MATCH('view-code'!E143,views[object_id order],0))</f>
        <v>#N/A</v>
      </c>
      <c r="G143" t="e">
        <f>IF(D142=Lookup!$L$10,1,IF(D142=Lookup!$L$11,G142+1,""))</f>
        <v>#N/A</v>
      </c>
      <c r="H143" t="e">
        <f>IF(F143=1,IF(D143=Lookup!$L$10,2,1),IF(G143&lt;F143-1,0,1))</f>
        <v>#N/A</v>
      </c>
      <c r="I143" t="e">
        <f>IF(D143&lt;&gt;Lookup!$L$7,0,IF(INDEX(views[name],MATCH(E143,views[object_id order],0))&lt;&gt;"",0,1))</f>
        <v>#N/A</v>
      </c>
      <c r="J143" t="e">
        <f>IF(D143&lt;&gt;Lookup!$L$7,0,IF(INDEX(views[icon],MATCH(E143,views[object_id order],0))&lt;&gt;"",0,1))</f>
        <v>#N/A</v>
      </c>
      <c r="K143" t="e">
        <f>IF($D143=Lookup!$L$6,INDEX(views[object_id],MATCH($E143,views[object_id order],0)),"")</f>
        <v>#N/A</v>
      </c>
      <c r="L143" t="e">
        <f>IF($D143=Lookup!$L$8,INDEX(views[name],MATCH($E143,views[object_id order],0)),"")</f>
        <v>#N/A</v>
      </c>
      <c r="M143" t="e">
        <f>IF($D143=Lookup!$L$9,INDEX(views[icon],MATCH($E143,views[object_id order],0)),"")</f>
        <v>#N/A</v>
      </c>
      <c r="N143" t="e">
        <f>IF(OR(D143=Lookup!$L$11,D143=Lookup!$L$12),INDEX(views[[1]:[25]],MATCH($E143,views[object_id order],0),G143),"")</f>
        <v>#N/A</v>
      </c>
      <c r="O143" t="str">
        <f t="shared" si="7"/>
        <v/>
      </c>
      <c r="P143" s="8" t="e">
        <f>INDEX(Lookup!$M$5:$M$12,MATCH(D143,Lookup!$L$5:$L$12,0))&amp;
K143&amp;L143&amp;M143&amp;N143&amp;
INDEX(Lookup!$N$5:$N$12,MATCH(D143,Lookup!$L$5:$L$12,0))</f>
        <v>#N/A</v>
      </c>
    </row>
    <row r="144" spans="2:16" x14ac:dyDescent="0.45">
      <c r="B144">
        <f t="shared" si="6"/>
        <v>142</v>
      </c>
      <c r="C144" t="e">
        <f t="shared" si="8"/>
        <v>#N/A</v>
      </c>
      <c r="D144" t="e">
        <f>VLOOKUP(C144,Lookup!$K$5:$L$12,2,FALSE)</f>
        <v>#N/A</v>
      </c>
      <c r="E144" t="e">
        <f>IF(D144=Lookup!$L$5,E143+1,E143)</f>
        <v>#N/A</v>
      </c>
      <c r="F144" s="3" t="e">
        <f>INDEX(views[Entities count],MATCH('view-code'!E144,views[object_id order],0))</f>
        <v>#N/A</v>
      </c>
      <c r="G144" t="e">
        <f>IF(D143=Lookup!$L$10,1,IF(D143=Lookup!$L$11,G143+1,""))</f>
        <v>#N/A</v>
      </c>
      <c r="H144" t="e">
        <f>IF(F144=1,IF(D144=Lookup!$L$10,2,1),IF(G144&lt;F144-1,0,1))</f>
        <v>#N/A</v>
      </c>
      <c r="I144" t="e">
        <f>IF(D144&lt;&gt;Lookup!$L$7,0,IF(INDEX(views[name],MATCH(E144,views[object_id order],0))&lt;&gt;"",0,1))</f>
        <v>#N/A</v>
      </c>
      <c r="J144" t="e">
        <f>IF(D144&lt;&gt;Lookup!$L$7,0,IF(INDEX(views[icon],MATCH(E144,views[object_id order],0))&lt;&gt;"",0,1))</f>
        <v>#N/A</v>
      </c>
      <c r="K144" t="e">
        <f>IF($D144=Lookup!$L$6,INDEX(views[object_id],MATCH($E144,views[object_id order],0)),"")</f>
        <v>#N/A</v>
      </c>
      <c r="L144" t="e">
        <f>IF($D144=Lookup!$L$8,INDEX(views[name],MATCH($E144,views[object_id order],0)),"")</f>
        <v>#N/A</v>
      </c>
      <c r="M144" t="e">
        <f>IF($D144=Lookup!$L$9,INDEX(views[icon],MATCH($E144,views[object_id order],0)),"")</f>
        <v>#N/A</v>
      </c>
      <c r="N144" t="e">
        <f>IF(OR(D144=Lookup!$L$11,D144=Lookup!$L$12),INDEX(views[[1]:[25]],MATCH($E144,views[object_id order],0),G144),"")</f>
        <v>#N/A</v>
      </c>
      <c r="O144" t="str">
        <f t="shared" si="7"/>
        <v/>
      </c>
      <c r="P144" s="8" t="e">
        <f>INDEX(Lookup!$M$5:$M$12,MATCH(D144,Lookup!$L$5:$L$12,0))&amp;
K144&amp;L144&amp;M144&amp;N144&amp;
INDEX(Lookup!$N$5:$N$12,MATCH(D144,Lookup!$L$5:$L$12,0))</f>
        <v>#N/A</v>
      </c>
    </row>
    <row r="145" spans="2:16" x14ac:dyDescent="0.45">
      <c r="B145">
        <f t="shared" si="6"/>
        <v>143</v>
      </c>
      <c r="C145" t="e">
        <f t="shared" si="8"/>
        <v>#N/A</v>
      </c>
      <c r="D145" t="e">
        <f>VLOOKUP(C145,Lookup!$K$5:$L$12,2,FALSE)</f>
        <v>#N/A</v>
      </c>
      <c r="E145" t="e">
        <f>IF(D145=Lookup!$L$5,E144+1,E144)</f>
        <v>#N/A</v>
      </c>
      <c r="F145" s="3" t="e">
        <f>INDEX(views[Entities count],MATCH('view-code'!E145,views[object_id order],0))</f>
        <v>#N/A</v>
      </c>
      <c r="G145" t="e">
        <f>IF(D144=Lookup!$L$10,1,IF(D144=Lookup!$L$11,G144+1,""))</f>
        <v>#N/A</v>
      </c>
      <c r="H145" t="e">
        <f>IF(F145=1,IF(D145=Lookup!$L$10,2,1),IF(G145&lt;F145-1,0,1))</f>
        <v>#N/A</v>
      </c>
      <c r="I145" t="e">
        <f>IF(D145&lt;&gt;Lookup!$L$7,0,IF(INDEX(views[name],MATCH(E145,views[object_id order],0))&lt;&gt;"",0,1))</f>
        <v>#N/A</v>
      </c>
      <c r="J145" t="e">
        <f>IF(D145&lt;&gt;Lookup!$L$7,0,IF(INDEX(views[icon],MATCH(E145,views[object_id order],0))&lt;&gt;"",0,1))</f>
        <v>#N/A</v>
      </c>
      <c r="K145" t="e">
        <f>IF($D145=Lookup!$L$6,INDEX(views[object_id],MATCH($E145,views[object_id order],0)),"")</f>
        <v>#N/A</v>
      </c>
      <c r="L145" t="e">
        <f>IF($D145=Lookup!$L$8,INDEX(views[name],MATCH($E145,views[object_id order],0)),"")</f>
        <v>#N/A</v>
      </c>
      <c r="M145" t="e">
        <f>IF($D145=Lookup!$L$9,INDEX(views[icon],MATCH($E145,views[object_id order],0)),"")</f>
        <v>#N/A</v>
      </c>
      <c r="N145" t="e">
        <f>IF(OR(D145=Lookup!$L$11,D145=Lookup!$L$12),INDEX(views[[1]:[25]],MATCH($E145,views[object_id order],0),G145),"")</f>
        <v>#N/A</v>
      </c>
      <c r="O145" t="str">
        <f t="shared" si="7"/>
        <v/>
      </c>
      <c r="P145" s="8" t="e">
        <f>INDEX(Lookup!$M$5:$M$12,MATCH(D145,Lookup!$L$5:$L$12,0))&amp;
K145&amp;L145&amp;M145&amp;N145&amp;
INDEX(Lookup!$N$5:$N$12,MATCH(D145,Lookup!$L$5:$L$12,0))</f>
        <v>#N/A</v>
      </c>
    </row>
    <row r="146" spans="2:16" x14ac:dyDescent="0.45">
      <c r="B146">
        <f t="shared" si="6"/>
        <v>144</v>
      </c>
      <c r="C146" t="e">
        <f t="shared" si="8"/>
        <v>#N/A</v>
      </c>
      <c r="D146" t="e">
        <f>VLOOKUP(C146,Lookup!$K$5:$L$12,2,FALSE)</f>
        <v>#N/A</v>
      </c>
      <c r="E146" t="e">
        <f>IF(D146=Lookup!$L$5,E145+1,E145)</f>
        <v>#N/A</v>
      </c>
      <c r="F146" s="3" t="e">
        <f>INDEX(views[Entities count],MATCH('view-code'!E146,views[object_id order],0))</f>
        <v>#N/A</v>
      </c>
      <c r="G146" t="e">
        <f>IF(D145=Lookup!$L$10,1,IF(D145=Lookup!$L$11,G145+1,""))</f>
        <v>#N/A</v>
      </c>
      <c r="H146" t="e">
        <f>IF(F146=1,IF(D146=Lookup!$L$10,2,1),IF(G146&lt;F146-1,0,1))</f>
        <v>#N/A</v>
      </c>
      <c r="I146" t="e">
        <f>IF(D146&lt;&gt;Lookup!$L$7,0,IF(INDEX(views[name],MATCH(E146,views[object_id order],0))&lt;&gt;"",0,1))</f>
        <v>#N/A</v>
      </c>
      <c r="J146" t="e">
        <f>IF(D146&lt;&gt;Lookup!$L$7,0,IF(INDEX(views[icon],MATCH(E146,views[object_id order],0))&lt;&gt;"",0,1))</f>
        <v>#N/A</v>
      </c>
      <c r="K146" t="e">
        <f>IF($D146=Lookup!$L$6,INDEX(views[object_id],MATCH($E146,views[object_id order],0)),"")</f>
        <v>#N/A</v>
      </c>
      <c r="L146" t="e">
        <f>IF($D146=Lookup!$L$8,INDEX(views[name],MATCH($E146,views[object_id order],0)),"")</f>
        <v>#N/A</v>
      </c>
      <c r="M146" t="e">
        <f>IF($D146=Lookup!$L$9,INDEX(views[icon],MATCH($E146,views[object_id order],0)),"")</f>
        <v>#N/A</v>
      </c>
      <c r="N146" t="e">
        <f>IF(OR(D146=Lookup!$L$11,D146=Lookup!$L$12),INDEX(views[[1]:[25]],MATCH($E146,views[object_id order],0),G146),"")</f>
        <v>#N/A</v>
      </c>
      <c r="O146" t="str">
        <f t="shared" si="7"/>
        <v/>
      </c>
      <c r="P146" s="8" t="e">
        <f>INDEX(Lookup!$M$5:$M$12,MATCH(D146,Lookup!$L$5:$L$12,0))&amp;
K146&amp;L146&amp;M146&amp;N146&amp;
INDEX(Lookup!$N$5:$N$12,MATCH(D146,Lookup!$L$5:$L$12,0))</f>
        <v>#N/A</v>
      </c>
    </row>
    <row r="147" spans="2:16" x14ac:dyDescent="0.45">
      <c r="B147">
        <f t="shared" si="6"/>
        <v>145</v>
      </c>
      <c r="C147" t="e">
        <f t="shared" si="8"/>
        <v>#N/A</v>
      </c>
      <c r="D147" t="e">
        <f>VLOOKUP(C147,Lookup!$K$5:$L$12,2,FALSE)</f>
        <v>#N/A</v>
      </c>
      <c r="E147" t="e">
        <f>IF(D147=Lookup!$L$5,E146+1,E146)</f>
        <v>#N/A</v>
      </c>
      <c r="F147" s="3" t="e">
        <f>INDEX(views[Entities count],MATCH('view-code'!E147,views[object_id order],0))</f>
        <v>#N/A</v>
      </c>
      <c r="G147" t="e">
        <f>IF(D146=Lookup!$L$10,1,IF(D146=Lookup!$L$11,G146+1,""))</f>
        <v>#N/A</v>
      </c>
      <c r="H147" t="e">
        <f>IF(F147=1,IF(D147=Lookup!$L$10,2,1),IF(G147&lt;F147-1,0,1))</f>
        <v>#N/A</v>
      </c>
      <c r="I147" t="e">
        <f>IF(D147&lt;&gt;Lookup!$L$7,0,IF(INDEX(views[name],MATCH(E147,views[object_id order],0))&lt;&gt;"",0,1))</f>
        <v>#N/A</v>
      </c>
      <c r="J147" t="e">
        <f>IF(D147&lt;&gt;Lookup!$L$7,0,IF(INDEX(views[icon],MATCH(E147,views[object_id order],0))&lt;&gt;"",0,1))</f>
        <v>#N/A</v>
      </c>
      <c r="K147" t="e">
        <f>IF($D147=Lookup!$L$6,INDEX(views[object_id],MATCH($E147,views[object_id order],0)),"")</f>
        <v>#N/A</v>
      </c>
      <c r="L147" t="e">
        <f>IF($D147=Lookup!$L$8,INDEX(views[name],MATCH($E147,views[object_id order],0)),"")</f>
        <v>#N/A</v>
      </c>
      <c r="M147" t="e">
        <f>IF($D147=Lookup!$L$9,INDEX(views[icon],MATCH($E147,views[object_id order],0)),"")</f>
        <v>#N/A</v>
      </c>
      <c r="N147" t="e">
        <f>IF(OR(D147=Lookup!$L$11,D147=Lookup!$L$12),INDEX(views[[1]:[25]],MATCH($E147,views[object_id order],0),G147),"")</f>
        <v>#N/A</v>
      </c>
      <c r="O147" t="str">
        <f t="shared" si="7"/>
        <v/>
      </c>
      <c r="P147" s="8" t="e">
        <f>INDEX(Lookup!$M$5:$M$12,MATCH(D147,Lookup!$L$5:$L$12,0))&amp;
K147&amp;L147&amp;M147&amp;N147&amp;
INDEX(Lookup!$N$5:$N$12,MATCH(D147,Lookup!$L$5:$L$12,0))</f>
        <v>#N/A</v>
      </c>
    </row>
    <row r="148" spans="2:16" x14ac:dyDescent="0.45">
      <c r="B148">
        <f t="shared" si="6"/>
        <v>146</v>
      </c>
      <c r="C148" t="e">
        <f t="shared" si="8"/>
        <v>#N/A</v>
      </c>
      <c r="D148" t="e">
        <f>VLOOKUP(C148,Lookup!$K$5:$L$12,2,FALSE)</f>
        <v>#N/A</v>
      </c>
      <c r="E148" t="e">
        <f>IF(D148=Lookup!$L$5,E147+1,E147)</f>
        <v>#N/A</v>
      </c>
      <c r="F148" s="3" t="e">
        <f>INDEX(views[Entities count],MATCH('view-code'!E148,views[object_id order],0))</f>
        <v>#N/A</v>
      </c>
      <c r="G148" t="e">
        <f>IF(D147=Lookup!$L$10,1,IF(D147=Lookup!$L$11,G147+1,""))</f>
        <v>#N/A</v>
      </c>
      <c r="H148" t="e">
        <f>IF(F148=1,IF(D148=Lookup!$L$10,2,1),IF(G148&lt;F148-1,0,1))</f>
        <v>#N/A</v>
      </c>
      <c r="I148" t="e">
        <f>IF(D148&lt;&gt;Lookup!$L$7,0,IF(INDEX(views[name],MATCH(E148,views[object_id order],0))&lt;&gt;"",0,1))</f>
        <v>#N/A</v>
      </c>
      <c r="J148" t="e">
        <f>IF(D148&lt;&gt;Lookup!$L$7,0,IF(INDEX(views[icon],MATCH(E148,views[object_id order],0))&lt;&gt;"",0,1))</f>
        <v>#N/A</v>
      </c>
      <c r="K148" t="e">
        <f>IF($D148=Lookup!$L$6,INDEX(views[object_id],MATCH($E148,views[object_id order],0)),"")</f>
        <v>#N/A</v>
      </c>
      <c r="L148" t="e">
        <f>IF($D148=Lookup!$L$8,INDEX(views[name],MATCH($E148,views[object_id order],0)),"")</f>
        <v>#N/A</v>
      </c>
      <c r="M148" t="e">
        <f>IF($D148=Lookup!$L$9,INDEX(views[icon],MATCH($E148,views[object_id order],0)),"")</f>
        <v>#N/A</v>
      </c>
      <c r="N148" t="e">
        <f>IF(OR(D148=Lookup!$L$11,D148=Lookup!$L$12),INDEX(views[[1]:[25]],MATCH($E148,views[object_id order],0),G148),"")</f>
        <v>#N/A</v>
      </c>
      <c r="O148" t="str">
        <f t="shared" si="7"/>
        <v/>
      </c>
      <c r="P148" s="8" t="e">
        <f>INDEX(Lookup!$M$5:$M$12,MATCH(D148,Lookup!$L$5:$L$12,0))&amp;
K148&amp;L148&amp;M148&amp;N148&amp;
INDEX(Lookup!$N$5:$N$12,MATCH(D148,Lookup!$L$5:$L$12,0))</f>
        <v>#N/A</v>
      </c>
    </row>
    <row r="149" spans="2:16" x14ac:dyDescent="0.45">
      <c r="B149">
        <f t="shared" si="6"/>
        <v>147</v>
      </c>
      <c r="C149" t="e">
        <f t="shared" si="8"/>
        <v>#N/A</v>
      </c>
      <c r="D149" t="e">
        <f>VLOOKUP(C149,Lookup!$K$5:$L$12,2,FALSE)</f>
        <v>#N/A</v>
      </c>
      <c r="E149" t="e">
        <f>IF(D149=Lookup!$L$5,E148+1,E148)</f>
        <v>#N/A</v>
      </c>
      <c r="F149" s="3" t="e">
        <f>INDEX(views[Entities count],MATCH('view-code'!E149,views[object_id order],0))</f>
        <v>#N/A</v>
      </c>
      <c r="G149" t="e">
        <f>IF(D148=Lookup!$L$10,1,IF(D148=Lookup!$L$11,G148+1,""))</f>
        <v>#N/A</v>
      </c>
      <c r="H149" t="e">
        <f>IF(F149=1,IF(D149=Lookup!$L$10,2,1),IF(G149&lt;F149-1,0,1))</f>
        <v>#N/A</v>
      </c>
      <c r="I149" t="e">
        <f>IF(D149&lt;&gt;Lookup!$L$7,0,IF(INDEX(views[name],MATCH(E149,views[object_id order],0))&lt;&gt;"",0,1))</f>
        <v>#N/A</v>
      </c>
      <c r="J149" t="e">
        <f>IF(D149&lt;&gt;Lookup!$L$7,0,IF(INDEX(views[icon],MATCH(E149,views[object_id order],0))&lt;&gt;"",0,1))</f>
        <v>#N/A</v>
      </c>
      <c r="K149" t="e">
        <f>IF($D149=Lookup!$L$6,INDEX(views[object_id],MATCH($E149,views[object_id order],0)),"")</f>
        <v>#N/A</v>
      </c>
      <c r="L149" t="e">
        <f>IF($D149=Lookup!$L$8,INDEX(views[name],MATCH($E149,views[object_id order],0)),"")</f>
        <v>#N/A</v>
      </c>
      <c r="M149" t="e">
        <f>IF($D149=Lookup!$L$9,INDEX(views[icon],MATCH($E149,views[object_id order],0)),"")</f>
        <v>#N/A</v>
      </c>
      <c r="N149" t="e">
        <f>IF(OR(D149=Lookup!$L$11,D149=Lookup!$L$12),INDEX(views[[1]:[25]],MATCH($E149,views[object_id order],0),G149),"")</f>
        <v>#N/A</v>
      </c>
      <c r="O149" t="str">
        <f t="shared" si="7"/>
        <v/>
      </c>
      <c r="P149" s="8" t="e">
        <f>INDEX(Lookup!$M$5:$M$12,MATCH(D149,Lookup!$L$5:$L$12,0))&amp;
K149&amp;L149&amp;M149&amp;N149&amp;
INDEX(Lookup!$N$5:$N$12,MATCH(D149,Lookup!$L$5:$L$12,0))</f>
        <v>#N/A</v>
      </c>
    </row>
    <row r="150" spans="2:16" x14ac:dyDescent="0.45">
      <c r="B150">
        <f t="shared" si="6"/>
        <v>148</v>
      </c>
      <c r="C150" t="e">
        <f t="shared" si="8"/>
        <v>#N/A</v>
      </c>
      <c r="D150" t="e">
        <f>VLOOKUP(C150,Lookup!$K$5:$L$12,2,FALSE)</f>
        <v>#N/A</v>
      </c>
      <c r="E150" t="e">
        <f>IF(D150=Lookup!$L$5,E149+1,E149)</f>
        <v>#N/A</v>
      </c>
      <c r="F150" s="3" t="e">
        <f>INDEX(views[Entities count],MATCH('view-code'!E150,views[object_id order],0))</f>
        <v>#N/A</v>
      </c>
      <c r="G150" t="e">
        <f>IF(D149=Lookup!$L$10,1,IF(D149=Lookup!$L$11,G149+1,""))</f>
        <v>#N/A</v>
      </c>
      <c r="H150" t="e">
        <f>IF(F150=1,IF(D150=Lookup!$L$10,2,1),IF(G150&lt;F150-1,0,1))</f>
        <v>#N/A</v>
      </c>
      <c r="I150" t="e">
        <f>IF(D150&lt;&gt;Lookup!$L$7,0,IF(INDEX(views[name],MATCH(E150,views[object_id order],0))&lt;&gt;"",0,1))</f>
        <v>#N/A</v>
      </c>
      <c r="J150" t="e">
        <f>IF(D150&lt;&gt;Lookup!$L$7,0,IF(INDEX(views[icon],MATCH(E150,views[object_id order],0))&lt;&gt;"",0,1))</f>
        <v>#N/A</v>
      </c>
      <c r="K150" t="e">
        <f>IF($D150=Lookup!$L$6,INDEX(views[object_id],MATCH($E150,views[object_id order],0)),"")</f>
        <v>#N/A</v>
      </c>
      <c r="L150" t="e">
        <f>IF($D150=Lookup!$L$8,INDEX(views[name],MATCH($E150,views[object_id order],0)),"")</f>
        <v>#N/A</v>
      </c>
      <c r="M150" t="e">
        <f>IF($D150=Lookup!$L$9,INDEX(views[icon],MATCH($E150,views[object_id order],0)),"")</f>
        <v>#N/A</v>
      </c>
      <c r="N150" t="e">
        <f>IF(OR(D150=Lookup!$L$11,D150=Lookup!$L$12),INDEX(views[[1]:[25]],MATCH($E150,views[object_id order],0),G150),"")</f>
        <v>#N/A</v>
      </c>
      <c r="O150" t="str">
        <f t="shared" si="7"/>
        <v/>
      </c>
      <c r="P150" s="8" t="e">
        <f>INDEX(Lookup!$M$5:$M$12,MATCH(D150,Lookup!$L$5:$L$12,0))&amp;
K150&amp;L150&amp;M150&amp;N150&amp;
INDEX(Lookup!$N$5:$N$12,MATCH(D150,Lookup!$L$5:$L$12,0))</f>
        <v>#N/A</v>
      </c>
    </row>
    <row r="151" spans="2:16" x14ac:dyDescent="0.45">
      <c r="B151">
        <f t="shared" si="6"/>
        <v>149</v>
      </c>
      <c r="C151" t="e">
        <f t="shared" si="8"/>
        <v>#N/A</v>
      </c>
      <c r="D151" t="e">
        <f>VLOOKUP(C151,Lookup!$K$5:$L$12,2,FALSE)</f>
        <v>#N/A</v>
      </c>
      <c r="E151" t="e">
        <f>IF(D151=Lookup!$L$5,E150+1,E150)</f>
        <v>#N/A</v>
      </c>
      <c r="F151" s="3" t="e">
        <f>INDEX(views[Entities count],MATCH('view-code'!E151,views[object_id order],0))</f>
        <v>#N/A</v>
      </c>
      <c r="G151" t="e">
        <f>IF(D150=Lookup!$L$10,1,IF(D150=Lookup!$L$11,G150+1,""))</f>
        <v>#N/A</v>
      </c>
      <c r="H151" t="e">
        <f>IF(F151=1,IF(D151=Lookup!$L$10,2,1),IF(G151&lt;F151-1,0,1))</f>
        <v>#N/A</v>
      </c>
      <c r="I151" t="e">
        <f>IF(D151&lt;&gt;Lookup!$L$7,0,IF(INDEX(views[name],MATCH(E151,views[object_id order],0))&lt;&gt;"",0,1))</f>
        <v>#N/A</v>
      </c>
      <c r="J151" t="e">
        <f>IF(D151&lt;&gt;Lookup!$L$7,0,IF(INDEX(views[icon],MATCH(E151,views[object_id order],0))&lt;&gt;"",0,1))</f>
        <v>#N/A</v>
      </c>
      <c r="K151" t="e">
        <f>IF($D151=Lookup!$L$6,INDEX(views[object_id],MATCH($E151,views[object_id order],0)),"")</f>
        <v>#N/A</v>
      </c>
      <c r="L151" t="e">
        <f>IF($D151=Lookup!$L$8,INDEX(views[name],MATCH($E151,views[object_id order],0)),"")</f>
        <v>#N/A</v>
      </c>
      <c r="M151" t="e">
        <f>IF($D151=Lookup!$L$9,INDEX(views[icon],MATCH($E151,views[object_id order],0)),"")</f>
        <v>#N/A</v>
      </c>
      <c r="N151" t="e">
        <f>IF(OR(D151=Lookup!$L$11,D151=Lookup!$L$12),INDEX(views[[1]:[25]],MATCH($E151,views[object_id order],0),G151),"")</f>
        <v>#N/A</v>
      </c>
      <c r="O151" t="str">
        <f t="shared" si="7"/>
        <v/>
      </c>
      <c r="P151" s="8" t="e">
        <f>INDEX(Lookup!$M$5:$M$12,MATCH(D151,Lookup!$L$5:$L$12,0))&amp;
K151&amp;L151&amp;M151&amp;N151&amp;
INDEX(Lookup!$N$5:$N$12,MATCH(D151,Lookup!$L$5:$L$12,0))</f>
        <v>#N/A</v>
      </c>
    </row>
    <row r="152" spans="2:16" x14ac:dyDescent="0.45">
      <c r="B152">
        <f t="shared" si="6"/>
        <v>150</v>
      </c>
      <c r="C152" t="e">
        <f t="shared" si="8"/>
        <v>#N/A</v>
      </c>
      <c r="D152" t="e">
        <f>VLOOKUP(C152,Lookup!$K$5:$L$12,2,FALSE)</f>
        <v>#N/A</v>
      </c>
      <c r="E152" t="e">
        <f>IF(D152=Lookup!$L$5,E151+1,E151)</f>
        <v>#N/A</v>
      </c>
      <c r="F152" s="3" t="e">
        <f>INDEX(views[Entities count],MATCH('view-code'!E152,views[object_id order],0))</f>
        <v>#N/A</v>
      </c>
      <c r="G152" t="e">
        <f>IF(D151=Lookup!$L$10,1,IF(D151=Lookup!$L$11,G151+1,""))</f>
        <v>#N/A</v>
      </c>
      <c r="H152" t="e">
        <f>IF(F152=1,IF(D152=Lookup!$L$10,2,1),IF(G152&lt;F152-1,0,1))</f>
        <v>#N/A</v>
      </c>
      <c r="I152" t="e">
        <f>IF(D152&lt;&gt;Lookup!$L$7,0,IF(INDEX(views[name],MATCH(E152,views[object_id order],0))&lt;&gt;"",0,1))</f>
        <v>#N/A</v>
      </c>
      <c r="J152" t="e">
        <f>IF(D152&lt;&gt;Lookup!$L$7,0,IF(INDEX(views[icon],MATCH(E152,views[object_id order],0))&lt;&gt;"",0,1))</f>
        <v>#N/A</v>
      </c>
      <c r="K152" t="e">
        <f>IF($D152=Lookup!$L$6,INDEX(views[object_id],MATCH($E152,views[object_id order],0)),"")</f>
        <v>#N/A</v>
      </c>
      <c r="L152" t="e">
        <f>IF($D152=Lookup!$L$8,INDEX(views[name],MATCH($E152,views[object_id order],0)),"")</f>
        <v>#N/A</v>
      </c>
      <c r="M152" t="e">
        <f>IF($D152=Lookup!$L$9,INDEX(views[icon],MATCH($E152,views[object_id order],0)),"")</f>
        <v>#N/A</v>
      </c>
      <c r="N152" t="e">
        <f>IF(OR(D152=Lookup!$L$11,D152=Lookup!$L$12),INDEX(views[[1]:[25]],MATCH($E152,views[object_id order],0),G152),"")</f>
        <v>#N/A</v>
      </c>
      <c r="O152" t="str">
        <f t="shared" si="7"/>
        <v/>
      </c>
      <c r="P152" s="8" t="e">
        <f>INDEX(Lookup!$M$5:$M$12,MATCH(D152,Lookup!$L$5:$L$12,0))&amp;
K152&amp;L152&amp;M152&amp;N152&amp;
INDEX(Lookup!$N$5:$N$12,MATCH(D152,Lookup!$L$5:$L$12,0))</f>
        <v>#N/A</v>
      </c>
    </row>
    <row r="153" spans="2:16" x14ac:dyDescent="0.45">
      <c r="B153">
        <f t="shared" si="6"/>
        <v>151</v>
      </c>
      <c r="C153" t="e">
        <f t="shared" si="8"/>
        <v>#N/A</v>
      </c>
      <c r="D153" t="e">
        <f>VLOOKUP(C153,Lookup!$K$5:$L$12,2,FALSE)</f>
        <v>#N/A</v>
      </c>
      <c r="E153" t="e">
        <f>IF(D153=Lookup!$L$5,E152+1,E152)</f>
        <v>#N/A</v>
      </c>
      <c r="F153" s="3" t="e">
        <f>INDEX(views[Entities count],MATCH('view-code'!E153,views[object_id order],0))</f>
        <v>#N/A</v>
      </c>
      <c r="G153" t="e">
        <f>IF(D152=Lookup!$L$10,1,IF(D152=Lookup!$L$11,G152+1,""))</f>
        <v>#N/A</v>
      </c>
      <c r="H153" t="e">
        <f>IF(F153=1,IF(D153=Lookup!$L$10,2,1),IF(G153&lt;F153-1,0,1))</f>
        <v>#N/A</v>
      </c>
      <c r="I153" t="e">
        <f>IF(D153&lt;&gt;Lookup!$L$7,0,IF(INDEX(views[name],MATCH(E153,views[object_id order],0))&lt;&gt;"",0,1))</f>
        <v>#N/A</v>
      </c>
      <c r="J153" t="e">
        <f>IF(D153&lt;&gt;Lookup!$L$7,0,IF(INDEX(views[icon],MATCH(E153,views[object_id order],0))&lt;&gt;"",0,1))</f>
        <v>#N/A</v>
      </c>
      <c r="K153" t="e">
        <f>IF($D153=Lookup!$L$6,INDEX(views[object_id],MATCH($E153,views[object_id order],0)),"")</f>
        <v>#N/A</v>
      </c>
      <c r="L153" t="e">
        <f>IF($D153=Lookup!$L$8,INDEX(views[name],MATCH($E153,views[object_id order],0)),"")</f>
        <v>#N/A</v>
      </c>
      <c r="M153" t="e">
        <f>IF($D153=Lookup!$L$9,INDEX(views[icon],MATCH($E153,views[object_id order],0)),"")</f>
        <v>#N/A</v>
      </c>
      <c r="N153" t="e">
        <f>IF(OR(D153=Lookup!$L$11,D153=Lookup!$L$12),INDEX(views[[1]:[25]],MATCH($E153,views[object_id order],0),G153),"")</f>
        <v>#N/A</v>
      </c>
      <c r="O153" t="str">
        <f t="shared" si="7"/>
        <v/>
      </c>
      <c r="P153" s="8" t="e">
        <f>INDEX(Lookup!$M$5:$M$12,MATCH(D153,Lookup!$L$5:$L$12,0))&amp;
K153&amp;L153&amp;M153&amp;N153&amp;
INDEX(Lookup!$N$5:$N$12,MATCH(D153,Lookup!$L$5:$L$12,0))</f>
        <v>#N/A</v>
      </c>
    </row>
    <row r="154" spans="2:16" x14ac:dyDescent="0.45">
      <c r="B154">
        <f t="shared" si="6"/>
        <v>152</v>
      </c>
      <c r="C154" t="e">
        <f t="shared" si="8"/>
        <v>#N/A</v>
      </c>
      <c r="D154" t="e">
        <f>VLOOKUP(C154,Lookup!$K$5:$L$12,2,FALSE)</f>
        <v>#N/A</v>
      </c>
      <c r="E154" t="e">
        <f>IF(D154=Lookup!$L$5,E153+1,E153)</f>
        <v>#N/A</v>
      </c>
      <c r="F154" s="3" t="e">
        <f>INDEX(views[Entities count],MATCH('view-code'!E154,views[object_id order],0))</f>
        <v>#N/A</v>
      </c>
      <c r="G154" t="e">
        <f>IF(D153=Lookup!$L$10,1,IF(D153=Lookup!$L$11,G153+1,""))</f>
        <v>#N/A</v>
      </c>
      <c r="H154" t="e">
        <f>IF(F154=1,IF(D154=Lookup!$L$10,2,1),IF(G154&lt;F154-1,0,1))</f>
        <v>#N/A</v>
      </c>
      <c r="I154" t="e">
        <f>IF(D154&lt;&gt;Lookup!$L$7,0,IF(INDEX(views[name],MATCH(E154,views[object_id order],0))&lt;&gt;"",0,1))</f>
        <v>#N/A</v>
      </c>
      <c r="J154" t="e">
        <f>IF(D154&lt;&gt;Lookup!$L$7,0,IF(INDEX(views[icon],MATCH(E154,views[object_id order],0))&lt;&gt;"",0,1))</f>
        <v>#N/A</v>
      </c>
      <c r="K154" t="e">
        <f>IF($D154=Lookup!$L$6,INDEX(views[object_id],MATCH($E154,views[object_id order],0)),"")</f>
        <v>#N/A</v>
      </c>
      <c r="L154" t="e">
        <f>IF($D154=Lookup!$L$8,INDEX(views[name],MATCH($E154,views[object_id order],0)),"")</f>
        <v>#N/A</v>
      </c>
      <c r="M154" t="e">
        <f>IF($D154=Lookup!$L$9,INDEX(views[icon],MATCH($E154,views[object_id order],0)),"")</f>
        <v>#N/A</v>
      </c>
      <c r="N154" t="e">
        <f>IF(OR(D154=Lookup!$L$11,D154=Lookup!$L$12),INDEX(views[[1]:[25]],MATCH($E154,views[object_id order],0),G154),"")</f>
        <v>#N/A</v>
      </c>
      <c r="O154" t="str">
        <f t="shared" si="7"/>
        <v/>
      </c>
      <c r="P154" s="8" t="e">
        <f>INDEX(Lookup!$M$5:$M$12,MATCH(D154,Lookup!$L$5:$L$12,0))&amp;
K154&amp;L154&amp;M154&amp;N154&amp;
INDEX(Lookup!$N$5:$N$12,MATCH(D154,Lookup!$L$5:$L$12,0))</f>
        <v>#N/A</v>
      </c>
    </row>
    <row r="155" spans="2:16" x14ac:dyDescent="0.45">
      <c r="B155">
        <f t="shared" si="6"/>
        <v>153</v>
      </c>
      <c r="C155" t="e">
        <f t="shared" si="8"/>
        <v>#N/A</v>
      </c>
      <c r="D155" t="e">
        <f>VLOOKUP(C155,Lookup!$K$5:$L$12,2,FALSE)</f>
        <v>#N/A</v>
      </c>
      <c r="E155" t="e">
        <f>IF(D155=Lookup!$L$5,E154+1,E154)</f>
        <v>#N/A</v>
      </c>
      <c r="F155" s="3" t="e">
        <f>INDEX(views[Entities count],MATCH('view-code'!E155,views[object_id order],0))</f>
        <v>#N/A</v>
      </c>
      <c r="G155" t="e">
        <f>IF(D154=Lookup!$L$10,1,IF(D154=Lookup!$L$11,G154+1,""))</f>
        <v>#N/A</v>
      </c>
      <c r="H155" t="e">
        <f>IF(F155=1,IF(D155=Lookup!$L$10,2,1),IF(G155&lt;F155-1,0,1))</f>
        <v>#N/A</v>
      </c>
      <c r="I155" t="e">
        <f>IF(D155&lt;&gt;Lookup!$L$7,0,IF(INDEX(views[name],MATCH(E155,views[object_id order],0))&lt;&gt;"",0,1))</f>
        <v>#N/A</v>
      </c>
      <c r="J155" t="e">
        <f>IF(D155&lt;&gt;Lookup!$L$7,0,IF(INDEX(views[icon],MATCH(E155,views[object_id order],0))&lt;&gt;"",0,1))</f>
        <v>#N/A</v>
      </c>
      <c r="K155" t="e">
        <f>IF($D155=Lookup!$L$6,INDEX(views[object_id],MATCH($E155,views[object_id order],0)),"")</f>
        <v>#N/A</v>
      </c>
      <c r="L155" t="e">
        <f>IF($D155=Lookup!$L$8,INDEX(views[name],MATCH($E155,views[object_id order],0)),"")</f>
        <v>#N/A</v>
      </c>
      <c r="M155" t="e">
        <f>IF($D155=Lookup!$L$9,INDEX(views[icon],MATCH($E155,views[object_id order],0)),"")</f>
        <v>#N/A</v>
      </c>
      <c r="N155" t="e">
        <f>IF(OR(D155=Lookup!$L$11,D155=Lookup!$L$12),INDEX(views[[1]:[25]],MATCH($E155,views[object_id order],0),G155),"")</f>
        <v>#N/A</v>
      </c>
      <c r="O155" t="str">
        <f t="shared" si="7"/>
        <v/>
      </c>
      <c r="P155" s="8" t="e">
        <f>INDEX(Lookup!$M$5:$M$12,MATCH(D155,Lookup!$L$5:$L$12,0))&amp;
K155&amp;L155&amp;M155&amp;N155&amp;
INDEX(Lookup!$N$5:$N$12,MATCH(D155,Lookup!$L$5:$L$12,0))</f>
        <v>#N/A</v>
      </c>
    </row>
    <row r="156" spans="2:16" x14ac:dyDescent="0.45">
      <c r="B156">
        <f t="shared" si="6"/>
        <v>154</v>
      </c>
      <c r="C156" t="e">
        <f t="shared" si="8"/>
        <v>#N/A</v>
      </c>
      <c r="D156" t="e">
        <f>VLOOKUP(C156,Lookup!$K$5:$L$12,2,FALSE)</f>
        <v>#N/A</v>
      </c>
      <c r="E156" t="e">
        <f>IF(D156=Lookup!$L$5,E155+1,E155)</f>
        <v>#N/A</v>
      </c>
      <c r="F156" s="3" t="e">
        <f>INDEX(views[Entities count],MATCH('view-code'!E156,views[object_id order],0))</f>
        <v>#N/A</v>
      </c>
      <c r="G156" t="e">
        <f>IF(D155=Lookup!$L$10,1,IF(D155=Lookup!$L$11,G155+1,""))</f>
        <v>#N/A</v>
      </c>
      <c r="H156" t="e">
        <f>IF(F156=1,IF(D156=Lookup!$L$10,2,1),IF(G156&lt;F156-1,0,1))</f>
        <v>#N/A</v>
      </c>
      <c r="I156" t="e">
        <f>IF(D156&lt;&gt;Lookup!$L$7,0,IF(INDEX(views[name],MATCH(E156,views[object_id order],0))&lt;&gt;"",0,1))</f>
        <v>#N/A</v>
      </c>
      <c r="J156" t="e">
        <f>IF(D156&lt;&gt;Lookup!$L$7,0,IF(INDEX(views[icon],MATCH(E156,views[object_id order],0))&lt;&gt;"",0,1))</f>
        <v>#N/A</v>
      </c>
      <c r="K156" t="e">
        <f>IF($D156=Lookup!$L$6,INDEX(views[object_id],MATCH($E156,views[object_id order],0)),"")</f>
        <v>#N/A</v>
      </c>
      <c r="L156" t="e">
        <f>IF($D156=Lookup!$L$8,INDEX(views[name],MATCH($E156,views[object_id order],0)),"")</f>
        <v>#N/A</v>
      </c>
      <c r="M156" t="e">
        <f>IF($D156=Lookup!$L$9,INDEX(views[icon],MATCH($E156,views[object_id order],0)),"")</f>
        <v>#N/A</v>
      </c>
      <c r="N156" t="e">
        <f>IF(OR(D156=Lookup!$L$11,D156=Lookup!$L$12),INDEX(views[[1]:[25]],MATCH($E156,views[object_id order],0),G156),"")</f>
        <v>#N/A</v>
      </c>
      <c r="O156" t="str">
        <f t="shared" si="7"/>
        <v/>
      </c>
      <c r="P156" s="8" t="e">
        <f>INDEX(Lookup!$M$5:$M$12,MATCH(D156,Lookup!$L$5:$L$12,0))&amp;
K156&amp;L156&amp;M156&amp;N156&amp;
INDEX(Lookup!$N$5:$N$12,MATCH(D156,Lookup!$L$5:$L$12,0))</f>
        <v>#N/A</v>
      </c>
    </row>
    <row r="157" spans="2:16" x14ac:dyDescent="0.45">
      <c r="B157">
        <f t="shared" si="6"/>
        <v>155</v>
      </c>
      <c r="C157" t="e">
        <f t="shared" si="8"/>
        <v>#N/A</v>
      </c>
      <c r="D157" t="e">
        <f>VLOOKUP(C157,Lookup!$K$5:$L$12,2,FALSE)</f>
        <v>#N/A</v>
      </c>
      <c r="E157" t="e">
        <f>IF(D157=Lookup!$L$5,E156+1,E156)</f>
        <v>#N/A</v>
      </c>
      <c r="F157" s="3" t="e">
        <f>INDEX(views[Entities count],MATCH('view-code'!E157,views[object_id order],0))</f>
        <v>#N/A</v>
      </c>
      <c r="G157" t="e">
        <f>IF(D156=Lookup!$L$10,1,IF(D156=Lookup!$L$11,G156+1,""))</f>
        <v>#N/A</v>
      </c>
      <c r="H157" t="e">
        <f>IF(F157=1,IF(D157=Lookup!$L$10,2,1),IF(G157&lt;F157-1,0,1))</f>
        <v>#N/A</v>
      </c>
      <c r="I157" t="e">
        <f>IF(D157&lt;&gt;Lookup!$L$7,0,IF(INDEX(views[name],MATCH(E157,views[object_id order],0))&lt;&gt;"",0,1))</f>
        <v>#N/A</v>
      </c>
      <c r="J157" t="e">
        <f>IF(D157&lt;&gt;Lookup!$L$7,0,IF(INDEX(views[icon],MATCH(E157,views[object_id order],0))&lt;&gt;"",0,1))</f>
        <v>#N/A</v>
      </c>
      <c r="K157" t="e">
        <f>IF($D157=Lookup!$L$6,INDEX(views[object_id],MATCH($E157,views[object_id order],0)),"")</f>
        <v>#N/A</v>
      </c>
      <c r="L157" t="e">
        <f>IF($D157=Lookup!$L$8,INDEX(views[name],MATCH($E157,views[object_id order],0)),"")</f>
        <v>#N/A</v>
      </c>
      <c r="M157" t="e">
        <f>IF($D157=Lookup!$L$9,INDEX(views[icon],MATCH($E157,views[object_id order],0)),"")</f>
        <v>#N/A</v>
      </c>
      <c r="N157" t="e">
        <f>IF(OR(D157=Lookup!$L$11,D157=Lookup!$L$12),INDEX(views[[1]:[25]],MATCH($E157,views[object_id order],0),G157),"")</f>
        <v>#N/A</v>
      </c>
      <c r="O157" t="str">
        <f t="shared" si="7"/>
        <v/>
      </c>
      <c r="P157" s="8" t="e">
        <f>INDEX(Lookup!$M$5:$M$12,MATCH(D157,Lookup!$L$5:$L$12,0))&amp;
K157&amp;L157&amp;M157&amp;N157&amp;
INDEX(Lookup!$N$5:$N$12,MATCH(D157,Lookup!$L$5:$L$12,0))</f>
        <v>#N/A</v>
      </c>
    </row>
    <row r="158" spans="2:16" x14ac:dyDescent="0.45">
      <c r="B158">
        <f t="shared" si="6"/>
        <v>156</v>
      </c>
      <c r="C158" t="e">
        <f t="shared" si="8"/>
        <v>#N/A</v>
      </c>
      <c r="D158" t="e">
        <f>VLOOKUP(C158,Lookup!$K$5:$L$12,2,FALSE)</f>
        <v>#N/A</v>
      </c>
      <c r="E158" t="e">
        <f>IF(D158=Lookup!$L$5,E157+1,E157)</f>
        <v>#N/A</v>
      </c>
      <c r="F158" s="3" t="e">
        <f>INDEX(views[Entities count],MATCH('view-code'!E158,views[object_id order],0))</f>
        <v>#N/A</v>
      </c>
      <c r="G158" t="e">
        <f>IF(D157=Lookup!$L$10,1,IF(D157=Lookup!$L$11,G157+1,""))</f>
        <v>#N/A</v>
      </c>
      <c r="H158" t="e">
        <f>IF(F158=1,IF(D158=Lookup!$L$10,2,1),IF(G158&lt;F158-1,0,1))</f>
        <v>#N/A</v>
      </c>
      <c r="I158" t="e">
        <f>IF(D158&lt;&gt;Lookup!$L$7,0,IF(INDEX(views[name],MATCH(E158,views[object_id order],0))&lt;&gt;"",0,1))</f>
        <v>#N/A</v>
      </c>
      <c r="J158" t="e">
        <f>IF(D158&lt;&gt;Lookup!$L$7,0,IF(INDEX(views[icon],MATCH(E158,views[object_id order],0))&lt;&gt;"",0,1))</f>
        <v>#N/A</v>
      </c>
      <c r="K158" t="e">
        <f>IF($D158=Lookup!$L$6,INDEX(views[object_id],MATCH($E158,views[object_id order],0)),"")</f>
        <v>#N/A</v>
      </c>
      <c r="L158" t="e">
        <f>IF($D158=Lookup!$L$8,INDEX(views[name],MATCH($E158,views[object_id order],0)),"")</f>
        <v>#N/A</v>
      </c>
      <c r="M158" t="e">
        <f>IF($D158=Lookup!$L$9,INDEX(views[icon],MATCH($E158,views[object_id order],0)),"")</f>
        <v>#N/A</v>
      </c>
      <c r="N158" t="e">
        <f>IF(OR(D158=Lookup!$L$11,D158=Lookup!$L$12),INDEX(views[[1]:[25]],MATCH($E158,views[object_id order],0),G158),"")</f>
        <v>#N/A</v>
      </c>
      <c r="O158" t="str">
        <f t="shared" si="7"/>
        <v/>
      </c>
      <c r="P158" s="8" t="e">
        <f>INDEX(Lookup!$M$5:$M$12,MATCH(D158,Lookup!$L$5:$L$12,0))&amp;
K158&amp;L158&amp;M158&amp;N158&amp;
INDEX(Lookup!$N$5:$N$12,MATCH(D158,Lookup!$L$5:$L$12,0))</f>
        <v>#N/A</v>
      </c>
    </row>
    <row r="159" spans="2:16" x14ac:dyDescent="0.45">
      <c r="B159">
        <f t="shared" si="6"/>
        <v>157</v>
      </c>
      <c r="C159" t="e">
        <f t="shared" si="8"/>
        <v>#N/A</v>
      </c>
      <c r="D159" t="e">
        <f>VLOOKUP(C159,Lookup!$K$5:$L$12,2,FALSE)</f>
        <v>#N/A</v>
      </c>
      <c r="E159" t="e">
        <f>IF(D159=Lookup!$L$5,E158+1,E158)</f>
        <v>#N/A</v>
      </c>
      <c r="F159" s="3" t="e">
        <f>INDEX(views[Entities count],MATCH('view-code'!E159,views[object_id order],0))</f>
        <v>#N/A</v>
      </c>
      <c r="G159" t="e">
        <f>IF(D158=Lookup!$L$10,1,IF(D158=Lookup!$L$11,G158+1,""))</f>
        <v>#N/A</v>
      </c>
      <c r="H159" t="e">
        <f>IF(F159=1,IF(D159=Lookup!$L$10,2,1),IF(G159&lt;F159-1,0,1))</f>
        <v>#N/A</v>
      </c>
      <c r="I159" t="e">
        <f>IF(D159&lt;&gt;Lookup!$L$7,0,IF(INDEX(views[name],MATCH(E159,views[object_id order],0))&lt;&gt;"",0,1))</f>
        <v>#N/A</v>
      </c>
      <c r="J159" t="e">
        <f>IF(D159&lt;&gt;Lookup!$L$7,0,IF(INDEX(views[icon],MATCH(E159,views[object_id order],0))&lt;&gt;"",0,1))</f>
        <v>#N/A</v>
      </c>
      <c r="K159" t="e">
        <f>IF($D159=Lookup!$L$6,INDEX(views[object_id],MATCH($E159,views[object_id order],0)),"")</f>
        <v>#N/A</v>
      </c>
      <c r="L159" t="e">
        <f>IF($D159=Lookup!$L$8,INDEX(views[name],MATCH($E159,views[object_id order],0)),"")</f>
        <v>#N/A</v>
      </c>
      <c r="M159" t="e">
        <f>IF($D159=Lookup!$L$9,INDEX(views[icon],MATCH($E159,views[object_id order],0)),"")</f>
        <v>#N/A</v>
      </c>
      <c r="N159" t="e">
        <f>IF(OR(D159=Lookup!$L$11,D159=Lookup!$L$12),INDEX(views[[1]:[25]],MATCH($E159,views[object_id order],0),G159),"")</f>
        <v>#N/A</v>
      </c>
      <c r="O159" t="str">
        <f t="shared" si="7"/>
        <v/>
      </c>
      <c r="P159" s="8" t="e">
        <f>INDEX(Lookup!$M$5:$M$12,MATCH(D159,Lookup!$L$5:$L$12,0))&amp;
K159&amp;L159&amp;M159&amp;N159&amp;
INDEX(Lookup!$N$5:$N$12,MATCH(D159,Lookup!$L$5:$L$12,0))</f>
        <v>#N/A</v>
      </c>
    </row>
    <row r="160" spans="2:16" x14ac:dyDescent="0.45">
      <c r="B160">
        <f t="shared" si="6"/>
        <v>158</v>
      </c>
      <c r="C160" t="e">
        <f t="shared" si="8"/>
        <v>#N/A</v>
      </c>
      <c r="D160" t="e">
        <f>VLOOKUP(C160,Lookup!$K$5:$L$12,2,FALSE)</f>
        <v>#N/A</v>
      </c>
      <c r="E160" t="e">
        <f>IF(D160=Lookup!$L$5,E159+1,E159)</f>
        <v>#N/A</v>
      </c>
      <c r="F160" s="3" t="e">
        <f>INDEX(views[Entities count],MATCH('view-code'!E160,views[object_id order],0))</f>
        <v>#N/A</v>
      </c>
      <c r="G160" t="e">
        <f>IF(D159=Lookup!$L$10,1,IF(D159=Lookup!$L$11,G159+1,""))</f>
        <v>#N/A</v>
      </c>
      <c r="H160" t="e">
        <f>IF(F160=1,IF(D160=Lookup!$L$10,2,1),IF(G160&lt;F160-1,0,1))</f>
        <v>#N/A</v>
      </c>
      <c r="I160" t="e">
        <f>IF(D160&lt;&gt;Lookup!$L$7,0,IF(INDEX(views[name],MATCH(E160,views[object_id order],0))&lt;&gt;"",0,1))</f>
        <v>#N/A</v>
      </c>
      <c r="J160" t="e">
        <f>IF(D160&lt;&gt;Lookup!$L$7,0,IF(INDEX(views[icon],MATCH(E160,views[object_id order],0))&lt;&gt;"",0,1))</f>
        <v>#N/A</v>
      </c>
      <c r="K160" t="e">
        <f>IF($D160=Lookup!$L$6,INDEX(views[object_id],MATCH($E160,views[object_id order],0)),"")</f>
        <v>#N/A</v>
      </c>
      <c r="L160" t="e">
        <f>IF($D160=Lookup!$L$8,INDEX(views[name],MATCH($E160,views[object_id order],0)),"")</f>
        <v>#N/A</v>
      </c>
      <c r="M160" t="e">
        <f>IF($D160=Lookup!$L$9,INDEX(views[icon],MATCH($E160,views[object_id order],0)),"")</f>
        <v>#N/A</v>
      </c>
      <c r="N160" t="e">
        <f>IF(OR(D160=Lookup!$L$11,D160=Lookup!$L$12),INDEX(views[[1]:[25]],MATCH($E160,views[object_id order],0),G160),"")</f>
        <v>#N/A</v>
      </c>
      <c r="O160" t="str">
        <f t="shared" si="7"/>
        <v/>
      </c>
      <c r="P160" s="8" t="e">
        <f>INDEX(Lookup!$M$5:$M$12,MATCH(D160,Lookup!$L$5:$L$12,0))&amp;
K160&amp;L160&amp;M160&amp;N160&amp;
INDEX(Lookup!$N$5:$N$12,MATCH(D160,Lookup!$L$5:$L$12,0))</f>
        <v>#N/A</v>
      </c>
    </row>
    <row r="161" spans="2:16" x14ac:dyDescent="0.45">
      <c r="B161">
        <f t="shared" si="6"/>
        <v>159</v>
      </c>
      <c r="C161" t="e">
        <f t="shared" si="8"/>
        <v>#N/A</v>
      </c>
      <c r="D161" t="e">
        <f>VLOOKUP(C161,Lookup!$K$5:$L$12,2,FALSE)</f>
        <v>#N/A</v>
      </c>
      <c r="E161" t="e">
        <f>IF(D161=Lookup!$L$5,E160+1,E160)</f>
        <v>#N/A</v>
      </c>
      <c r="F161" s="3" t="e">
        <f>INDEX(views[Entities count],MATCH('view-code'!E161,views[object_id order],0))</f>
        <v>#N/A</v>
      </c>
      <c r="G161" t="e">
        <f>IF(D160=Lookup!$L$10,1,IF(D160=Lookup!$L$11,G160+1,""))</f>
        <v>#N/A</v>
      </c>
      <c r="H161" t="e">
        <f>IF(F161=1,IF(D161=Lookup!$L$10,2,1),IF(G161&lt;F161-1,0,1))</f>
        <v>#N/A</v>
      </c>
      <c r="I161" t="e">
        <f>IF(D161&lt;&gt;Lookup!$L$7,0,IF(INDEX(views[name],MATCH(E161,views[object_id order],0))&lt;&gt;"",0,1))</f>
        <v>#N/A</v>
      </c>
      <c r="J161" t="e">
        <f>IF(D161&lt;&gt;Lookup!$L$7,0,IF(INDEX(views[icon],MATCH(E161,views[object_id order],0))&lt;&gt;"",0,1))</f>
        <v>#N/A</v>
      </c>
      <c r="K161" t="e">
        <f>IF($D161=Lookup!$L$6,INDEX(views[object_id],MATCH($E161,views[object_id order],0)),"")</f>
        <v>#N/A</v>
      </c>
      <c r="L161" t="e">
        <f>IF($D161=Lookup!$L$8,INDEX(views[name],MATCH($E161,views[object_id order],0)),"")</f>
        <v>#N/A</v>
      </c>
      <c r="M161" t="e">
        <f>IF($D161=Lookup!$L$9,INDEX(views[icon],MATCH($E161,views[object_id order],0)),"")</f>
        <v>#N/A</v>
      </c>
      <c r="N161" t="e">
        <f>IF(OR(D161=Lookup!$L$11,D161=Lookup!$L$12),INDEX(views[[1]:[25]],MATCH($E161,views[object_id order],0),G161),"")</f>
        <v>#N/A</v>
      </c>
      <c r="O161" t="str">
        <f t="shared" si="7"/>
        <v/>
      </c>
      <c r="P161" s="8" t="e">
        <f>INDEX(Lookup!$M$5:$M$12,MATCH(D161,Lookup!$L$5:$L$12,0))&amp;
K161&amp;L161&amp;M161&amp;N161&amp;
INDEX(Lookup!$N$5:$N$12,MATCH(D161,Lookup!$L$5:$L$12,0))</f>
        <v>#N/A</v>
      </c>
    </row>
    <row r="162" spans="2:16" x14ac:dyDescent="0.45">
      <c r="B162">
        <f t="shared" si="6"/>
        <v>160</v>
      </c>
      <c r="C162" t="e">
        <f t="shared" si="8"/>
        <v>#N/A</v>
      </c>
      <c r="D162" t="e">
        <f>VLOOKUP(C162,Lookup!$K$5:$L$12,2,FALSE)</f>
        <v>#N/A</v>
      </c>
      <c r="E162" t="e">
        <f>IF(D162=Lookup!$L$5,E161+1,E161)</f>
        <v>#N/A</v>
      </c>
      <c r="F162" s="3" t="e">
        <f>INDEX(views[Entities count],MATCH('view-code'!E162,views[object_id order],0))</f>
        <v>#N/A</v>
      </c>
      <c r="G162" t="e">
        <f>IF(D161=Lookup!$L$10,1,IF(D161=Lookup!$L$11,G161+1,""))</f>
        <v>#N/A</v>
      </c>
      <c r="H162" t="e">
        <f>IF(F162=1,IF(D162=Lookup!$L$10,2,1),IF(G162&lt;F162-1,0,1))</f>
        <v>#N/A</v>
      </c>
      <c r="I162" t="e">
        <f>IF(D162&lt;&gt;Lookup!$L$7,0,IF(INDEX(views[name],MATCH(E162,views[object_id order],0))&lt;&gt;"",0,1))</f>
        <v>#N/A</v>
      </c>
      <c r="J162" t="e">
        <f>IF(D162&lt;&gt;Lookup!$L$7,0,IF(INDEX(views[icon],MATCH(E162,views[object_id order],0))&lt;&gt;"",0,1))</f>
        <v>#N/A</v>
      </c>
      <c r="K162" t="e">
        <f>IF($D162=Lookup!$L$6,INDEX(views[object_id],MATCH($E162,views[object_id order],0)),"")</f>
        <v>#N/A</v>
      </c>
      <c r="L162" t="e">
        <f>IF($D162=Lookup!$L$8,INDEX(views[name],MATCH($E162,views[object_id order],0)),"")</f>
        <v>#N/A</v>
      </c>
      <c r="M162" t="e">
        <f>IF($D162=Lookup!$L$9,INDEX(views[icon],MATCH($E162,views[object_id order],0)),"")</f>
        <v>#N/A</v>
      </c>
      <c r="N162" t="e">
        <f>IF(OR(D162=Lookup!$L$11,D162=Lookup!$L$12),INDEX(views[[1]:[25]],MATCH($E162,views[object_id order],0),G162),"")</f>
        <v>#N/A</v>
      </c>
      <c r="O162" t="str">
        <f t="shared" si="7"/>
        <v/>
      </c>
      <c r="P162" s="8" t="e">
        <f>INDEX(Lookup!$M$5:$M$12,MATCH(D162,Lookup!$L$5:$L$12,0))&amp;
K162&amp;L162&amp;M162&amp;N162&amp;
INDEX(Lookup!$N$5:$N$12,MATCH(D162,Lookup!$L$5:$L$12,0))</f>
        <v>#N/A</v>
      </c>
    </row>
    <row r="163" spans="2:16" x14ac:dyDescent="0.45">
      <c r="B163">
        <f t="shared" si="6"/>
        <v>161</v>
      </c>
      <c r="C163" t="e">
        <f t="shared" si="8"/>
        <v>#N/A</v>
      </c>
      <c r="D163" t="e">
        <f>VLOOKUP(C163,Lookup!$K$5:$L$12,2,FALSE)</f>
        <v>#N/A</v>
      </c>
      <c r="E163" t="e">
        <f>IF(D163=Lookup!$L$5,E162+1,E162)</f>
        <v>#N/A</v>
      </c>
      <c r="F163" s="3" t="e">
        <f>INDEX(views[Entities count],MATCH('view-code'!E163,views[object_id order],0))</f>
        <v>#N/A</v>
      </c>
      <c r="G163" t="e">
        <f>IF(D162=Lookup!$L$10,1,IF(D162=Lookup!$L$11,G162+1,""))</f>
        <v>#N/A</v>
      </c>
      <c r="H163" t="e">
        <f>IF(F163=1,IF(D163=Lookup!$L$10,2,1),IF(G163&lt;F163-1,0,1))</f>
        <v>#N/A</v>
      </c>
      <c r="I163" t="e">
        <f>IF(D163&lt;&gt;Lookup!$L$7,0,IF(INDEX(views[name],MATCH(E163,views[object_id order],0))&lt;&gt;"",0,1))</f>
        <v>#N/A</v>
      </c>
      <c r="J163" t="e">
        <f>IF(D163&lt;&gt;Lookup!$L$7,0,IF(INDEX(views[icon],MATCH(E163,views[object_id order],0))&lt;&gt;"",0,1))</f>
        <v>#N/A</v>
      </c>
      <c r="K163" t="e">
        <f>IF($D163=Lookup!$L$6,INDEX(views[object_id],MATCH($E163,views[object_id order],0)),"")</f>
        <v>#N/A</v>
      </c>
      <c r="L163" t="e">
        <f>IF($D163=Lookup!$L$8,INDEX(views[name],MATCH($E163,views[object_id order],0)),"")</f>
        <v>#N/A</v>
      </c>
      <c r="M163" t="e">
        <f>IF($D163=Lookup!$L$9,INDEX(views[icon],MATCH($E163,views[object_id order],0)),"")</f>
        <v>#N/A</v>
      </c>
      <c r="N163" t="e">
        <f>IF(OR(D163=Lookup!$L$11,D163=Lookup!$L$12),INDEX(views[[1]:[25]],MATCH($E163,views[object_id order],0),G163),"")</f>
        <v>#N/A</v>
      </c>
      <c r="O163" t="str">
        <f t="shared" si="7"/>
        <v/>
      </c>
      <c r="P163" s="8" t="e">
        <f>INDEX(Lookup!$M$5:$M$12,MATCH(D163,Lookup!$L$5:$L$12,0))&amp;
K163&amp;L163&amp;M163&amp;N163&amp;
INDEX(Lookup!$N$5:$N$12,MATCH(D163,Lookup!$L$5:$L$12,0))</f>
        <v>#N/A</v>
      </c>
    </row>
    <row r="164" spans="2:16" x14ac:dyDescent="0.45">
      <c r="B164">
        <f t="shared" si="6"/>
        <v>162</v>
      </c>
      <c r="C164" t="e">
        <f t="shared" si="8"/>
        <v>#N/A</v>
      </c>
      <c r="D164" t="e">
        <f>VLOOKUP(C164,Lookup!$K$5:$L$12,2,FALSE)</f>
        <v>#N/A</v>
      </c>
      <c r="E164" t="e">
        <f>IF(D164=Lookup!$L$5,E163+1,E163)</f>
        <v>#N/A</v>
      </c>
      <c r="F164" s="3" t="e">
        <f>INDEX(views[Entities count],MATCH('view-code'!E164,views[object_id order],0))</f>
        <v>#N/A</v>
      </c>
      <c r="G164" t="e">
        <f>IF(D163=Lookup!$L$10,1,IF(D163=Lookup!$L$11,G163+1,""))</f>
        <v>#N/A</v>
      </c>
      <c r="H164" t="e">
        <f>IF(F164=1,IF(D164=Lookup!$L$10,2,1),IF(G164&lt;F164-1,0,1))</f>
        <v>#N/A</v>
      </c>
      <c r="I164" t="e">
        <f>IF(D164&lt;&gt;Lookup!$L$7,0,IF(INDEX(views[name],MATCH(E164,views[object_id order],0))&lt;&gt;"",0,1))</f>
        <v>#N/A</v>
      </c>
      <c r="J164" t="e">
        <f>IF(D164&lt;&gt;Lookup!$L$7,0,IF(INDEX(views[icon],MATCH(E164,views[object_id order],0))&lt;&gt;"",0,1))</f>
        <v>#N/A</v>
      </c>
      <c r="K164" t="e">
        <f>IF($D164=Lookup!$L$6,INDEX(views[object_id],MATCH($E164,views[object_id order],0)),"")</f>
        <v>#N/A</v>
      </c>
      <c r="L164" t="e">
        <f>IF($D164=Lookup!$L$8,INDEX(views[name],MATCH($E164,views[object_id order],0)),"")</f>
        <v>#N/A</v>
      </c>
      <c r="M164" t="e">
        <f>IF($D164=Lookup!$L$9,INDEX(views[icon],MATCH($E164,views[object_id order],0)),"")</f>
        <v>#N/A</v>
      </c>
      <c r="N164" t="e">
        <f>IF(OR(D164=Lookup!$L$11,D164=Lookup!$L$12),INDEX(views[[1]:[25]],MATCH($E164,views[object_id order],0),G164),"")</f>
        <v>#N/A</v>
      </c>
      <c r="O164" t="str">
        <f t="shared" si="7"/>
        <v/>
      </c>
      <c r="P164" s="8" t="e">
        <f>INDEX(Lookup!$M$5:$M$12,MATCH(D164,Lookup!$L$5:$L$12,0))&amp;
K164&amp;L164&amp;M164&amp;N164&amp;
INDEX(Lookup!$N$5:$N$12,MATCH(D164,Lookup!$L$5:$L$12,0))</f>
        <v>#N/A</v>
      </c>
    </row>
    <row r="165" spans="2:16" x14ac:dyDescent="0.45">
      <c r="B165">
        <f t="shared" si="6"/>
        <v>163</v>
      </c>
      <c r="C165" t="e">
        <f t="shared" si="8"/>
        <v>#N/A</v>
      </c>
      <c r="D165" t="e">
        <f>VLOOKUP(C165,Lookup!$K$5:$L$12,2,FALSE)</f>
        <v>#N/A</v>
      </c>
      <c r="E165" t="e">
        <f>IF(D165=Lookup!$L$5,E164+1,E164)</f>
        <v>#N/A</v>
      </c>
      <c r="F165" s="3" t="e">
        <f>INDEX(views[Entities count],MATCH('view-code'!E165,views[object_id order],0))</f>
        <v>#N/A</v>
      </c>
      <c r="G165" t="e">
        <f>IF(D164=Lookup!$L$10,1,IF(D164=Lookup!$L$11,G164+1,""))</f>
        <v>#N/A</v>
      </c>
      <c r="H165" t="e">
        <f>IF(F165=1,IF(D165=Lookup!$L$10,2,1),IF(G165&lt;F165-1,0,1))</f>
        <v>#N/A</v>
      </c>
      <c r="I165" t="e">
        <f>IF(D165&lt;&gt;Lookup!$L$7,0,IF(INDEX(views[name],MATCH(E165,views[object_id order],0))&lt;&gt;"",0,1))</f>
        <v>#N/A</v>
      </c>
      <c r="J165" t="e">
        <f>IF(D165&lt;&gt;Lookup!$L$7,0,IF(INDEX(views[icon],MATCH(E165,views[object_id order],0))&lt;&gt;"",0,1))</f>
        <v>#N/A</v>
      </c>
      <c r="K165" t="e">
        <f>IF($D165=Lookup!$L$6,INDEX(views[object_id],MATCH($E165,views[object_id order],0)),"")</f>
        <v>#N/A</v>
      </c>
      <c r="L165" t="e">
        <f>IF($D165=Lookup!$L$8,INDEX(views[name],MATCH($E165,views[object_id order],0)),"")</f>
        <v>#N/A</v>
      </c>
      <c r="M165" t="e">
        <f>IF($D165=Lookup!$L$9,INDEX(views[icon],MATCH($E165,views[object_id order],0)),"")</f>
        <v>#N/A</v>
      </c>
      <c r="N165" t="e">
        <f>IF(OR(D165=Lookup!$L$11,D165=Lookup!$L$12),INDEX(views[[1]:[25]],MATCH($E165,views[object_id order],0),G165),"")</f>
        <v>#N/A</v>
      </c>
      <c r="O165" t="str">
        <f t="shared" si="7"/>
        <v/>
      </c>
      <c r="P165" s="8" t="e">
        <f>INDEX(Lookup!$M$5:$M$12,MATCH(D165,Lookup!$L$5:$L$12,0))&amp;
K165&amp;L165&amp;M165&amp;N165&amp;
INDEX(Lookup!$N$5:$N$12,MATCH(D165,Lookup!$L$5:$L$12,0))</f>
        <v>#N/A</v>
      </c>
    </row>
    <row r="166" spans="2:16" x14ac:dyDescent="0.45">
      <c r="B166">
        <f t="shared" si="6"/>
        <v>164</v>
      </c>
      <c r="C166" t="e">
        <f t="shared" si="8"/>
        <v>#N/A</v>
      </c>
      <c r="D166" t="e">
        <f>VLOOKUP(C166,Lookup!$K$5:$L$12,2,FALSE)</f>
        <v>#N/A</v>
      </c>
      <c r="E166" t="e">
        <f>IF(D166=Lookup!$L$5,E165+1,E165)</f>
        <v>#N/A</v>
      </c>
      <c r="F166" s="3" t="e">
        <f>INDEX(views[Entities count],MATCH('view-code'!E166,views[object_id order],0))</f>
        <v>#N/A</v>
      </c>
      <c r="G166" t="e">
        <f>IF(D165=Lookup!$L$10,1,IF(D165=Lookup!$L$11,G165+1,""))</f>
        <v>#N/A</v>
      </c>
      <c r="H166" t="e">
        <f>IF(F166=1,IF(D166=Lookup!$L$10,2,1),IF(G166&lt;F166-1,0,1))</f>
        <v>#N/A</v>
      </c>
      <c r="I166" t="e">
        <f>IF(D166&lt;&gt;Lookup!$L$7,0,IF(INDEX(views[name],MATCH(E166,views[object_id order],0))&lt;&gt;"",0,1))</f>
        <v>#N/A</v>
      </c>
      <c r="J166" t="e">
        <f>IF(D166&lt;&gt;Lookup!$L$7,0,IF(INDEX(views[icon],MATCH(E166,views[object_id order],0))&lt;&gt;"",0,1))</f>
        <v>#N/A</v>
      </c>
      <c r="K166" t="e">
        <f>IF($D166=Lookup!$L$6,INDEX(views[object_id],MATCH($E166,views[object_id order],0)),"")</f>
        <v>#N/A</v>
      </c>
      <c r="L166" t="e">
        <f>IF($D166=Lookup!$L$8,INDEX(views[name],MATCH($E166,views[object_id order],0)),"")</f>
        <v>#N/A</v>
      </c>
      <c r="M166" t="e">
        <f>IF($D166=Lookup!$L$9,INDEX(views[icon],MATCH($E166,views[object_id order],0)),"")</f>
        <v>#N/A</v>
      </c>
      <c r="N166" t="e">
        <f>IF(OR(D166=Lookup!$L$11,D166=Lookup!$L$12),INDEX(views[[1]:[25]],MATCH($E166,views[object_id order],0),G166),"")</f>
        <v>#N/A</v>
      </c>
      <c r="O166" t="str">
        <f t="shared" si="7"/>
        <v/>
      </c>
      <c r="P166" s="8" t="e">
        <f>INDEX(Lookup!$M$5:$M$12,MATCH(D166,Lookup!$L$5:$L$12,0))&amp;
K166&amp;L166&amp;M166&amp;N166&amp;
INDEX(Lookup!$N$5:$N$12,MATCH(D166,Lookup!$L$5:$L$12,0))</f>
        <v>#N/A</v>
      </c>
    </row>
    <row r="167" spans="2:16" x14ac:dyDescent="0.45">
      <c r="B167">
        <f t="shared" si="6"/>
        <v>165</v>
      </c>
      <c r="C167" t="e">
        <f t="shared" si="8"/>
        <v>#N/A</v>
      </c>
      <c r="D167" t="e">
        <f>VLOOKUP(C167,Lookup!$K$5:$L$12,2,FALSE)</f>
        <v>#N/A</v>
      </c>
      <c r="E167" t="e">
        <f>IF(D167=Lookup!$L$5,E166+1,E166)</f>
        <v>#N/A</v>
      </c>
      <c r="F167" s="3" t="e">
        <f>INDEX(views[Entities count],MATCH('view-code'!E167,views[object_id order],0))</f>
        <v>#N/A</v>
      </c>
      <c r="G167" t="e">
        <f>IF(D166=Lookup!$L$10,1,IF(D166=Lookup!$L$11,G166+1,""))</f>
        <v>#N/A</v>
      </c>
      <c r="H167" t="e">
        <f>IF(F167=1,IF(D167=Lookup!$L$10,2,1),IF(G167&lt;F167-1,0,1))</f>
        <v>#N/A</v>
      </c>
      <c r="I167" t="e">
        <f>IF(D167&lt;&gt;Lookup!$L$7,0,IF(INDEX(views[name],MATCH(E167,views[object_id order],0))&lt;&gt;"",0,1))</f>
        <v>#N/A</v>
      </c>
      <c r="J167" t="e">
        <f>IF(D167&lt;&gt;Lookup!$L$7,0,IF(INDEX(views[icon],MATCH(E167,views[object_id order],0))&lt;&gt;"",0,1))</f>
        <v>#N/A</v>
      </c>
      <c r="K167" t="e">
        <f>IF($D167=Lookup!$L$6,INDEX(views[object_id],MATCH($E167,views[object_id order],0)),"")</f>
        <v>#N/A</v>
      </c>
      <c r="L167" t="e">
        <f>IF($D167=Lookup!$L$8,INDEX(views[name],MATCH($E167,views[object_id order],0)),"")</f>
        <v>#N/A</v>
      </c>
      <c r="M167" t="e">
        <f>IF($D167=Lookup!$L$9,INDEX(views[icon],MATCH($E167,views[object_id order],0)),"")</f>
        <v>#N/A</v>
      </c>
      <c r="N167" t="e">
        <f>IF(OR(D167=Lookup!$L$11,D167=Lookup!$L$12),INDEX(views[[1]:[25]],MATCH($E167,views[object_id order],0),G167),"")</f>
        <v>#N/A</v>
      </c>
      <c r="O167" t="str">
        <f t="shared" si="7"/>
        <v/>
      </c>
      <c r="P167" s="8" t="e">
        <f>INDEX(Lookup!$M$5:$M$12,MATCH(D167,Lookup!$L$5:$L$12,0))&amp;
K167&amp;L167&amp;M167&amp;N167&amp;
INDEX(Lookup!$N$5:$N$12,MATCH(D167,Lookup!$L$5:$L$12,0))</f>
        <v>#N/A</v>
      </c>
    </row>
    <row r="168" spans="2:16" x14ac:dyDescent="0.45">
      <c r="B168">
        <f t="shared" si="6"/>
        <v>166</v>
      </c>
      <c r="C168" t="e">
        <f t="shared" si="8"/>
        <v>#N/A</v>
      </c>
      <c r="D168" t="e">
        <f>VLOOKUP(C168,Lookup!$K$5:$L$12,2,FALSE)</f>
        <v>#N/A</v>
      </c>
      <c r="E168" t="e">
        <f>IF(D168=Lookup!$L$5,E167+1,E167)</f>
        <v>#N/A</v>
      </c>
      <c r="F168" s="3" t="e">
        <f>INDEX(views[Entities count],MATCH('view-code'!E168,views[object_id order],0))</f>
        <v>#N/A</v>
      </c>
      <c r="G168" t="e">
        <f>IF(D167=Lookup!$L$10,1,IF(D167=Lookup!$L$11,G167+1,""))</f>
        <v>#N/A</v>
      </c>
      <c r="H168" t="e">
        <f>IF(F168=1,IF(D168=Lookup!$L$10,2,1),IF(G168&lt;F168-1,0,1))</f>
        <v>#N/A</v>
      </c>
      <c r="I168" t="e">
        <f>IF(D168&lt;&gt;Lookup!$L$7,0,IF(INDEX(views[name],MATCH(E168,views[object_id order],0))&lt;&gt;"",0,1))</f>
        <v>#N/A</v>
      </c>
      <c r="J168" t="e">
        <f>IF(D168&lt;&gt;Lookup!$L$7,0,IF(INDEX(views[icon],MATCH(E168,views[object_id order],0))&lt;&gt;"",0,1))</f>
        <v>#N/A</v>
      </c>
      <c r="K168" t="e">
        <f>IF($D168=Lookup!$L$6,INDEX(views[object_id],MATCH($E168,views[object_id order],0)),"")</f>
        <v>#N/A</v>
      </c>
      <c r="L168" t="e">
        <f>IF($D168=Lookup!$L$8,INDEX(views[name],MATCH($E168,views[object_id order],0)),"")</f>
        <v>#N/A</v>
      </c>
      <c r="M168" t="e">
        <f>IF($D168=Lookup!$L$9,INDEX(views[icon],MATCH($E168,views[object_id order],0)),"")</f>
        <v>#N/A</v>
      </c>
      <c r="N168" t="e">
        <f>IF(OR(D168=Lookup!$L$11,D168=Lookup!$L$12),INDEX(views[[1]:[25]],MATCH($E168,views[object_id order],0),G168),"")</f>
        <v>#N/A</v>
      </c>
      <c r="O168" t="str">
        <f t="shared" si="7"/>
        <v/>
      </c>
      <c r="P168" s="8" t="e">
        <f>INDEX(Lookup!$M$5:$M$12,MATCH(D168,Lookup!$L$5:$L$12,0))&amp;
K168&amp;L168&amp;M168&amp;N168&amp;
INDEX(Lookup!$N$5:$N$12,MATCH(D168,Lookup!$L$5:$L$12,0))</f>
        <v>#N/A</v>
      </c>
    </row>
    <row r="169" spans="2:16" x14ac:dyDescent="0.45">
      <c r="B169">
        <f t="shared" si="6"/>
        <v>167</v>
      </c>
      <c r="C169" t="e">
        <f t="shared" si="8"/>
        <v>#N/A</v>
      </c>
      <c r="D169" t="e">
        <f>VLOOKUP(C169,Lookup!$K$5:$L$12,2,FALSE)</f>
        <v>#N/A</v>
      </c>
      <c r="E169" t="e">
        <f>IF(D169=Lookup!$L$5,E168+1,E168)</f>
        <v>#N/A</v>
      </c>
      <c r="F169" s="3" t="e">
        <f>INDEX(views[Entities count],MATCH('view-code'!E169,views[object_id order],0))</f>
        <v>#N/A</v>
      </c>
      <c r="G169" t="e">
        <f>IF(D168=Lookup!$L$10,1,IF(D168=Lookup!$L$11,G168+1,""))</f>
        <v>#N/A</v>
      </c>
      <c r="H169" t="e">
        <f>IF(F169=1,IF(D169=Lookup!$L$10,2,1),IF(G169&lt;F169-1,0,1))</f>
        <v>#N/A</v>
      </c>
      <c r="I169" t="e">
        <f>IF(D169&lt;&gt;Lookup!$L$7,0,IF(INDEX(views[name],MATCH(E169,views[object_id order],0))&lt;&gt;"",0,1))</f>
        <v>#N/A</v>
      </c>
      <c r="J169" t="e">
        <f>IF(D169&lt;&gt;Lookup!$L$7,0,IF(INDEX(views[icon],MATCH(E169,views[object_id order],0))&lt;&gt;"",0,1))</f>
        <v>#N/A</v>
      </c>
      <c r="K169" t="e">
        <f>IF($D169=Lookup!$L$6,INDEX(views[object_id],MATCH($E169,views[object_id order],0)),"")</f>
        <v>#N/A</v>
      </c>
      <c r="L169" t="e">
        <f>IF($D169=Lookup!$L$8,INDEX(views[name],MATCH($E169,views[object_id order],0)),"")</f>
        <v>#N/A</v>
      </c>
      <c r="M169" t="e">
        <f>IF($D169=Lookup!$L$9,INDEX(views[icon],MATCH($E169,views[object_id order],0)),"")</f>
        <v>#N/A</v>
      </c>
      <c r="N169" t="e">
        <f>IF(OR(D169=Lookup!$L$11,D169=Lookup!$L$12),INDEX(views[[1]:[25]],MATCH($E169,views[object_id order],0),G169),"")</f>
        <v>#N/A</v>
      </c>
      <c r="O169" t="str">
        <f t="shared" si="7"/>
        <v/>
      </c>
      <c r="P169" s="8" t="e">
        <f>INDEX(Lookup!$M$5:$M$12,MATCH(D169,Lookup!$L$5:$L$12,0))&amp;
K169&amp;L169&amp;M169&amp;N169&amp;
INDEX(Lookup!$N$5:$N$12,MATCH(D169,Lookup!$L$5:$L$12,0))</f>
        <v>#N/A</v>
      </c>
    </row>
    <row r="170" spans="2:16" x14ac:dyDescent="0.45">
      <c r="B170">
        <f t="shared" si="6"/>
        <v>168</v>
      </c>
      <c r="C170" t="e">
        <f t="shared" si="8"/>
        <v>#N/A</v>
      </c>
      <c r="D170" t="e">
        <f>VLOOKUP(C170,Lookup!$K$5:$L$12,2,FALSE)</f>
        <v>#N/A</v>
      </c>
      <c r="E170" t="e">
        <f>IF(D170=Lookup!$L$5,E169+1,E169)</f>
        <v>#N/A</v>
      </c>
      <c r="F170" s="3" t="e">
        <f>INDEX(views[Entities count],MATCH('view-code'!E170,views[object_id order],0))</f>
        <v>#N/A</v>
      </c>
      <c r="G170" t="e">
        <f>IF(D169=Lookup!$L$10,1,IF(D169=Lookup!$L$11,G169+1,""))</f>
        <v>#N/A</v>
      </c>
      <c r="H170" t="e">
        <f>IF(F170=1,IF(D170=Lookup!$L$10,2,1),IF(G170&lt;F170-1,0,1))</f>
        <v>#N/A</v>
      </c>
      <c r="I170" t="e">
        <f>IF(D170&lt;&gt;Lookup!$L$7,0,IF(INDEX(views[name],MATCH(E170,views[object_id order],0))&lt;&gt;"",0,1))</f>
        <v>#N/A</v>
      </c>
      <c r="J170" t="e">
        <f>IF(D170&lt;&gt;Lookup!$L$7,0,IF(INDEX(views[icon],MATCH(E170,views[object_id order],0))&lt;&gt;"",0,1))</f>
        <v>#N/A</v>
      </c>
      <c r="K170" t="e">
        <f>IF($D170=Lookup!$L$6,INDEX(views[object_id],MATCH($E170,views[object_id order],0)),"")</f>
        <v>#N/A</v>
      </c>
      <c r="L170" t="e">
        <f>IF($D170=Lookup!$L$8,INDEX(views[name],MATCH($E170,views[object_id order],0)),"")</f>
        <v>#N/A</v>
      </c>
      <c r="M170" t="e">
        <f>IF($D170=Lookup!$L$9,INDEX(views[icon],MATCH($E170,views[object_id order],0)),"")</f>
        <v>#N/A</v>
      </c>
      <c r="N170" t="e">
        <f>IF(OR(D170=Lookup!$L$11,D170=Lookup!$L$12),INDEX(views[[1]:[25]],MATCH($E170,views[object_id order],0),G170),"")</f>
        <v>#N/A</v>
      </c>
      <c r="O170" t="str">
        <f t="shared" si="7"/>
        <v/>
      </c>
      <c r="P170" s="8" t="e">
        <f>INDEX(Lookup!$M$5:$M$12,MATCH(D170,Lookup!$L$5:$L$12,0))&amp;
K170&amp;L170&amp;M170&amp;N170&amp;
INDEX(Lookup!$N$5:$N$12,MATCH(D170,Lookup!$L$5:$L$12,0))</f>
        <v>#N/A</v>
      </c>
    </row>
    <row r="171" spans="2:16" x14ac:dyDescent="0.45">
      <c r="B171">
        <f t="shared" si="6"/>
        <v>169</v>
      </c>
      <c r="C171" t="e">
        <f t="shared" si="8"/>
        <v>#N/A</v>
      </c>
      <c r="D171" t="e">
        <f>VLOOKUP(C171,Lookup!$K$5:$L$12,2,FALSE)</f>
        <v>#N/A</v>
      </c>
      <c r="E171" t="e">
        <f>IF(D171=Lookup!$L$5,E170+1,E170)</f>
        <v>#N/A</v>
      </c>
      <c r="F171" s="3" t="e">
        <f>INDEX(views[Entities count],MATCH('view-code'!E171,views[object_id order],0))</f>
        <v>#N/A</v>
      </c>
      <c r="G171" t="e">
        <f>IF(D170=Lookup!$L$10,1,IF(D170=Lookup!$L$11,G170+1,""))</f>
        <v>#N/A</v>
      </c>
      <c r="H171" t="e">
        <f>IF(F171=1,IF(D171=Lookup!$L$10,2,1),IF(G171&lt;F171-1,0,1))</f>
        <v>#N/A</v>
      </c>
      <c r="I171" t="e">
        <f>IF(D171&lt;&gt;Lookup!$L$7,0,IF(INDEX(views[name],MATCH(E171,views[object_id order],0))&lt;&gt;"",0,1))</f>
        <v>#N/A</v>
      </c>
      <c r="J171" t="e">
        <f>IF(D171&lt;&gt;Lookup!$L$7,0,IF(INDEX(views[icon],MATCH(E171,views[object_id order],0))&lt;&gt;"",0,1))</f>
        <v>#N/A</v>
      </c>
      <c r="K171" t="e">
        <f>IF($D171=Lookup!$L$6,INDEX(views[object_id],MATCH($E171,views[object_id order],0)),"")</f>
        <v>#N/A</v>
      </c>
      <c r="L171" t="e">
        <f>IF($D171=Lookup!$L$8,INDEX(views[name],MATCH($E171,views[object_id order],0)),"")</f>
        <v>#N/A</v>
      </c>
      <c r="M171" t="e">
        <f>IF($D171=Lookup!$L$9,INDEX(views[icon],MATCH($E171,views[object_id order],0)),"")</f>
        <v>#N/A</v>
      </c>
      <c r="N171" t="e">
        <f>IF(OR(D171=Lookup!$L$11,D171=Lookup!$L$12),INDEX(views[[1]:[25]],MATCH($E171,views[object_id order],0),G171),"")</f>
        <v>#N/A</v>
      </c>
      <c r="O171" t="str">
        <f t="shared" si="7"/>
        <v/>
      </c>
      <c r="P171" s="8" t="e">
        <f>INDEX(Lookup!$M$5:$M$12,MATCH(D171,Lookup!$L$5:$L$12,0))&amp;
K171&amp;L171&amp;M171&amp;N171&amp;
INDEX(Lookup!$N$5:$N$12,MATCH(D171,Lookup!$L$5:$L$12,0))</f>
        <v>#N/A</v>
      </c>
    </row>
    <row r="172" spans="2:16" x14ac:dyDescent="0.45">
      <c r="B172">
        <f t="shared" si="6"/>
        <v>170</v>
      </c>
      <c r="C172" t="e">
        <f t="shared" si="8"/>
        <v>#N/A</v>
      </c>
      <c r="D172" t="e">
        <f>VLOOKUP(C172,Lookup!$K$5:$L$12,2,FALSE)</f>
        <v>#N/A</v>
      </c>
      <c r="E172" t="e">
        <f>IF(D172=Lookup!$L$5,E171+1,E171)</f>
        <v>#N/A</v>
      </c>
      <c r="F172" s="3" t="e">
        <f>INDEX(views[Entities count],MATCH('view-code'!E172,views[object_id order],0))</f>
        <v>#N/A</v>
      </c>
      <c r="G172" t="e">
        <f>IF(D171=Lookup!$L$10,1,IF(D171=Lookup!$L$11,G171+1,""))</f>
        <v>#N/A</v>
      </c>
      <c r="H172" t="e">
        <f>IF(F172=1,IF(D172=Lookup!$L$10,2,1),IF(G172&lt;F172-1,0,1))</f>
        <v>#N/A</v>
      </c>
      <c r="I172" t="e">
        <f>IF(D172&lt;&gt;Lookup!$L$7,0,IF(INDEX(views[name],MATCH(E172,views[object_id order],0))&lt;&gt;"",0,1))</f>
        <v>#N/A</v>
      </c>
      <c r="J172" t="e">
        <f>IF(D172&lt;&gt;Lookup!$L$7,0,IF(INDEX(views[icon],MATCH(E172,views[object_id order],0))&lt;&gt;"",0,1))</f>
        <v>#N/A</v>
      </c>
      <c r="K172" t="e">
        <f>IF($D172=Lookup!$L$6,INDEX(views[object_id],MATCH($E172,views[object_id order],0)),"")</f>
        <v>#N/A</v>
      </c>
      <c r="L172" t="e">
        <f>IF($D172=Lookup!$L$8,INDEX(views[name],MATCH($E172,views[object_id order],0)),"")</f>
        <v>#N/A</v>
      </c>
      <c r="M172" t="e">
        <f>IF($D172=Lookup!$L$9,INDEX(views[icon],MATCH($E172,views[object_id order],0)),"")</f>
        <v>#N/A</v>
      </c>
      <c r="N172" t="e">
        <f>IF(OR(D172=Lookup!$L$11,D172=Lookup!$L$12),INDEX(views[[1]:[25]],MATCH($E172,views[object_id order],0),G172),"")</f>
        <v>#N/A</v>
      </c>
      <c r="O172" t="str">
        <f t="shared" si="7"/>
        <v/>
      </c>
      <c r="P172" s="8" t="e">
        <f>INDEX(Lookup!$M$5:$M$12,MATCH(D172,Lookup!$L$5:$L$12,0))&amp;
K172&amp;L172&amp;M172&amp;N172&amp;
INDEX(Lookup!$N$5:$N$12,MATCH(D172,Lookup!$L$5:$L$12,0))</f>
        <v>#N/A</v>
      </c>
    </row>
    <row r="173" spans="2:16" x14ac:dyDescent="0.45">
      <c r="B173">
        <f t="shared" si="6"/>
        <v>171</v>
      </c>
      <c r="C173" t="e">
        <f t="shared" si="8"/>
        <v>#N/A</v>
      </c>
      <c r="D173" t="e">
        <f>VLOOKUP(C173,Lookup!$K$5:$L$12,2,FALSE)</f>
        <v>#N/A</v>
      </c>
      <c r="E173" t="e">
        <f>IF(D173=Lookup!$L$5,E172+1,E172)</f>
        <v>#N/A</v>
      </c>
      <c r="F173" s="3" t="e">
        <f>INDEX(views[Entities count],MATCH('view-code'!E173,views[object_id order],0))</f>
        <v>#N/A</v>
      </c>
      <c r="G173" t="e">
        <f>IF(D172=Lookup!$L$10,1,IF(D172=Lookup!$L$11,G172+1,""))</f>
        <v>#N/A</v>
      </c>
      <c r="H173" t="e">
        <f>IF(F173=1,IF(D173=Lookup!$L$10,2,1),IF(G173&lt;F173-1,0,1))</f>
        <v>#N/A</v>
      </c>
      <c r="I173" t="e">
        <f>IF(D173&lt;&gt;Lookup!$L$7,0,IF(INDEX(views[name],MATCH(E173,views[object_id order],0))&lt;&gt;"",0,1))</f>
        <v>#N/A</v>
      </c>
      <c r="J173" t="e">
        <f>IF(D173&lt;&gt;Lookup!$L$7,0,IF(INDEX(views[icon],MATCH(E173,views[object_id order],0))&lt;&gt;"",0,1))</f>
        <v>#N/A</v>
      </c>
      <c r="K173" t="e">
        <f>IF($D173=Lookup!$L$6,INDEX(views[object_id],MATCH($E173,views[object_id order],0)),"")</f>
        <v>#N/A</v>
      </c>
      <c r="L173" t="e">
        <f>IF($D173=Lookup!$L$8,INDEX(views[name],MATCH($E173,views[object_id order],0)),"")</f>
        <v>#N/A</v>
      </c>
      <c r="M173" t="e">
        <f>IF($D173=Lookup!$L$9,INDEX(views[icon],MATCH($E173,views[object_id order],0)),"")</f>
        <v>#N/A</v>
      </c>
      <c r="N173" t="e">
        <f>IF(OR(D173=Lookup!$L$11,D173=Lookup!$L$12),INDEX(views[[1]:[25]],MATCH($E173,views[object_id order],0),G173),"")</f>
        <v>#N/A</v>
      </c>
      <c r="O173" t="str">
        <f t="shared" si="7"/>
        <v/>
      </c>
      <c r="P173" s="8" t="e">
        <f>INDEX(Lookup!$M$5:$M$12,MATCH(D173,Lookup!$L$5:$L$12,0))&amp;
K173&amp;L173&amp;M173&amp;N173&amp;
INDEX(Lookup!$N$5:$N$12,MATCH(D173,Lookup!$L$5:$L$12,0))</f>
        <v>#N/A</v>
      </c>
    </row>
    <row r="174" spans="2:16" x14ac:dyDescent="0.45">
      <c r="B174">
        <f t="shared" si="6"/>
        <v>172</v>
      </c>
      <c r="C174" t="e">
        <f t="shared" si="8"/>
        <v>#N/A</v>
      </c>
      <c r="D174" t="e">
        <f>VLOOKUP(C174,Lookup!$K$5:$L$12,2,FALSE)</f>
        <v>#N/A</v>
      </c>
      <c r="E174" t="e">
        <f>IF(D174=Lookup!$L$5,E173+1,E173)</f>
        <v>#N/A</v>
      </c>
      <c r="F174" s="3" t="e">
        <f>INDEX(views[Entities count],MATCH('view-code'!E174,views[object_id order],0))</f>
        <v>#N/A</v>
      </c>
      <c r="G174" t="e">
        <f>IF(D173=Lookup!$L$10,1,IF(D173=Lookup!$L$11,G173+1,""))</f>
        <v>#N/A</v>
      </c>
      <c r="H174" t="e">
        <f>IF(F174=1,IF(D174=Lookup!$L$10,2,1),IF(G174&lt;F174-1,0,1))</f>
        <v>#N/A</v>
      </c>
      <c r="I174" t="e">
        <f>IF(D174&lt;&gt;Lookup!$L$7,0,IF(INDEX(views[name],MATCH(E174,views[object_id order],0))&lt;&gt;"",0,1))</f>
        <v>#N/A</v>
      </c>
      <c r="J174" t="e">
        <f>IF(D174&lt;&gt;Lookup!$L$7,0,IF(INDEX(views[icon],MATCH(E174,views[object_id order],0))&lt;&gt;"",0,1))</f>
        <v>#N/A</v>
      </c>
      <c r="K174" t="e">
        <f>IF($D174=Lookup!$L$6,INDEX(views[object_id],MATCH($E174,views[object_id order],0)),"")</f>
        <v>#N/A</v>
      </c>
      <c r="L174" t="e">
        <f>IF($D174=Lookup!$L$8,INDEX(views[name],MATCH($E174,views[object_id order],0)),"")</f>
        <v>#N/A</v>
      </c>
      <c r="M174" t="e">
        <f>IF($D174=Lookup!$L$9,INDEX(views[icon],MATCH($E174,views[object_id order],0)),"")</f>
        <v>#N/A</v>
      </c>
      <c r="N174" t="e">
        <f>IF(OR(D174=Lookup!$L$11,D174=Lookup!$L$12),INDEX(views[[1]:[25]],MATCH($E174,views[object_id order],0),G174),"")</f>
        <v>#N/A</v>
      </c>
      <c r="O174" t="str">
        <f t="shared" si="7"/>
        <v/>
      </c>
      <c r="P174" s="8" t="e">
        <f>INDEX(Lookup!$M$5:$M$12,MATCH(D174,Lookup!$L$5:$L$12,0))&amp;
K174&amp;L174&amp;M174&amp;N174&amp;
INDEX(Lookup!$N$5:$N$12,MATCH(D174,Lookup!$L$5:$L$12,0))</f>
        <v>#N/A</v>
      </c>
    </row>
    <row r="175" spans="2:16" x14ac:dyDescent="0.45">
      <c r="B175">
        <f t="shared" si="6"/>
        <v>173</v>
      </c>
      <c r="C175" t="e">
        <f t="shared" si="8"/>
        <v>#N/A</v>
      </c>
      <c r="D175" t="e">
        <f>VLOOKUP(C175,Lookup!$K$5:$L$12,2,FALSE)</f>
        <v>#N/A</v>
      </c>
      <c r="E175" t="e">
        <f>IF(D175=Lookup!$L$5,E174+1,E174)</f>
        <v>#N/A</v>
      </c>
      <c r="F175" s="3" t="e">
        <f>INDEX(views[Entities count],MATCH('view-code'!E175,views[object_id order],0))</f>
        <v>#N/A</v>
      </c>
      <c r="G175" t="e">
        <f>IF(D174=Lookup!$L$10,1,IF(D174=Lookup!$L$11,G174+1,""))</f>
        <v>#N/A</v>
      </c>
      <c r="H175" t="e">
        <f>IF(F175=1,IF(D175=Lookup!$L$10,2,1),IF(G175&lt;F175-1,0,1))</f>
        <v>#N/A</v>
      </c>
      <c r="I175" t="e">
        <f>IF(D175&lt;&gt;Lookup!$L$7,0,IF(INDEX(views[name],MATCH(E175,views[object_id order],0))&lt;&gt;"",0,1))</f>
        <v>#N/A</v>
      </c>
      <c r="J175" t="e">
        <f>IF(D175&lt;&gt;Lookup!$L$7,0,IF(INDEX(views[icon],MATCH(E175,views[object_id order],0))&lt;&gt;"",0,1))</f>
        <v>#N/A</v>
      </c>
      <c r="K175" t="e">
        <f>IF($D175=Lookup!$L$6,INDEX(views[object_id],MATCH($E175,views[object_id order],0)),"")</f>
        <v>#N/A</v>
      </c>
      <c r="L175" t="e">
        <f>IF($D175=Lookup!$L$8,INDEX(views[name],MATCH($E175,views[object_id order],0)),"")</f>
        <v>#N/A</v>
      </c>
      <c r="M175" t="e">
        <f>IF($D175=Lookup!$L$9,INDEX(views[icon],MATCH($E175,views[object_id order],0)),"")</f>
        <v>#N/A</v>
      </c>
      <c r="N175" t="e">
        <f>IF(OR(D175=Lookup!$L$11,D175=Lookup!$L$12),INDEX(views[[1]:[25]],MATCH($E175,views[object_id order],0),G175),"")</f>
        <v>#N/A</v>
      </c>
      <c r="O175" t="str">
        <f t="shared" si="7"/>
        <v/>
      </c>
      <c r="P175" s="8" t="e">
        <f>INDEX(Lookup!$M$5:$M$12,MATCH(D175,Lookup!$L$5:$L$12,0))&amp;
K175&amp;L175&amp;M175&amp;N175&amp;
INDEX(Lookup!$N$5:$N$12,MATCH(D175,Lookup!$L$5:$L$12,0))</f>
        <v>#N/A</v>
      </c>
    </row>
    <row r="176" spans="2:16" x14ac:dyDescent="0.45">
      <c r="B176">
        <f t="shared" si="6"/>
        <v>174</v>
      </c>
      <c r="C176" t="e">
        <f t="shared" si="8"/>
        <v>#N/A</v>
      </c>
      <c r="D176" t="e">
        <f>VLOOKUP(C176,Lookup!$K$5:$L$12,2,FALSE)</f>
        <v>#N/A</v>
      </c>
      <c r="E176" t="e">
        <f>IF(D176=Lookup!$L$5,E175+1,E175)</f>
        <v>#N/A</v>
      </c>
      <c r="F176" s="3" t="e">
        <f>INDEX(views[Entities count],MATCH('view-code'!E176,views[object_id order],0))</f>
        <v>#N/A</v>
      </c>
      <c r="G176" t="e">
        <f>IF(D175=Lookup!$L$10,1,IF(D175=Lookup!$L$11,G175+1,""))</f>
        <v>#N/A</v>
      </c>
      <c r="H176" t="e">
        <f>IF(F176=1,IF(D176=Lookup!$L$10,2,1),IF(G176&lt;F176-1,0,1))</f>
        <v>#N/A</v>
      </c>
      <c r="I176" t="e">
        <f>IF(D176&lt;&gt;Lookup!$L$7,0,IF(INDEX(views[name],MATCH(E176,views[object_id order],0))&lt;&gt;"",0,1))</f>
        <v>#N/A</v>
      </c>
      <c r="J176" t="e">
        <f>IF(D176&lt;&gt;Lookup!$L$7,0,IF(INDEX(views[icon],MATCH(E176,views[object_id order],0))&lt;&gt;"",0,1))</f>
        <v>#N/A</v>
      </c>
      <c r="K176" t="e">
        <f>IF($D176=Lookup!$L$6,INDEX(views[object_id],MATCH($E176,views[object_id order],0)),"")</f>
        <v>#N/A</v>
      </c>
      <c r="L176" t="e">
        <f>IF($D176=Lookup!$L$8,INDEX(views[name],MATCH($E176,views[object_id order],0)),"")</f>
        <v>#N/A</v>
      </c>
      <c r="M176" t="e">
        <f>IF($D176=Lookup!$L$9,INDEX(views[icon],MATCH($E176,views[object_id order],0)),"")</f>
        <v>#N/A</v>
      </c>
      <c r="N176" t="e">
        <f>IF(OR(D176=Lookup!$L$11,D176=Lookup!$L$12),INDEX(views[[1]:[25]],MATCH($E176,views[object_id order],0),G176),"")</f>
        <v>#N/A</v>
      </c>
      <c r="O176" t="str">
        <f t="shared" si="7"/>
        <v/>
      </c>
      <c r="P176" s="8" t="e">
        <f>INDEX(Lookup!$M$5:$M$12,MATCH(D176,Lookup!$L$5:$L$12,0))&amp;
K176&amp;L176&amp;M176&amp;N176&amp;
INDEX(Lookup!$N$5:$N$12,MATCH(D176,Lookup!$L$5:$L$12,0))</f>
        <v>#N/A</v>
      </c>
    </row>
    <row r="177" spans="2:16" x14ac:dyDescent="0.45">
      <c r="B177">
        <f t="shared" si="6"/>
        <v>175</v>
      </c>
      <c r="C177" t="e">
        <f t="shared" si="8"/>
        <v>#N/A</v>
      </c>
      <c r="D177" t="e">
        <f>VLOOKUP(C177,Lookup!$K$5:$L$12,2,FALSE)</f>
        <v>#N/A</v>
      </c>
      <c r="E177" t="e">
        <f>IF(D177=Lookup!$L$5,E176+1,E176)</f>
        <v>#N/A</v>
      </c>
      <c r="F177" s="3" t="e">
        <f>INDEX(views[Entities count],MATCH('view-code'!E177,views[object_id order],0))</f>
        <v>#N/A</v>
      </c>
      <c r="G177" t="e">
        <f>IF(D176=Lookup!$L$10,1,IF(D176=Lookup!$L$11,G176+1,""))</f>
        <v>#N/A</v>
      </c>
      <c r="H177" t="e">
        <f>IF(F177=1,IF(D177=Lookup!$L$10,2,1),IF(G177&lt;F177-1,0,1))</f>
        <v>#N/A</v>
      </c>
      <c r="I177" t="e">
        <f>IF(D177&lt;&gt;Lookup!$L$7,0,IF(INDEX(views[name],MATCH(E177,views[object_id order],0))&lt;&gt;"",0,1))</f>
        <v>#N/A</v>
      </c>
      <c r="J177" t="e">
        <f>IF(D177&lt;&gt;Lookup!$L$7,0,IF(INDEX(views[icon],MATCH(E177,views[object_id order],0))&lt;&gt;"",0,1))</f>
        <v>#N/A</v>
      </c>
      <c r="K177" t="e">
        <f>IF($D177=Lookup!$L$6,INDEX(views[object_id],MATCH($E177,views[object_id order],0)),"")</f>
        <v>#N/A</v>
      </c>
      <c r="L177" t="e">
        <f>IF($D177=Lookup!$L$8,INDEX(views[name],MATCH($E177,views[object_id order],0)),"")</f>
        <v>#N/A</v>
      </c>
      <c r="M177" t="e">
        <f>IF($D177=Lookup!$L$9,INDEX(views[icon],MATCH($E177,views[object_id order],0)),"")</f>
        <v>#N/A</v>
      </c>
      <c r="N177" t="e">
        <f>IF(OR(D177=Lookup!$L$11,D177=Lookup!$L$12),INDEX(views[[1]:[25]],MATCH($E177,views[object_id order],0),G177),"")</f>
        <v>#N/A</v>
      </c>
      <c r="O177" t="str">
        <f t="shared" si="7"/>
        <v/>
      </c>
      <c r="P177" s="8" t="e">
        <f>INDEX(Lookup!$M$5:$M$12,MATCH(D177,Lookup!$L$5:$L$12,0))&amp;
K177&amp;L177&amp;M177&amp;N177&amp;
INDEX(Lookup!$N$5:$N$12,MATCH(D177,Lookup!$L$5:$L$12,0))</f>
        <v>#N/A</v>
      </c>
    </row>
    <row r="178" spans="2:16" x14ac:dyDescent="0.45">
      <c r="B178">
        <f t="shared" si="6"/>
        <v>176</v>
      </c>
      <c r="C178" t="e">
        <f t="shared" si="8"/>
        <v>#N/A</v>
      </c>
      <c r="D178" t="e">
        <f>VLOOKUP(C178,Lookup!$K$5:$L$12,2,FALSE)</f>
        <v>#N/A</v>
      </c>
      <c r="E178" t="e">
        <f>IF(D178=Lookup!$L$5,E177+1,E177)</f>
        <v>#N/A</v>
      </c>
      <c r="F178" s="3" t="e">
        <f>INDEX(views[Entities count],MATCH('view-code'!E178,views[object_id order],0))</f>
        <v>#N/A</v>
      </c>
      <c r="G178" t="e">
        <f>IF(D177=Lookup!$L$10,1,IF(D177=Lookup!$L$11,G177+1,""))</f>
        <v>#N/A</v>
      </c>
      <c r="H178" t="e">
        <f>IF(F178=1,IF(D178=Lookup!$L$10,2,1),IF(G178&lt;F178-1,0,1))</f>
        <v>#N/A</v>
      </c>
      <c r="I178" t="e">
        <f>IF(D178&lt;&gt;Lookup!$L$7,0,IF(INDEX(views[name],MATCH(E178,views[object_id order],0))&lt;&gt;"",0,1))</f>
        <v>#N/A</v>
      </c>
      <c r="J178" t="e">
        <f>IF(D178&lt;&gt;Lookup!$L$7,0,IF(INDEX(views[icon],MATCH(E178,views[object_id order],0))&lt;&gt;"",0,1))</f>
        <v>#N/A</v>
      </c>
      <c r="K178" t="e">
        <f>IF($D178=Lookup!$L$6,INDEX(views[object_id],MATCH($E178,views[object_id order],0)),"")</f>
        <v>#N/A</v>
      </c>
      <c r="L178" t="e">
        <f>IF($D178=Lookup!$L$8,INDEX(views[name],MATCH($E178,views[object_id order],0)),"")</f>
        <v>#N/A</v>
      </c>
      <c r="M178" t="e">
        <f>IF($D178=Lookup!$L$9,INDEX(views[icon],MATCH($E178,views[object_id order],0)),"")</f>
        <v>#N/A</v>
      </c>
      <c r="N178" t="e">
        <f>IF(OR(D178=Lookup!$L$11,D178=Lookup!$L$12),INDEX(views[[1]:[25]],MATCH($E178,views[object_id order],0),G178),"")</f>
        <v>#N/A</v>
      </c>
      <c r="O178" t="str">
        <f t="shared" si="7"/>
        <v/>
      </c>
      <c r="P178" s="8" t="e">
        <f>INDEX(Lookup!$M$5:$M$12,MATCH(D178,Lookup!$L$5:$L$12,0))&amp;
K178&amp;L178&amp;M178&amp;N178&amp;
INDEX(Lookup!$N$5:$N$12,MATCH(D178,Lookup!$L$5:$L$12,0))</f>
        <v>#N/A</v>
      </c>
    </row>
    <row r="179" spans="2:16" x14ac:dyDescent="0.45">
      <c r="B179">
        <f t="shared" si="6"/>
        <v>177</v>
      </c>
      <c r="C179" t="e">
        <f t="shared" si="8"/>
        <v>#N/A</v>
      </c>
      <c r="D179" t="e">
        <f>VLOOKUP(C179,Lookup!$K$5:$L$12,2,FALSE)</f>
        <v>#N/A</v>
      </c>
      <c r="E179" t="e">
        <f>IF(D179=Lookup!$L$5,E178+1,E178)</f>
        <v>#N/A</v>
      </c>
      <c r="F179" s="3" t="e">
        <f>INDEX(views[Entities count],MATCH('view-code'!E179,views[object_id order],0))</f>
        <v>#N/A</v>
      </c>
      <c r="G179" t="e">
        <f>IF(D178=Lookup!$L$10,1,IF(D178=Lookup!$L$11,G178+1,""))</f>
        <v>#N/A</v>
      </c>
      <c r="H179" t="e">
        <f>IF(F179=1,IF(D179=Lookup!$L$10,2,1),IF(G179&lt;F179-1,0,1))</f>
        <v>#N/A</v>
      </c>
      <c r="I179" t="e">
        <f>IF(D179&lt;&gt;Lookup!$L$7,0,IF(INDEX(views[name],MATCH(E179,views[object_id order],0))&lt;&gt;"",0,1))</f>
        <v>#N/A</v>
      </c>
      <c r="J179" t="e">
        <f>IF(D179&lt;&gt;Lookup!$L$7,0,IF(INDEX(views[icon],MATCH(E179,views[object_id order],0))&lt;&gt;"",0,1))</f>
        <v>#N/A</v>
      </c>
      <c r="K179" t="e">
        <f>IF($D179=Lookup!$L$6,INDEX(views[object_id],MATCH($E179,views[object_id order],0)),"")</f>
        <v>#N/A</v>
      </c>
      <c r="L179" t="e">
        <f>IF($D179=Lookup!$L$8,INDEX(views[name],MATCH($E179,views[object_id order],0)),"")</f>
        <v>#N/A</v>
      </c>
      <c r="M179" t="e">
        <f>IF($D179=Lookup!$L$9,INDEX(views[icon],MATCH($E179,views[object_id order],0)),"")</f>
        <v>#N/A</v>
      </c>
      <c r="N179" t="e">
        <f>IF(OR(D179=Lookup!$L$11,D179=Lookup!$L$12),INDEX(views[[1]:[25]],MATCH($E179,views[object_id order],0),G179),"")</f>
        <v>#N/A</v>
      </c>
      <c r="O179" t="str">
        <f t="shared" si="7"/>
        <v/>
      </c>
      <c r="P179" s="8" t="e">
        <f>INDEX(Lookup!$M$5:$M$12,MATCH(D179,Lookup!$L$5:$L$12,0))&amp;
K179&amp;L179&amp;M179&amp;N179&amp;
INDEX(Lookup!$N$5:$N$12,MATCH(D179,Lookup!$L$5:$L$12,0))</f>
        <v>#N/A</v>
      </c>
    </row>
    <row r="180" spans="2:16" x14ac:dyDescent="0.45">
      <c r="B180">
        <f t="shared" si="6"/>
        <v>178</v>
      </c>
      <c r="C180" t="e">
        <f t="shared" si="8"/>
        <v>#N/A</v>
      </c>
      <c r="D180" t="e">
        <f>VLOOKUP(C180,Lookup!$K$5:$L$12,2,FALSE)</f>
        <v>#N/A</v>
      </c>
      <c r="E180" t="e">
        <f>IF(D180=Lookup!$L$5,E179+1,E179)</f>
        <v>#N/A</v>
      </c>
      <c r="F180" s="3" t="e">
        <f>INDEX(views[Entities count],MATCH('view-code'!E180,views[object_id order],0))</f>
        <v>#N/A</v>
      </c>
      <c r="G180" t="e">
        <f>IF(D179=Lookup!$L$10,1,IF(D179=Lookup!$L$11,G179+1,""))</f>
        <v>#N/A</v>
      </c>
      <c r="H180" t="e">
        <f>IF(F180=1,IF(D180=Lookup!$L$10,2,1),IF(G180&lt;F180-1,0,1))</f>
        <v>#N/A</v>
      </c>
      <c r="I180" t="e">
        <f>IF(D180&lt;&gt;Lookup!$L$7,0,IF(INDEX(views[name],MATCH(E180,views[object_id order],0))&lt;&gt;"",0,1))</f>
        <v>#N/A</v>
      </c>
      <c r="J180" t="e">
        <f>IF(D180&lt;&gt;Lookup!$L$7,0,IF(INDEX(views[icon],MATCH(E180,views[object_id order],0))&lt;&gt;"",0,1))</f>
        <v>#N/A</v>
      </c>
      <c r="K180" t="e">
        <f>IF($D180=Lookup!$L$6,INDEX(views[object_id],MATCH($E180,views[object_id order],0)),"")</f>
        <v>#N/A</v>
      </c>
      <c r="L180" t="e">
        <f>IF($D180=Lookup!$L$8,INDEX(views[name],MATCH($E180,views[object_id order],0)),"")</f>
        <v>#N/A</v>
      </c>
      <c r="M180" t="e">
        <f>IF($D180=Lookup!$L$9,INDEX(views[icon],MATCH($E180,views[object_id order],0)),"")</f>
        <v>#N/A</v>
      </c>
      <c r="N180" t="e">
        <f>IF(OR(D180=Lookup!$L$11,D180=Lookup!$L$12),INDEX(views[[1]:[25]],MATCH($E180,views[object_id order],0),G180),"")</f>
        <v>#N/A</v>
      </c>
      <c r="O180" t="str">
        <f t="shared" si="7"/>
        <v/>
      </c>
      <c r="P180" s="8" t="e">
        <f>INDEX(Lookup!$M$5:$M$12,MATCH(D180,Lookup!$L$5:$L$12,0))&amp;
K180&amp;L180&amp;M180&amp;N180&amp;
INDEX(Lookup!$N$5:$N$12,MATCH(D180,Lookup!$L$5:$L$12,0))</f>
        <v>#N/A</v>
      </c>
    </row>
    <row r="181" spans="2:16" x14ac:dyDescent="0.45">
      <c r="B181">
        <f t="shared" si="6"/>
        <v>179</v>
      </c>
      <c r="C181" t="e">
        <f t="shared" si="8"/>
        <v>#N/A</v>
      </c>
      <c r="D181" t="e">
        <f>VLOOKUP(C181,Lookup!$K$5:$L$12,2,FALSE)</f>
        <v>#N/A</v>
      </c>
      <c r="E181" t="e">
        <f>IF(D181=Lookup!$L$5,E180+1,E180)</f>
        <v>#N/A</v>
      </c>
      <c r="F181" s="3" t="e">
        <f>INDEX(views[Entities count],MATCH('view-code'!E181,views[object_id order],0))</f>
        <v>#N/A</v>
      </c>
      <c r="G181" t="e">
        <f>IF(D180=Lookup!$L$10,1,IF(D180=Lookup!$L$11,G180+1,""))</f>
        <v>#N/A</v>
      </c>
      <c r="H181" t="e">
        <f>IF(F181=1,IF(D181=Lookup!$L$10,2,1),IF(G181&lt;F181-1,0,1))</f>
        <v>#N/A</v>
      </c>
      <c r="I181" t="e">
        <f>IF(D181&lt;&gt;Lookup!$L$7,0,IF(INDEX(views[name],MATCH(E181,views[object_id order],0))&lt;&gt;"",0,1))</f>
        <v>#N/A</v>
      </c>
      <c r="J181" t="e">
        <f>IF(D181&lt;&gt;Lookup!$L$7,0,IF(INDEX(views[icon],MATCH(E181,views[object_id order],0))&lt;&gt;"",0,1))</f>
        <v>#N/A</v>
      </c>
      <c r="K181" t="e">
        <f>IF($D181=Lookup!$L$6,INDEX(views[object_id],MATCH($E181,views[object_id order],0)),"")</f>
        <v>#N/A</v>
      </c>
      <c r="L181" t="e">
        <f>IF($D181=Lookup!$L$8,INDEX(views[name],MATCH($E181,views[object_id order],0)),"")</f>
        <v>#N/A</v>
      </c>
      <c r="M181" t="e">
        <f>IF($D181=Lookup!$L$9,INDEX(views[icon],MATCH($E181,views[object_id order],0)),"")</f>
        <v>#N/A</v>
      </c>
      <c r="N181" t="e">
        <f>IF(OR(D181=Lookup!$L$11,D181=Lookup!$L$12),INDEX(views[[1]:[25]],MATCH($E181,views[object_id order],0),G181),"")</f>
        <v>#N/A</v>
      </c>
      <c r="O181" t="str">
        <f t="shared" si="7"/>
        <v/>
      </c>
      <c r="P181" s="8" t="e">
        <f>INDEX(Lookup!$M$5:$M$12,MATCH(D181,Lookup!$L$5:$L$12,0))&amp;
K181&amp;L181&amp;M181&amp;N181&amp;
INDEX(Lookup!$N$5:$N$12,MATCH(D181,Lookup!$L$5:$L$12,0))</f>
        <v>#N/A</v>
      </c>
    </row>
    <row r="182" spans="2:16" x14ac:dyDescent="0.45">
      <c r="B182">
        <f t="shared" si="6"/>
        <v>180</v>
      </c>
      <c r="C182" t="e">
        <f t="shared" si="8"/>
        <v>#N/A</v>
      </c>
      <c r="D182" t="e">
        <f>VLOOKUP(C182,Lookup!$K$5:$L$12,2,FALSE)</f>
        <v>#N/A</v>
      </c>
      <c r="E182" t="e">
        <f>IF(D182=Lookup!$L$5,E181+1,E181)</f>
        <v>#N/A</v>
      </c>
      <c r="F182" s="3" t="e">
        <f>INDEX(views[Entities count],MATCH('view-code'!E182,views[object_id order],0))</f>
        <v>#N/A</v>
      </c>
      <c r="G182" t="e">
        <f>IF(D181=Lookup!$L$10,1,IF(D181=Lookup!$L$11,G181+1,""))</f>
        <v>#N/A</v>
      </c>
      <c r="H182" t="e">
        <f>IF(F182=1,IF(D182=Lookup!$L$10,2,1),IF(G182&lt;F182-1,0,1))</f>
        <v>#N/A</v>
      </c>
      <c r="I182" t="e">
        <f>IF(D182&lt;&gt;Lookup!$L$7,0,IF(INDEX(views[name],MATCH(E182,views[object_id order],0))&lt;&gt;"",0,1))</f>
        <v>#N/A</v>
      </c>
      <c r="J182" t="e">
        <f>IF(D182&lt;&gt;Lookup!$L$7,0,IF(INDEX(views[icon],MATCH(E182,views[object_id order],0))&lt;&gt;"",0,1))</f>
        <v>#N/A</v>
      </c>
      <c r="K182" t="e">
        <f>IF($D182=Lookup!$L$6,INDEX(views[object_id],MATCH($E182,views[object_id order],0)),"")</f>
        <v>#N/A</v>
      </c>
      <c r="L182" t="e">
        <f>IF($D182=Lookup!$L$8,INDEX(views[name],MATCH($E182,views[object_id order],0)),"")</f>
        <v>#N/A</v>
      </c>
      <c r="M182" t="e">
        <f>IF($D182=Lookup!$L$9,INDEX(views[icon],MATCH($E182,views[object_id order],0)),"")</f>
        <v>#N/A</v>
      </c>
      <c r="N182" t="e">
        <f>IF(OR(D182=Lookup!$L$11,D182=Lookup!$L$12),INDEX(views[[1]:[25]],MATCH($E182,views[object_id order],0),G182),"")</f>
        <v>#N/A</v>
      </c>
      <c r="O182" t="str">
        <f t="shared" si="7"/>
        <v/>
      </c>
      <c r="P182" s="8" t="e">
        <f>INDEX(Lookup!$M$5:$M$12,MATCH(D182,Lookup!$L$5:$L$12,0))&amp;
K182&amp;L182&amp;M182&amp;N182&amp;
INDEX(Lookup!$N$5:$N$12,MATCH(D182,Lookup!$L$5:$L$12,0))</f>
        <v>#N/A</v>
      </c>
    </row>
    <row r="183" spans="2:16" x14ac:dyDescent="0.45">
      <c r="B183">
        <f t="shared" si="6"/>
        <v>181</v>
      </c>
      <c r="C183" t="e">
        <f t="shared" si="8"/>
        <v>#N/A</v>
      </c>
      <c r="D183" t="e">
        <f>VLOOKUP(C183,Lookup!$K$5:$L$12,2,FALSE)</f>
        <v>#N/A</v>
      </c>
      <c r="E183" t="e">
        <f>IF(D183=Lookup!$L$5,E182+1,E182)</f>
        <v>#N/A</v>
      </c>
      <c r="F183" s="3" t="e">
        <f>INDEX(views[Entities count],MATCH('view-code'!E183,views[object_id order],0))</f>
        <v>#N/A</v>
      </c>
      <c r="G183" t="e">
        <f>IF(D182=Lookup!$L$10,1,IF(D182=Lookup!$L$11,G182+1,""))</f>
        <v>#N/A</v>
      </c>
      <c r="H183" t="e">
        <f>IF(F183=1,IF(D183=Lookup!$L$10,2,1),IF(G183&lt;F183-1,0,1))</f>
        <v>#N/A</v>
      </c>
      <c r="I183" t="e">
        <f>IF(D183&lt;&gt;Lookup!$L$7,0,IF(INDEX(views[name],MATCH(E183,views[object_id order],0))&lt;&gt;"",0,1))</f>
        <v>#N/A</v>
      </c>
      <c r="J183" t="e">
        <f>IF(D183&lt;&gt;Lookup!$L$7,0,IF(INDEX(views[icon],MATCH(E183,views[object_id order],0))&lt;&gt;"",0,1))</f>
        <v>#N/A</v>
      </c>
      <c r="K183" t="e">
        <f>IF($D183=Lookup!$L$6,INDEX(views[object_id],MATCH($E183,views[object_id order],0)),"")</f>
        <v>#N/A</v>
      </c>
      <c r="L183" t="e">
        <f>IF($D183=Lookup!$L$8,INDEX(views[name],MATCH($E183,views[object_id order],0)),"")</f>
        <v>#N/A</v>
      </c>
      <c r="M183" t="e">
        <f>IF($D183=Lookup!$L$9,INDEX(views[icon],MATCH($E183,views[object_id order],0)),"")</f>
        <v>#N/A</v>
      </c>
      <c r="N183" t="e">
        <f>IF(OR(D183=Lookup!$L$11,D183=Lookup!$L$12),INDEX(views[[1]:[25]],MATCH($E183,views[object_id order],0),G183),"")</f>
        <v>#N/A</v>
      </c>
      <c r="O183" t="str">
        <f t="shared" si="7"/>
        <v/>
      </c>
      <c r="P183" s="8" t="e">
        <f>INDEX(Lookup!$M$5:$M$12,MATCH(D183,Lookup!$L$5:$L$12,0))&amp;
K183&amp;L183&amp;M183&amp;N183&amp;
INDEX(Lookup!$N$5:$N$12,MATCH(D183,Lookup!$L$5:$L$12,0))</f>
        <v>#N/A</v>
      </c>
    </row>
    <row r="184" spans="2:16" x14ac:dyDescent="0.45">
      <c r="B184">
        <f t="shared" si="6"/>
        <v>182</v>
      </c>
      <c r="C184" t="e">
        <f t="shared" si="8"/>
        <v>#N/A</v>
      </c>
      <c r="D184" t="e">
        <f>VLOOKUP(C184,Lookup!$K$5:$L$12,2,FALSE)</f>
        <v>#N/A</v>
      </c>
      <c r="E184" t="e">
        <f>IF(D184=Lookup!$L$5,E183+1,E183)</f>
        <v>#N/A</v>
      </c>
      <c r="F184" s="3" t="e">
        <f>INDEX(views[Entities count],MATCH('view-code'!E184,views[object_id order],0))</f>
        <v>#N/A</v>
      </c>
      <c r="G184" t="e">
        <f>IF(D183=Lookup!$L$10,1,IF(D183=Lookup!$L$11,G183+1,""))</f>
        <v>#N/A</v>
      </c>
      <c r="H184" t="e">
        <f>IF(F184=1,IF(D184=Lookup!$L$10,2,1),IF(G184&lt;F184-1,0,1))</f>
        <v>#N/A</v>
      </c>
      <c r="I184" t="e">
        <f>IF(D184&lt;&gt;Lookup!$L$7,0,IF(INDEX(views[name],MATCH(E184,views[object_id order],0))&lt;&gt;"",0,1))</f>
        <v>#N/A</v>
      </c>
      <c r="J184" t="e">
        <f>IF(D184&lt;&gt;Lookup!$L$7,0,IF(INDEX(views[icon],MATCH(E184,views[object_id order],0))&lt;&gt;"",0,1))</f>
        <v>#N/A</v>
      </c>
      <c r="K184" t="e">
        <f>IF($D184=Lookup!$L$6,INDEX(views[object_id],MATCH($E184,views[object_id order],0)),"")</f>
        <v>#N/A</v>
      </c>
      <c r="L184" t="e">
        <f>IF($D184=Lookup!$L$8,INDEX(views[name],MATCH($E184,views[object_id order],0)),"")</f>
        <v>#N/A</v>
      </c>
      <c r="M184" t="e">
        <f>IF($D184=Lookup!$L$9,INDEX(views[icon],MATCH($E184,views[object_id order],0)),"")</f>
        <v>#N/A</v>
      </c>
      <c r="N184" t="e">
        <f>IF(OR(D184=Lookup!$L$11,D184=Lookup!$L$12),INDEX(views[[1]:[25]],MATCH($E184,views[object_id order],0),G184),"")</f>
        <v>#N/A</v>
      </c>
      <c r="O184" t="str">
        <f t="shared" si="7"/>
        <v/>
      </c>
      <c r="P184" s="8" t="e">
        <f>INDEX(Lookup!$M$5:$M$12,MATCH(D184,Lookup!$L$5:$L$12,0))&amp;
K184&amp;L184&amp;M184&amp;N184&amp;
INDEX(Lookup!$N$5:$N$12,MATCH(D184,Lookup!$L$5:$L$12,0))</f>
        <v>#N/A</v>
      </c>
    </row>
    <row r="185" spans="2:16" x14ac:dyDescent="0.45">
      <c r="B185">
        <f t="shared" si="6"/>
        <v>183</v>
      </c>
      <c r="C185" t="e">
        <f t="shared" si="8"/>
        <v>#N/A</v>
      </c>
      <c r="D185" t="e">
        <f>VLOOKUP(C185,Lookup!$K$5:$L$12,2,FALSE)</f>
        <v>#N/A</v>
      </c>
      <c r="E185" t="e">
        <f>IF(D185=Lookup!$L$5,E184+1,E184)</f>
        <v>#N/A</v>
      </c>
      <c r="F185" s="3" t="e">
        <f>INDEX(views[Entities count],MATCH('view-code'!E185,views[object_id order],0))</f>
        <v>#N/A</v>
      </c>
      <c r="G185" t="e">
        <f>IF(D184=Lookup!$L$10,1,IF(D184=Lookup!$L$11,G184+1,""))</f>
        <v>#N/A</v>
      </c>
      <c r="H185" t="e">
        <f>IF(F185=1,IF(D185=Lookup!$L$10,2,1),IF(G185&lt;F185-1,0,1))</f>
        <v>#N/A</v>
      </c>
      <c r="I185" t="e">
        <f>IF(D185&lt;&gt;Lookup!$L$7,0,IF(INDEX(views[name],MATCH(E185,views[object_id order],0))&lt;&gt;"",0,1))</f>
        <v>#N/A</v>
      </c>
      <c r="J185" t="e">
        <f>IF(D185&lt;&gt;Lookup!$L$7,0,IF(INDEX(views[icon],MATCH(E185,views[object_id order],0))&lt;&gt;"",0,1))</f>
        <v>#N/A</v>
      </c>
      <c r="K185" t="e">
        <f>IF($D185=Lookup!$L$6,INDEX(views[object_id],MATCH($E185,views[object_id order],0)),"")</f>
        <v>#N/A</v>
      </c>
      <c r="L185" t="e">
        <f>IF($D185=Lookup!$L$8,INDEX(views[name],MATCH($E185,views[object_id order],0)),"")</f>
        <v>#N/A</v>
      </c>
      <c r="M185" t="e">
        <f>IF($D185=Lookup!$L$9,INDEX(views[icon],MATCH($E185,views[object_id order],0)),"")</f>
        <v>#N/A</v>
      </c>
      <c r="N185" t="e">
        <f>IF(OR(D185=Lookup!$L$11,D185=Lookup!$L$12),INDEX(views[[1]:[25]],MATCH($E185,views[object_id order],0),G185),"")</f>
        <v>#N/A</v>
      </c>
      <c r="O185" t="str">
        <f t="shared" si="7"/>
        <v/>
      </c>
      <c r="P185" s="8" t="e">
        <f>INDEX(Lookup!$M$5:$M$12,MATCH(D185,Lookup!$L$5:$L$12,0))&amp;
K185&amp;L185&amp;M185&amp;N185&amp;
INDEX(Lookup!$N$5:$N$12,MATCH(D185,Lookup!$L$5:$L$12,0))</f>
        <v>#N/A</v>
      </c>
    </row>
    <row r="186" spans="2:16" x14ac:dyDescent="0.45">
      <c r="B186">
        <f t="shared" si="6"/>
        <v>184</v>
      </c>
      <c r="C186" t="e">
        <f t="shared" si="8"/>
        <v>#N/A</v>
      </c>
      <c r="D186" t="e">
        <f>VLOOKUP(C186,Lookup!$K$5:$L$12,2,FALSE)</f>
        <v>#N/A</v>
      </c>
      <c r="E186" t="e">
        <f>IF(D186=Lookup!$L$5,E185+1,E185)</f>
        <v>#N/A</v>
      </c>
      <c r="F186" s="3" t="e">
        <f>INDEX(views[Entities count],MATCH('view-code'!E186,views[object_id order],0))</f>
        <v>#N/A</v>
      </c>
      <c r="G186" t="e">
        <f>IF(D185=Lookup!$L$10,1,IF(D185=Lookup!$L$11,G185+1,""))</f>
        <v>#N/A</v>
      </c>
      <c r="H186" t="e">
        <f>IF(F186=1,IF(D186=Lookup!$L$10,2,1),IF(G186&lt;F186-1,0,1))</f>
        <v>#N/A</v>
      </c>
      <c r="I186" t="e">
        <f>IF(D186&lt;&gt;Lookup!$L$7,0,IF(INDEX(views[name],MATCH(E186,views[object_id order],0))&lt;&gt;"",0,1))</f>
        <v>#N/A</v>
      </c>
      <c r="J186" t="e">
        <f>IF(D186&lt;&gt;Lookup!$L$7,0,IF(INDEX(views[icon],MATCH(E186,views[object_id order],0))&lt;&gt;"",0,1))</f>
        <v>#N/A</v>
      </c>
      <c r="K186" t="e">
        <f>IF($D186=Lookup!$L$6,INDEX(views[object_id],MATCH($E186,views[object_id order],0)),"")</f>
        <v>#N/A</v>
      </c>
      <c r="L186" t="e">
        <f>IF($D186=Lookup!$L$8,INDEX(views[name],MATCH($E186,views[object_id order],0)),"")</f>
        <v>#N/A</v>
      </c>
      <c r="M186" t="e">
        <f>IF($D186=Lookup!$L$9,INDEX(views[icon],MATCH($E186,views[object_id order],0)),"")</f>
        <v>#N/A</v>
      </c>
      <c r="N186" t="e">
        <f>IF(OR(D186=Lookup!$L$11,D186=Lookup!$L$12),INDEX(views[[1]:[25]],MATCH($E186,views[object_id order],0),G186),"")</f>
        <v>#N/A</v>
      </c>
      <c r="O186" t="str">
        <f t="shared" si="7"/>
        <v/>
      </c>
      <c r="P186" s="8" t="e">
        <f>INDEX(Lookup!$M$5:$M$12,MATCH(D186,Lookup!$L$5:$L$12,0))&amp;
K186&amp;L186&amp;M186&amp;N186&amp;
INDEX(Lookup!$N$5:$N$12,MATCH(D186,Lookup!$L$5:$L$12,0))</f>
        <v>#N/A</v>
      </c>
    </row>
    <row r="187" spans="2:16" x14ac:dyDescent="0.45">
      <c r="B187">
        <f t="shared" si="6"/>
        <v>185</v>
      </c>
      <c r="C187" t="e">
        <f t="shared" si="8"/>
        <v>#N/A</v>
      </c>
      <c r="D187" t="e">
        <f>VLOOKUP(C187,Lookup!$K$5:$L$12,2,FALSE)</f>
        <v>#N/A</v>
      </c>
      <c r="E187" t="e">
        <f>IF(D187=Lookup!$L$5,E186+1,E186)</f>
        <v>#N/A</v>
      </c>
      <c r="F187" s="3" t="e">
        <f>INDEX(views[Entities count],MATCH('view-code'!E187,views[object_id order],0))</f>
        <v>#N/A</v>
      </c>
      <c r="G187" t="e">
        <f>IF(D186=Lookup!$L$10,1,IF(D186=Lookup!$L$11,G186+1,""))</f>
        <v>#N/A</v>
      </c>
      <c r="H187" t="e">
        <f>IF(F187=1,IF(D187=Lookup!$L$10,2,1),IF(G187&lt;F187-1,0,1))</f>
        <v>#N/A</v>
      </c>
      <c r="I187" t="e">
        <f>IF(D187&lt;&gt;Lookup!$L$7,0,IF(INDEX(views[name],MATCH(E187,views[object_id order],0))&lt;&gt;"",0,1))</f>
        <v>#N/A</v>
      </c>
      <c r="J187" t="e">
        <f>IF(D187&lt;&gt;Lookup!$L$7,0,IF(INDEX(views[icon],MATCH(E187,views[object_id order],0))&lt;&gt;"",0,1))</f>
        <v>#N/A</v>
      </c>
      <c r="K187" t="e">
        <f>IF($D187=Lookup!$L$6,INDEX(views[object_id],MATCH($E187,views[object_id order],0)),"")</f>
        <v>#N/A</v>
      </c>
      <c r="L187" t="e">
        <f>IF($D187=Lookup!$L$8,INDEX(views[name],MATCH($E187,views[object_id order],0)),"")</f>
        <v>#N/A</v>
      </c>
      <c r="M187" t="e">
        <f>IF($D187=Lookup!$L$9,INDEX(views[icon],MATCH($E187,views[object_id order],0)),"")</f>
        <v>#N/A</v>
      </c>
      <c r="N187" t="e">
        <f>IF(OR(D187=Lookup!$L$11,D187=Lookup!$L$12),INDEX(views[[1]:[25]],MATCH($E187,views[object_id order],0),G187),"")</f>
        <v>#N/A</v>
      </c>
      <c r="O187" t="str">
        <f t="shared" si="7"/>
        <v/>
      </c>
      <c r="P187" s="8" t="e">
        <f>INDEX(Lookup!$M$5:$M$12,MATCH(D187,Lookup!$L$5:$L$12,0))&amp;
K187&amp;L187&amp;M187&amp;N187&amp;
INDEX(Lookup!$N$5:$N$12,MATCH(D187,Lookup!$L$5:$L$12,0))</f>
        <v>#N/A</v>
      </c>
    </row>
    <row r="188" spans="2:16" x14ac:dyDescent="0.45">
      <c r="B188">
        <f t="shared" si="6"/>
        <v>186</v>
      </c>
      <c r="C188" t="e">
        <f t="shared" si="8"/>
        <v>#N/A</v>
      </c>
      <c r="D188" t="e">
        <f>VLOOKUP(C188,Lookup!$K$5:$L$12,2,FALSE)</f>
        <v>#N/A</v>
      </c>
      <c r="E188" t="e">
        <f>IF(D188=Lookup!$L$5,E187+1,E187)</f>
        <v>#N/A</v>
      </c>
      <c r="F188" s="3" t="e">
        <f>INDEX(views[Entities count],MATCH('view-code'!E188,views[object_id order],0))</f>
        <v>#N/A</v>
      </c>
      <c r="G188" t="e">
        <f>IF(D187=Lookup!$L$10,1,IF(D187=Lookup!$L$11,G187+1,""))</f>
        <v>#N/A</v>
      </c>
      <c r="H188" t="e">
        <f>IF(F188=1,IF(D188=Lookup!$L$10,2,1),IF(G188&lt;F188-1,0,1))</f>
        <v>#N/A</v>
      </c>
      <c r="I188" t="e">
        <f>IF(D188&lt;&gt;Lookup!$L$7,0,IF(INDEX(views[name],MATCH(E188,views[object_id order],0))&lt;&gt;"",0,1))</f>
        <v>#N/A</v>
      </c>
      <c r="J188" t="e">
        <f>IF(D188&lt;&gt;Lookup!$L$7,0,IF(INDEX(views[icon],MATCH(E188,views[object_id order],0))&lt;&gt;"",0,1))</f>
        <v>#N/A</v>
      </c>
      <c r="K188" t="e">
        <f>IF($D188=Lookup!$L$6,INDEX(views[object_id],MATCH($E188,views[object_id order],0)),"")</f>
        <v>#N/A</v>
      </c>
      <c r="L188" t="e">
        <f>IF($D188=Lookup!$L$8,INDEX(views[name],MATCH($E188,views[object_id order],0)),"")</f>
        <v>#N/A</v>
      </c>
      <c r="M188" t="e">
        <f>IF($D188=Lookup!$L$9,INDEX(views[icon],MATCH($E188,views[object_id order],0)),"")</f>
        <v>#N/A</v>
      </c>
      <c r="N188" t="e">
        <f>IF(OR(D188=Lookup!$L$11,D188=Lookup!$L$12),INDEX(views[[1]:[25]],MATCH($E188,views[object_id order],0),G188),"")</f>
        <v>#N/A</v>
      </c>
      <c r="O188" t="str">
        <f t="shared" si="7"/>
        <v/>
      </c>
      <c r="P188" s="8" t="e">
        <f>INDEX(Lookup!$M$5:$M$12,MATCH(D188,Lookup!$L$5:$L$12,0))&amp;
K188&amp;L188&amp;M188&amp;N188&amp;
INDEX(Lookup!$N$5:$N$12,MATCH(D188,Lookup!$L$5:$L$12,0))</f>
        <v>#N/A</v>
      </c>
    </row>
    <row r="189" spans="2:16" x14ac:dyDescent="0.45">
      <c r="B189">
        <f t="shared" si="6"/>
        <v>187</v>
      </c>
      <c r="C189" t="e">
        <f t="shared" si="8"/>
        <v>#N/A</v>
      </c>
      <c r="D189" t="e">
        <f>VLOOKUP(C189,Lookup!$K$5:$L$12,2,FALSE)</f>
        <v>#N/A</v>
      </c>
      <c r="E189" t="e">
        <f>IF(D189=Lookup!$L$5,E188+1,E188)</f>
        <v>#N/A</v>
      </c>
      <c r="F189" s="3" t="e">
        <f>INDEX(views[Entities count],MATCH('view-code'!E189,views[object_id order],0))</f>
        <v>#N/A</v>
      </c>
      <c r="G189" t="e">
        <f>IF(D188=Lookup!$L$10,1,IF(D188=Lookup!$L$11,G188+1,""))</f>
        <v>#N/A</v>
      </c>
      <c r="H189" t="e">
        <f>IF(F189=1,IF(D189=Lookup!$L$10,2,1),IF(G189&lt;F189-1,0,1))</f>
        <v>#N/A</v>
      </c>
      <c r="I189" t="e">
        <f>IF(D189&lt;&gt;Lookup!$L$7,0,IF(INDEX(views[name],MATCH(E189,views[object_id order],0))&lt;&gt;"",0,1))</f>
        <v>#N/A</v>
      </c>
      <c r="J189" t="e">
        <f>IF(D189&lt;&gt;Lookup!$L$7,0,IF(INDEX(views[icon],MATCH(E189,views[object_id order],0))&lt;&gt;"",0,1))</f>
        <v>#N/A</v>
      </c>
      <c r="K189" t="e">
        <f>IF($D189=Lookup!$L$6,INDEX(views[object_id],MATCH($E189,views[object_id order],0)),"")</f>
        <v>#N/A</v>
      </c>
      <c r="L189" t="e">
        <f>IF($D189=Lookup!$L$8,INDEX(views[name],MATCH($E189,views[object_id order],0)),"")</f>
        <v>#N/A</v>
      </c>
      <c r="M189" t="e">
        <f>IF($D189=Lookup!$L$9,INDEX(views[icon],MATCH($E189,views[object_id order],0)),"")</f>
        <v>#N/A</v>
      </c>
      <c r="N189" t="e">
        <f>IF(OR(D189=Lookup!$L$11,D189=Lookup!$L$12),INDEX(views[[1]:[25]],MATCH($E189,views[object_id order],0),G189),"")</f>
        <v>#N/A</v>
      </c>
      <c r="O189" t="str">
        <f t="shared" si="7"/>
        <v/>
      </c>
      <c r="P189" s="8" t="e">
        <f>INDEX(Lookup!$M$5:$M$12,MATCH(D189,Lookup!$L$5:$L$12,0))&amp;
K189&amp;L189&amp;M189&amp;N189&amp;
INDEX(Lookup!$N$5:$N$12,MATCH(D189,Lookup!$L$5:$L$12,0))</f>
        <v>#N/A</v>
      </c>
    </row>
    <row r="190" spans="2:16" x14ac:dyDescent="0.45">
      <c r="B190">
        <f t="shared" si="6"/>
        <v>188</v>
      </c>
      <c r="C190" t="e">
        <f t="shared" si="8"/>
        <v>#N/A</v>
      </c>
      <c r="D190" t="e">
        <f>VLOOKUP(C190,Lookup!$K$5:$L$12,2,FALSE)</f>
        <v>#N/A</v>
      </c>
      <c r="E190" t="e">
        <f>IF(D190=Lookup!$L$5,E189+1,E189)</f>
        <v>#N/A</v>
      </c>
      <c r="F190" s="3" t="e">
        <f>INDEX(views[Entities count],MATCH('view-code'!E190,views[object_id order],0))</f>
        <v>#N/A</v>
      </c>
      <c r="G190" t="e">
        <f>IF(D189=Lookup!$L$10,1,IF(D189=Lookup!$L$11,G189+1,""))</f>
        <v>#N/A</v>
      </c>
      <c r="H190" t="e">
        <f>IF(F190=1,IF(D190=Lookup!$L$10,2,1),IF(G190&lt;F190-1,0,1))</f>
        <v>#N/A</v>
      </c>
      <c r="I190" t="e">
        <f>IF(D190&lt;&gt;Lookup!$L$7,0,IF(INDEX(views[name],MATCH(E190,views[object_id order],0))&lt;&gt;"",0,1))</f>
        <v>#N/A</v>
      </c>
      <c r="J190" t="e">
        <f>IF(D190&lt;&gt;Lookup!$L$7,0,IF(INDEX(views[icon],MATCH(E190,views[object_id order],0))&lt;&gt;"",0,1))</f>
        <v>#N/A</v>
      </c>
      <c r="K190" t="e">
        <f>IF($D190=Lookup!$L$6,INDEX(views[object_id],MATCH($E190,views[object_id order],0)),"")</f>
        <v>#N/A</v>
      </c>
      <c r="L190" t="e">
        <f>IF($D190=Lookup!$L$8,INDEX(views[name],MATCH($E190,views[object_id order],0)),"")</f>
        <v>#N/A</v>
      </c>
      <c r="M190" t="e">
        <f>IF($D190=Lookup!$L$9,INDEX(views[icon],MATCH($E190,views[object_id order],0)),"")</f>
        <v>#N/A</v>
      </c>
      <c r="N190" t="e">
        <f>IF(OR(D190=Lookup!$L$11,D190=Lookup!$L$12),INDEX(views[[1]:[25]],MATCH($E190,views[object_id order],0),G190),"")</f>
        <v>#N/A</v>
      </c>
      <c r="O190" t="str">
        <f t="shared" si="7"/>
        <v/>
      </c>
      <c r="P190" s="8" t="e">
        <f>INDEX(Lookup!$M$5:$M$12,MATCH(D190,Lookup!$L$5:$L$12,0))&amp;
K190&amp;L190&amp;M190&amp;N190&amp;
INDEX(Lookup!$N$5:$N$12,MATCH(D190,Lookup!$L$5:$L$12,0))</f>
        <v>#N/A</v>
      </c>
    </row>
    <row r="191" spans="2:16" x14ac:dyDescent="0.45">
      <c r="B191">
        <f t="shared" si="6"/>
        <v>189</v>
      </c>
      <c r="C191" t="e">
        <f t="shared" si="8"/>
        <v>#N/A</v>
      </c>
      <c r="D191" t="e">
        <f>VLOOKUP(C191,Lookup!$K$5:$L$12,2,FALSE)</f>
        <v>#N/A</v>
      </c>
      <c r="E191" t="e">
        <f>IF(D191=Lookup!$L$5,E190+1,E190)</f>
        <v>#N/A</v>
      </c>
      <c r="F191" s="3" t="e">
        <f>INDEX(views[Entities count],MATCH('view-code'!E191,views[object_id order],0))</f>
        <v>#N/A</v>
      </c>
      <c r="G191" t="e">
        <f>IF(D190=Lookup!$L$10,1,IF(D190=Lookup!$L$11,G190+1,""))</f>
        <v>#N/A</v>
      </c>
      <c r="H191" t="e">
        <f>IF(F191=1,IF(D191=Lookup!$L$10,2,1),IF(G191&lt;F191-1,0,1))</f>
        <v>#N/A</v>
      </c>
      <c r="I191" t="e">
        <f>IF(D191&lt;&gt;Lookup!$L$7,0,IF(INDEX(views[name],MATCH(E191,views[object_id order],0))&lt;&gt;"",0,1))</f>
        <v>#N/A</v>
      </c>
      <c r="J191" t="e">
        <f>IF(D191&lt;&gt;Lookup!$L$7,0,IF(INDEX(views[icon],MATCH(E191,views[object_id order],0))&lt;&gt;"",0,1))</f>
        <v>#N/A</v>
      </c>
      <c r="K191" t="e">
        <f>IF($D191=Lookup!$L$6,INDEX(views[object_id],MATCH($E191,views[object_id order],0)),"")</f>
        <v>#N/A</v>
      </c>
      <c r="L191" t="e">
        <f>IF($D191=Lookup!$L$8,INDEX(views[name],MATCH($E191,views[object_id order],0)),"")</f>
        <v>#N/A</v>
      </c>
      <c r="M191" t="e">
        <f>IF($D191=Lookup!$L$9,INDEX(views[icon],MATCH($E191,views[object_id order],0)),"")</f>
        <v>#N/A</v>
      </c>
      <c r="N191" t="e">
        <f>IF(OR(D191=Lookup!$L$11,D191=Lookup!$L$12),INDEX(views[[1]:[25]],MATCH($E191,views[object_id order],0),G191),"")</f>
        <v>#N/A</v>
      </c>
      <c r="O191" t="str">
        <f t="shared" si="7"/>
        <v/>
      </c>
      <c r="P191" s="8" t="e">
        <f>INDEX(Lookup!$M$5:$M$12,MATCH(D191,Lookup!$L$5:$L$12,0))&amp;
K191&amp;L191&amp;M191&amp;N191&amp;
INDEX(Lookup!$N$5:$N$12,MATCH(D191,Lookup!$L$5:$L$12,0))</f>
        <v>#N/A</v>
      </c>
    </row>
    <row r="192" spans="2:16" x14ac:dyDescent="0.45">
      <c r="B192">
        <f t="shared" si="6"/>
        <v>190</v>
      </c>
      <c r="C192" t="e">
        <f t="shared" si="8"/>
        <v>#N/A</v>
      </c>
      <c r="D192" t="e">
        <f>VLOOKUP(C192,Lookup!$K$5:$L$12,2,FALSE)</f>
        <v>#N/A</v>
      </c>
      <c r="E192" t="e">
        <f>IF(D192=Lookup!$L$5,E191+1,E191)</f>
        <v>#N/A</v>
      </c>
      <c r="F192" s="3" t="e">
        <f>INDEX(views[Entities count],MATCH('view-code'!E192,views[object_id order],0))</f>
        <v>#N/A</v>
      </c>
      <c r="G192" t="e">
        <f>IF(D191=Lookup!$L$10,1,IF(D191=Lookup!$L$11,G191+1,""))</f>
        <v>#N/A</v>
      </c>
      <c r="H192" t="e">
        <f>IF(F192=1,IF(D192=Lookup!$L$10,2,1),IF(G192&lt;F192-1,0,1))</f>
        <v>#N/A</v>
      </c>
      <c r="I192" t="e">
        <f>IF(D192&lt;&gt;Lookup!$L$7,0,IF(INDEX(views[name],MATCH(E192,views[object_id order],0))&lt;&gt;"",0,1))</f>
        <v>#N/A</v>
      </c>
      <c r="J192" t="e">
        <f>IF(D192&lt;&gt;Lookup!$L$7,0,IF(INDEX(views[icon],MATCH(E192,views[object_id order],0))&lt;&gt;"",0,1))</f>
        <v>#N/A</v>
      </c>
      <c r="K192" t="e">
        <f>IF($D192=Lookup!$L$6,INDEX(views[object_id],MATCH($E192,views[object_id order],0)),"")</f>
        <v>#N/A</v>
      </c>
      <c r="L192" t="e">
        <f>IF($D192=Lookup!$L$8,INDEX(views[name],MATCH($E192,views[object_id order],0)),"")</f>
        <v>#N/A</v>
      </c>
      <c r="M192" t="e">
        <f>IF($D192=Lookup!$L$9,INDEX(views[icon],MATCH($E192,views[object_id order],0)),"")</f>
        <v>#N/A</v>
      </c>
      <c r="N192" t="e">
        <f>IF(OR(D192=Lookup!$L$11,D192=Lookup!$L$12),INDEX(views[[1]:[25]],MATCH($E192,views[object_id order],0),G192),"")</f>
        <v>#N/A</v>
      </c>
      <c r="O192" t="str">
        <f t="shared" si="7"/>
        <v/>
      </c>
      <c r="P192" s="8" t="e">
        <f>INDEX(Lookup!$M$5:$M$12,MATCH(D192,Lookup!$L$5:$L$12,0))&amp;
K192&amp;L192&amp;M192&amp;N192&amp;
INDEX(Lookup!$N$5:$N$12,MATCH(D192,Lookup!$L$5:$L$12,0))</f>
        <v>#N/A</v>
      </c>
    </row>
    <row r="193" spans="2:16" x14ac:dyDescent="0.45">
      <c r="B193">
        <f t="shared" si="6"/>
        <v>191</v>
      </c>
      <c r="C193" t="e">
        <f t="shared" si="8"/>
        <v>#N/A</v>
      </c>
      <c r="D193" t="e">
        <f>VLOOKUP(C193,Lookup!$K$5:$L$12,2,FALSE)</f>
        <v>#N/A</v>
      </c>
      <c r="E193" t="e">
        <f>IF(D193=Lookup!$L$5,E192+1,E192)</f>
        <v>#N/A</v>
      </c>
      <c r="F193" s="3" t="e">
        <f>INDEX(views[Entities count],MATCH('view-code'!E193,views[object_id order],0))</f>
        <v>#N/A</v>
      </c>
      <c r="G193" t="e">
        <f>IF(D192=Lookup!$L$10,1,IF(D192=Lookup!$L$11,G192+1,""))</f>
        <v>#N/A</v>
      </c>
      <c r="H193" t="e">
        <f>IF(F193=1,IF(D193=Lookup!$L$10,2,1),IF(G193&lt;F193-1,0,1))</f>
        <v>#N/A</v>
      </c>
      <c r="I193" t="e">
        <f>IF(D193&lt;&gt;Lookup!$L$7,0,IF(INDEX(views[name],MATCH(E193,views[object_id order],0))&lt;&gt;"",0,1))</f>
        <v>#N/A</v>
      </c>
      <c r="J193" t="e">
        <f>IF(D193&lt;&gt;Lookup!$L$7,0,IF(INDEX(views[icon],MATCH(E193,views[object_id order],0))&lt;&gt;"",0,1))</f>
        <v>#N/A</v>
      </c>
      <c r="K193" t="e">
        <f>IF($D193=Lookup!$L$6,INDEX(views[object_id],MATCH($E193,views[object_id order],0)),"")</f>
        <v>#N/A</v>
      </c>
      <c r="L193" t="e">
        <f>IF($D193=Lookup!$L$8,INDEX(views[name],MATCH($E193,views[object_id order],0)),"")</f>
        <v>#N/A</v>
      </c>
      <c r="M193" t="e">
        <f>IF($D193=Lookup!$L$9,INDEX(views[icon],MATCH($E193,views[object_id order],0)),"")</f>
        <v>#N/A</v>
      </c>
      <c r="N193" t="e">
        <f>IF(OR(D193=Lookup!$L$11,D193=Lookup!$L$12),INDEX(views[[1]:[25]],MATCH($E193,views[object_id order],0),G193),"")</f>
        <v>#N/A</v>
      </c>
      <c r="O193" t="str">
        <f t="shared" si="7"/>
        <v/>
      </c>
      <c r="P193" s="8" t="e">
        <f>INDEX(Lookup!$M$5:$M$12,MATCH(D193,Lookup!$L$5:$L$12,0))&amp;
K193&amp;L193&amp;M193&amp;N193&amp;
INDEX(Lookup!$N$5:$N$12,MATCH(D193,Lookup!$L$5:$L$12,0))</f>
        <v>#N/A</v>
      </c>
    </row>
    <row r="194" spans="2:16" x14ac:dyDescent="0.45">
      <c r="B194">
        <f t="shared" si="6"/>
        <v>192</v>
      </c>
      <c r="C194" t="e">
        <f t="shared" si="8"/>
        <v>#N/A</v>
      </c>
      <c r="D194" t="e">
        <f>VLOOKUP(C194,Lookup!$K$5:$L$12,2,FALSE)</f>
        <v>#N/A</v>
      </c>
      <c r="E194" t="e">
        <f>IF(D194=Lookup!$L$5,E193+1,E193)</f>
        <v>#N/A</v>
      </c>
      <c r="F194" s="3" t="e">
        <f>INDEX(views[Entities count],MATCH('view-code'!E194,views[object_id order],0))</f>
        <v>#N/A</v>
      </c>
      <c r="G194" t="e">
        <f>IF(D193=Lookup!$L$10,1,IF(D193=Lookup!$L$11,G193+1,""))</f>
        <v>#N/A</v>
      </c>
      <c r="H194" t="e">
        <f>IF(F194=1,IF(D194=Lookup!$L$10,2,1),IF(G194&lt;F194-1,0,1))</f>
        <v>#N/A</v>
      </c>
      <c r="I194" t="e">
        <f>IF(D194&lt;&gt;Lookup!$L$7,0,IF(INDEX(views[name],MATCH(E194,views[object_id order],0))&lt;&gt;"",0,1))</f>
        <v>#N/A</v>
      </c>
      <c r="J194" t="e">
        <f>IF(D194&lt;&gt;Lookup!$L$7,0,IF(INDEX(views[icon],MATCH(E194,views[object_id order],0))&lt;&gt;"",0,1))</f>
        <v>#N/A</v>
      </c>
      <c r="K194" t="e">
        <f>IF($D194=Lookup!$L$6,INDEX(views[object_id],MATCH($E194,views[object_id order],0)),"")</f>
        <v>#N/A</v>
      </c>
      <c r="L194" t="e">
        <f>IF($D194=Lookup!$L$8,INDEX(views[name],MATCH($E194,views[object_id order],0)),"")</f>
        <v>#N/A</v>
      </c>
      <c r="M194" t="e">
        <f>IF($D194=Lookup!$L$9,INDEX(views[icon],MATCH($E194,views[object_id order],0)),"")</f>
        <v>#N/A</v>
      </c>
      <c r="N194" t="e">
        <f>IF(OR(D194=Lookup!$L$11,D194=Lookup!$L$12),INDEX(views[[1]:[25]],MATCH($E194,views[object_id order],0),G194),"")</f>
        <v>#N/A</v>
      </c>
      <c r="O194" t="str">
        <f t="shared" si="7"/>
        <v/>
      </c>
      <c r="P194" s="8" t="e">
        <f>INDEX(Lookup!$M$5:$M$12,MATCH(D194,Lookup!$L$5:$L$12,0))&amp;
K194&amp;L194&amp;M194&amp;N194&amp;
INDEX(Lookup!$N$5:$N$12,MATCH(D194,Lookup!$L$5:$L$12,0))</f>
        <v>#N/A</v>
      </c>
    </row>
    <row r="195" spans="2:16" x14ac:dyDescent="0.45">
      <c r="B195">
        <f t="shared" si="6"/>
        <v>193</v>
      </c>
      <c r="C195" t="e">
        <f t="shared" si="8"/>
        <v>#N/A</v>
      </c>
      <c r="D195" t="e">
        <f>VLOOKUP(C195,Lookup!$K$5:$L$12,2,FALSE)</f>
        <v>#N/A</v>
      </c>
      <c r="E195" t="e">
        <f>IF(D195=Lookup!$L$5,E194+1,E194)</f>
        <v>#N/A</v>
      </c>
      <c r="F195" s="3" t="e">
        <f>INDEX(views[Entities count],MATCH('view-code'!E195,views[object_id order],0))</f>
        <v>#N/A</v>
      </c>
      <c r="G195" t="e">
        <f>IF(D194=Lookup!$L$10,1,IF(D194=Lookup!$L$11,G194+1,""))</f>
        <v>#N/A</v>
      </c>
      <c r="H195" t="e">
        <f>IF(F195=1,IF(D195=Lookup!$L$10,2,1),IF(G195&lt;F195-1,0,1))</f>
        <v>#N/A</v>
      </c>
      <c r="I195" t="e">
        <f>IF(D195&lt;&gt;Lookup!$L$7,0,IF(INDEX(views[name],MATCH(E195,views[object_id order],0))&lt;&gt;"",0,1))</f>
        <v>#N/A</v>
      </c>
      <c r="J195" t="e">
        <f>IF(D195&lt;&gt;Lookup!$L$7,0,IF(INDEX(views[icon],MATCH(E195,views[object_id order],0))&lt;&gt;"",0,1))</f>
        <v>#N/A</v>
      </c>
      <c r="K195" t="e">
        <f>IF($D195=Lookup!$L$6,INDEX(views[object_id],MATCH($E195,views[object_id order],0)),"")</f>
        <v>#N/A</v>
      </c>
      <c r="L195" t="e">
        <f>IF($D195=Lookup!$L$8,INDEX(views[name],MATCH($E195,views[object_id order],0)),"")</f>
        <v>#N/A</v>
      </c>
      <c r="M195" t="e">
        <f>IF($D195=Lookup!$L$9,INDEX(views[icon],MATCH($E195,views[object_id order],0)),"")</f>
        <v>#N/A</v>
      </c>
      <c r="N195" t="e">
        <f>IF(OR(D195=Lookup!$L$11,D195=Lookup!$L$12),INDEX(views[[1]:[25]],MATCH($E195,views[object_id order],0),G195),"")</f>
        <v>#N/A</v>
      </c>
      <c r="O195" t="str">
        <f t="shared" si="7"/>
        <v/>
      </c>
      <c r="P195" s="8" t="e">
        <f>INDEX(Lookup!$M$5:$M$12,MATCH(D195,Lookup!$L$5:$L$12,0))&amp;
K195&amp;L195&amp;M195&amp;N195&amp;
INDEX(Lookup!$N$5:$N$12,MATCH(D195,Lookup!$L$5:$L$12,0))</f>
        <v>#N/A</v>
      </c>
    </row>
    <row r="196" spans="2:16" x14ac:dyDescent="0.45">
      <c r="B196">
        <f t="shared" si="6"/>
        <v>194</v>
      </c>
      <c r="C196" t="e">
        <f t="shared" si="8"/>
        <v>#N/A</v>
      </c>
      <c r="D196" t="e">
        <f>VLOOKUP(C196,Lookup!$K$5:$L$12,2,FALSE)</f>
        <v>#N/A</v>
      </c>
      <c r="E196" t="e">
        <f>IF(D196=Lookup!$L$5,E195+1,E195)</f>
        <v>#N/A</v>
      </c>
      <c r="F196" s="3" t="e">
        <f>INDEX(views[Entities count],MATCH('view-code'!E196,views[object_id order],0))</f>
        <v>#N/A</v>
      </c>
      <c r="G196" t="e">
        <f>IF(D195=Lookup!$L$10,1,IF(D195=Lookup!$L$11,G195+1,""))</f>
        <v>#N/A</v>
      </c>
      <c r="H196" t="e">
        <f>IF(F196=1,IF(D196=Lookup!$L$10,2,1),IF(G196&lt;F196-1,0,1))</f>
        <v>#N/A</v>
      </c>
      <c r="I196" t="e">
        <f>IF(D196&lt;&gt;Lookup!$L$7,0,IF(INDEX(views[name],MATCH(E196,views[object_id order],0))&lt;&gt;"",0,1))</f>
        <v>#N/A</v>
      </c>
      <c r="J196" t="e">
        <f>IF(D196&lt;&gt;Lookup!$L$7,0,IF(INDEX(views[icon],MATCH(E196,views[object_id order],0))&lt;&gt;"",0,1))</f>
        <v>#N/A</v>
      </c>
      <c r="K196" t="e">
        <f>IF($D196=Lookup!$L$6,INDEX(views[object_id],MATCH($E196,views[object_id order],0)),"")</f>
        <v>#N/A</v>
      </c>
      <c r="L196" t="e">
        <f>IF($D196=Lookup!$L$8,INDEX(views[name],MATCH($E196,views[object_id order],0)),"")</f>
        <v>#N/A</v>
      </c>
      <c r="M196" t="e">
        <f>IF($D196=Lookup!$L$9,INDEX(views[icon],MATCH($E196,views[object_id order],0)),"")</f>
        <v>#N/A</v>
      </c>
      <c r="N196" t="e">
        <f>IF(OR(D196=Lookup!$L$11,D196=Lookup!$L$12),INDEX(views[[1]:[25]],MATCH($E196,views[object_id order],0),G196),"")</f>
        <v>#N/A</v>
      </c>
      <c r="O196" t="str">
        <f t="shared" si="7"/>
        <v/>
      </c>
      <c r="P196" s="8" t="e">
        <f>INDEX(Lookup!$M$5:$M$12,MATCH(D196,Lookup!$L$5:$L$12,0))&amp;
K196&amp;L196&amp;M196&amp;N196&amp;
INDEX(Lookup!$N$5:$N$12,MATCH(D196,Lookup!$L$5:$L$12,0))</f>
        <v>#N/A</v>
      </c>
    </row>
    <row r="197" spans="2:16" x14ac:dyDescent="0.45">
      <c r="B197">
        <f t="shared" ref="B197:B260" si="9">B196+1</f>
        <v>195</v>
      </c>
      <c r="C197" t="e">
        <f t="shared" si="8"/>
        <v>#N/A</v>
      </c>
      <c r="D197" t="e">
        <f>VLOOKUP(C197,Lookup!$K$5:$L$12,2,FALSE)</f>
        <v>#N/A</v>
      </c>
      <c r="E197" t="e">
        <f>IF(D197=Lookup!$L$5,E196+1,E196)</f>
        <v>#N/A</v>
      </c>
      <c r="F197" s="3" t="e">
        <f>INDEX(views[Entities count],MATCH('view-code'!E197,views[object_id order],0))</f>
        <v>#N/A</v>
      </c>
      <c r="G197" t="e">
        <f>IF(D196=Lookup!$L$10,1,IF(D196=Lookup!$L$11,G196+1,""))</f>
        <v>#N/A</v>
      </c>
      <c r="H197" t="e">
        <f>IF(F197=1,IF(D197=Lookup!$L$10,2,1),IF(G197&lt;F197-1,0,1))</f>
        <v>#N/A</v>
      </c>
      <c r="I197" t="e">
        <f>IF(D197&lt;&gt;Lookup!$L$7,0,IF(INDEX(views[name],MATCH(E197,views[object_id order],0))&lt;&gt;"",0,1))</f>
        <v>#N/A</v>
      </c>
      <c r="J197" t="e">
        <f>IF(D197&lt;&gt;Lookup!$L$7,0,IF(INDEX(views[icon],MATCH(E197,views[object_id order],0))&lt;&gt;"",0,1))</f>
        <v>#N/A</v>
      </c>
      <c r="K197" t="e">
        <f>IF($D197=Lookup!$L$6,INDEX(views[object_id],MATCH($E197,views[object_id order],0)),"")</f>
        <v>#N/A</v>
      </c>
      <c r="L197" t="e">
        <f>IF($D197=Lookup!$L$8,INDEX(views[name],MATCH($E197,views[object_id order],0)),"")</f>
        <v>#N/A</v>
      </c>
      <c r="M197" t="e">
        <f>IF($D197=Lookup!$L$9,INDEX(views[icon],MATCH($E197,views[object_id order],0)),"")</f>
        <v>#N/A</v>
      </c>
      <c r="N197" t="e">
        <f>IF(OR(D197=Lookup!$L$11,D197=Lookup!$L$12),INDEX(views[[1]:[25]],MATCH($E197,views[object_id order],0),G197),"")</f>
        <v>#N/A</v>
      </c>
      <c r="O197" t="str">
        <f t="shared" ref="O197:O260" si="10">IF(AND(NOT(ISNA(F196)),ISNA(F197)),"END","")</f>
        <v/>
      </c>
      <c r="P197" s="8" t="e">
        <f>INDEX(Lookup!$M$5:$M$12,MATCH(D197,Lookup!$L$5:$L$12,0))&amp;
K197&amp;L197&amp;M197&amp;N197&amp;
INDEX(Lookup!$N$5:$N$12,MATCH(D197,Lookup!$L$5:$L$12,0))</f>
        <v>#N/A</v>
      </c>
    </row>
    <row r="198" spans="2:16" x14ac:dyDescent="0.45">
      <c r="B198">
        <f t="shared" si="9"/>
        <v>196</v>
      </c>
      <c r="C198" t="e">
        <f t="shared" si="8"/>
        <v>#N/A</v>
      </c>
      <c r="D198" t="e">
        <f>VLOOKUP(C198,Lookup!$K$5:$L$12,2,FALSE)</f>
        <v>#N/A</v>
      </c>
      <c r="E198" t="e">
        <f>IF(D198=Lookup!$L$5,E197+1,E197)</f>
        <v>#N/A</v>
      </c>
      <c r="F198" s="3" t="e">
        <f>INDEX(views[Entities count],MATCH('view-code'!E198,views[object_id order],0))</f>
        <v>#N/A</v>
      </c>
      <c r="G198" t="e">
        <f>IF(D197=Lookup!$L$10,1,IF(D197=Lookup!$L$11,G197+1,""))</f>
        <v>#N/A</v>
      </c>
      <c r="H198" t="e">
        <f>IF(F198=1,IF(D198=Lookup!$L$10,2,1),IF(G198&lt;F198-1,0,1))</f>
        <v>#N/A</v>
      </c>
      <c r="I198" t="e">
        <f>IF(D198&lt;&gt;Lookup!$L$7,0,IF(INDEX(views[name],MATCH(E198,views[object_id order],0))&lt;&gt;"",0,1))</f>
        <v>#N/A</v>
      </c>
      <c r="J198" t="e">
        <f>IF(D198&lt;&gt;Lookup!$L$7,0,IF(INDEX(views[icon],MATCH(E198,views[object_id order],0))&lt;&gt;"",0,1))</f>
        <v>#N/A</v>
      </c>
      <c r="K198" t="e">
        <f>IF($D198=Lookup!$L$6,INDEX(views[object_id],MATCH($E198,views[object_id order],0)),"")</f>
        <v>#N/A</v>
      </c>
      <c r="L198" t="e">
        <f>IF($D198=Lookup!$L$8,INDEX(views[name],MATCH($E198,views[object_id order],0)),"")</f>
        <v>#N/A</v>
      </c>
      <c r="M198" t="e">
        <f>IF($D198=Lookup!$L$9,INDEX(views[icon],MATCH($E198,views[object_id order],0)),"")</f>
        <v>#N/A</v>
      </c>
      <c r="N198" t="e">
        <f>IF(OR(D198=Lookup!$L$11,D198=Lookup!$L$12),INDEX(views[[1]:[25]],MATCH($E198,views[object_id order],0),G198),"")</f>
        <v>#N/A</v>
      </c>
      <c r="O198" t="str">
        <f t="shared" si="10"/>
        <v/>
      </c>
      <c r="P198" s="8" t="e">
        <f>INDEX(Lookup!$M$5:$M$12,MATCH(D198,Lookup!$L$5:$L$12,0))&amp;
K198&amp;L198&amp;M198&amp;N198&amp;
INDEX(Lookup!$N$5:$N$12,MATCH(D198,Lookup!$L$5:$L$12,0))</f>
        <v>#N/A</v>
      </c>
    </row>
    <row r="199" spans="2:16" x14ac:dyDescent="0.45">
      <c r="B199">
        <f t="shared" si="9"/>
        <v>197</v>
      </c>
      <c r="C199" t="e">
        <f t="shared" ref="C199:C262" si="11">IF(C198=8,  1,  C198+SUM(H198:J198)  )</f>
        <v>#N/A</v>
      </c>
      <c r="D199" t="e">
        <f>VLOOKUP(C199,Lookup!$K$5:$L$12,2,FALSE)</f>
        <v>#N/A</v>
      </c>
      <c r="E199" t="e">
        <f>IF(D199=Lookup!$L$5,E198+1,E198)</f>
        <v>#N/A</v>
      </c>
      <c r="F199" s="3" t="e">
        <f>INDEX(views[Entities count],MATCH('view-code'!E199,views[object_id order],0))</f>
        <v>#N/A</v>
      </c>
      <c r="G199" t="e">
        <f>IF(D198=Lookup!$L$10,1,IF(D198=Lookup!$L$11,G198+1,""))</f>
        <v>#N/A</v>
      </c>
      <c r="H199" t="e">
        <f>IF(F199=1,IF(D199=Lookup!$L$10,2,1),IF(G199&lt;F199-1,0,1))</f>
        <v>#N/A</v>
      </c>
      <c r="I199" t="e">
        <f>IF(D199&lt;&gt;Lookup!$L$7,0,IF(INDEX(views[name],MATCH(E199,views[object_id order],0))&lt;&gt;"",0,1))</f>
        <v>#N/A</v>
      </c>
      <c r="J199" t="e">
        <f>IF(D199&lt;&gt;Lookup!$L$7,0,IF(INDEX(views[icon],MATCH(E199,views[object_id order],0))&lt;&gt;"",0,1))</f>
        <v>#N/A</v>
      </c>
      <c r="K199" t="e">
        <f>IF($D199=Lookup!$L$6,INDEX(views[object_id],MATCH($E199,views[object_id order],0)),"")</f>
        <v>#N/A</v>
      </c>
      <c r="L199" t="e">
        <f>IF($D199=Lookup!$L$8,INDEX(views[name],MATCH($E199,views[object_id order],0)),"")</f>
        <v>#N/A</v>
      </c>
      <c r="M199" t="e">
        <f>IF($D199=Lookup!$L$9,INDEX(views[icon],MATCH($E199,views[object_id order],0)),"")</f>
        <v>#N/A</v>
      </c>
      <c r="N199" t="e">
        <f>IF(OR(D199=Lookup!$L$11,D199=Lookup!$L$12),INDEX(views[[1]:[25]],MATCH($E199,views[object_id order],0),G199),"")</f>
        <v>#N/A</v>
      </c>
      <c r="O199" t="str">
        <f t="shared" si="10"/>
        <v/>
      </c>
      <c r="P199" s="8" t="e">
        <f>INDEX(Lookup!$M$5:$M$12,MATCH(D199,Lookup!$L$5:$L$12,0))&amp;
K199&amp;L199&amp;M199&amp;N199&amp;
INDEX(Lookup!$N$5:$N$12,MATCH(D199,Lookup!$L$5:$L$12,0))</f>
        <v>#N/A</v>
      </c>
    </row>
    <row r="200" spans="2:16" x14ac:dyDescent="0.45">
      <c r="B200">
        <f t="shared" si="9"/>
        <v>198</v>
      </c>
      <c r="C200" t="e">
        <f t="shared" si="11"/>
        <v>#N/A</v>
      </c>
      <c r="D200" t="e">
        <f>VLOOKUP(C200,Lookup!$K$5:$L$12,2,FALSE)</f>
        <v>#N/A</v>
      </c>
      <c r="E200" t="e">
        <f>IF(D200=Lookup!$L$5,E199+1,E199)</f>
        <v>#N/A</v>
      </c>
      <c r="F200" s="3" t="e">
        <f>INDEX(views[Entities count],MATCH('view-code'!E200,views[object_id order],0))</f>
        <v>#N/A</v>
      </c>
      <c r="G200" t="e">
        <f>IF(D199=Lookup!$L$10,1,IF(D199=Lookup!$L$11,G199+1,""))</f>
        <v>#N/A</v>
      </c>
      <c r="H200" t="e">
        <f>IF(F200=1,IF(D200=Lookup!$L$10,2,1),IF(G200&lt;F200-1,0,1))</f>
        <v>#N/A</v>
      </c>
      <c r="I200" t="e">
        <f>IF(D200&lt;&gt;Lookup!$L$7,0,IF(INDEX(views[name],MATCH(E200,views[object_id order],0))&lt;&gt;"",0,1))</f>
        <v>#N/A</v>
      </c>
      <c r="J200" t="e">
        <f>IF(D200&lt;&gt;Lookup!$L$7,0,IF(INDEX(views[icon],MATCH(E200,views[object_id order],0))&lt;&gt;"",0,1))</f>
        <v>#N/A</v>
      </c>
      <c r="K200" t="e">
        <f>IF($D200=Lookup!$L$6,INDEX(views[object_id],MATCH($E200,views[object_id order],0)),"")</f>
        <v>#N/A</v>
      </c>
      <c r="L200" t="e">
        <f>IF($D200=Lookup!$L$8,INDEX(views[name],MATCH($E200,views[object_id order],0)),"")</f>
        <v>#N/A</v>
      </c>
      <c r="M200" t="e">
        <f>IF($D200=Lookup!$L$9,INDEX(views[icon],MATCH($E200,views[object_id order],0)),"")</f>
        <v>#N/A</v>
      </c>
      <c r="N200" t="e">
        <f>IF(OR(D200=Lookup!$L$11,D200=Lookup!$L$12),INDEX(views[[1]:[25]],MATCH($E200,views[object_id order],0),G200),"")</f>
        <v>#N/A</v>
      </c>
      <c r="O200" t="str">
        <f t="shared" si="10"/>
        <v/>
      </c>
      <c r="P200" s="8" t="e">
        <f>INDEX(Lookup!$M$5:$M$12,MATCH(D200,Lookup!$L$5:$L$12,0))&amp;
K200&amp;L200&amp;M200&amp;N200&amp;
INDEX(Lookup!$N$5:$N$12,MATCH(D200,Lookup!$L$5:$L$12,0))</f>
        <v>#N/A</v>
      </c>
    </row>
    <row r="201" spans="2:16" x14ac:dyDescent="0.45">
      <c r="B201">
        <f t="shared" si="9"/>
        <v>199</v>
      </c>
      <c r="C201" t="e">
        <f t="shared" si="11"/>
        <v>#N/A</v>
      </c>
      <c r="D201" t="e">
        <f>VLOOKUP(C201,Lookup!$K$5:$L$12,2,FALSE)</f>
        <v>#N/A</v>
      </c>
      <c r="E201" t="e">
        <f>IF(D201=Lookup!$L$5,E200+1,E200)</f>
        <v>#N/A</v>
      </c>
      <c r="F201" s="3" t="e">
        <f>INDEX(views[Entities count],MATCH('view-code'!E201,views[object_id order],0))</f>
        <v>#N/A</v>
      </c>
      <c r="G201" t="e">
        <f>IF(D200=Lookup!$L$10,1,IF(D200=Lookup!$L$11,G200+1,""))</f>
        <v>#N/A</v>
      </c>
      <c r="H201" t="e">
        <f>IF(F201=1,IF(D201=Lookup!$L$10,2,1),IF(G201&lt;F201-1,0,1))</f>
        <v>#N/A</v>
      </c>
      <c r="I201" t="e">
        <f>IF(D201&lt;&gt;Lookup!$L$7,0,IF(INDEX(views[name],MATCH(E201,views[object_id order],0))&lt;&gt;"",0,1))</f>
        <v>#N/A</v>
      </c>
      <c r="J201" t="e">
        <f>IF(D201&lt;&gt;Lookup!$L$7,0,IF(INDEX(views[icon],MATCH(E201,views[object_id order],0))&lt;&gt;"",0,1))</f>
        <v>#N/A</v>
      </c>
      <c r="K201" t="e">
        <f>IF($D201=Lookup!$L$6,INDEX(views[object_id],MATCH($E201,views[object_id order],0)),"")</f>
        <v>#N/A</v>
      </c>
      <c r="L201" t="e">
        <f>IF($D201=Lookup!$L$8,INDEX(views[name],MATCH($E201,views[object_id order],0)),"")</f>
        <v>#N/A</v>
      </c>
      <c r="M201" t="e">
        <f>IF($D201=Lookup!$L$9,INDEX(views[icon],MATCH($E201,views[object_id order],0)),"")</f>
        <v>#N/A</v>
      </c>
      <c r="N201" t="e">
        <f>IF(OR(D201=Lookup!$L$11,D201=Lookup!$L$12),INDEX(views[[1]:[25]],MATCH($E201,views[object_id order],0),G201),"")</f>
        <v>#N/A</v>
      </c>
      <c r="O201" t="str">
        <f t="shared" si="10"/>
        <v/>
      </c>
      <c r="P201" s="8" t="e">
        <f>INDEX(Lookup!$M$5:$M$12,MATCH(D201,Lookup!$L$5:$L$12,0))&amp;
K201&amp;L201&amp;M201&amp;N201&amp;
INDEX(Lookup!$N$5:$N$12,MATCH(D201,Lookup!$L$5:$L$12,0))</f>
        <v>#N/A</v>
      </c>
    </row>
    <row r="202" spans="2:16" x14ac:dyDescent="0.45">
      <c r="B202">
        <f t="shared" si="9"/>
        <v>200</v>
      </c>
      <c r="C202" t="e">
        <f t="shared" si="11"/>
        <v>#N/A</v>
      </c>
      <c r="D202" t="e">
        <f>VLOOKUP(C202,Lookup!$K$5:$L$12,2,FALSE)</f>
        <v>#N/A</v>
      </c>
      <c r="E202" t="e">
        <f>IF(D202=Lookup!$L$5,E201+1,E201)</f>
        <v>#N/A</v>
      </c>
      <c r="F202" s="3" t="e">
        <f>INDEX(views[Entities count],MATCH('view-code'!E202,views[object_id order],0))</f>
        <v>#N/A</v>
      </c>
      <c r="G202" t="e">
        <f>IF(D201=Lookup!$L$10,1,IF(D201=Lookup!$L$11,G201+1,""))</f>
        <v>#N/A</v>
      </c>
      <c r="H202" t="e">
        <f>IF(F202=1,IF(D202=Lookup!$L$10,2,1),IF(G202&lt;F202-1,0,1))</f>
        <v>#N/A</v>
      </c>
      <c r="I202" t="e">
        <f>IF(D202&lt;&gt;Lookup!$L$7,0,IF(INDEX(views[name],MATCH(E202,views[object_id order],0))&lt;&gt;"",0,1))</f>
        <v>#N/A</v>
      </c>
      <c r="J202" t="e">
        <f>IF(D202&lt;&gt;Lookup!$L$7,0,IF(INDEX(views[icon],MATCH(E202,views[object_id order],0))&lt;&gt;"",0,1))</f>
        <v>#N/A</v>
      </c>
      <c r="K202" t="e">
        <f>IF($D202=Lookup!$L$6,INDEX(views[object_id],MATCH($E202,views[object_id order],0)),"")</f>
        <v>#N/A</v>
      </c>
      <c r="L202" t="e">
        <f>IF($D202=Lookup!$L$8,INDEX(views[name],MATCH($E202,views[object_id order],0)),"")</f>
        <v>#N/A</v>
      </c>
      <c r="M202" t="e">
        <f>IF($D202=Lookup!$L$9,INDEX(views[icon],MATCH($E202,views[object_id order],0)),"")</f>
        <v>#N/A</v>
      </c>
      <c r="N202" t="e">
        <f>IF(OR(D202=Lookup!$L$11,D202=Lookup!$L$12),INDEX(views[[1]:[25]],MATCH($E202,views[object_id order],0),G202),"")</f>
        <v>#N/A</v>
      </c>
      <c r="O202" t="str">
        <f t="shared" si="10"/>
        <v/>
      </c>
      <c r="P202" s="8" t="e">
        <f>INDEX(Lookup!$M$5:$M$12,MATCH(D202,Lookup!$L$5:$L$12,0))&amp;
K202&amp;L202&amp;M202&amp;N202&amp;
INDEX(Lookup!$N$5:$N$12,MATCH(D202,Lookup!$L$5:$L$12,0))</f>
        <v>#N/A</v>
      </c>
    </row>
    <row r="203" spans="2:16" x14ac:dyDescent="0.45">
      <c r="B203">
        <f t="shared" si="9"/>
        <v>201</v>
      </c>
      <c r="C203" t="e">
        <f t="shared" si="11"/>
        <v>#N/A</v>
      </c>
      <c r="D203" t="e">
        <f>VLOOKUP(C203,Lookup!$K$5:$L$12,2,FALSE)</f>
        <v>#N/A</v>
      </c>
      <c r="E203" t="e">
        <f>IF(D203=Lookup!$L$5,E202+1,E202)</f>
        <v>#N/A</v>
      </c>
      <c r="F203" s="3" t="e">
        <f>INDEX(views[Entities count],MATCH('view-code'!E203,views[object_id order],0))</f>
        <v>#N/A</v>
      </c>
      <c r="G203" t="e">
        <f>IF(D202=Lookup!$L$10,1,IF(D202=Lookup!$L$11,G202+1,""))</f>
        <v>#N/A</v>
      </c>
      <c r="H203" t="e">
        <f>IF(F203=1,IF(D203=Lookup!$L$10,2,1),IF(G203&lt;F203-1,0,1))</f>
        <v>#N/A</v>
      </c>
      <c r="I203" t="e">
        <f>IF(D203&lt;&gt;Lookup!$L$7,0,IF(INDEX(views[name],MATCH(E203,views[object_id order],0))&lt;&gt;"",0,1))</f>
        <v>#N/A</v>
      </c>
      <c r="J203" t="e">
        <f>IF(D203&lt;&gt;Lookup!$L$7,0,IF(INDEX(views[icon],MATCH(E203,views[object_id order],0))&lt;&gt;"",0,1))</f>
        <v>#N/A</v>
      </c>
      <c r="K203" t="e">
        <f>IF($D203=Lookup!$L$6,INDEX(views[object_id],MATCH($E203,views[object_id order],0)),"")</f>
        <v>#N/A</v>
      </c>
      <c r="L203" t="e">
        <f>IF($D203=Lookup!$L$8,INDEX(views[name],MATCH($E203,views[object_id order],0)),"")</f>
        <v>#N/A</v>
      </c>
      <c r="M203" t="e">
        <f>IF($D203=Lookup!$L$9,INDEX(views[icon],MATCH($E203,views[object_id order],0)),"")</f>
        <v>#N/A</v>
      </c>
      <c r="N203" t="e">
        <f>IF(OR(D203=Lookup!$L$11,D203=Lookup!$L$12),INDEX(views[[1]:[25]],MATCH($E203,views[object_id order],0),G203),"")</f>
        <v>#N/A</v>
      </c>
      <c r="O203" t="str">
        <f t="shared" si="10"/>
        <v/>
      </c>
      <c r="P203" s="8" t="e">
        <f>INDEX(Lookup!$M$5:$M$12,MATCH(D203,Lookup!$L$5:$L$12,0))&amp;
K203&amp;L203&amp;M203&amp;N203&amp;
INDEX(Lookup!$N$5:$N$12,MATCH(D203,Lookup!$L$5:$L$12,0))</f>
        <v>#N/A</v>
      </c>
    </row>
    <row r="204" spans="2:16" x14ac:dyDescent="0.45">
      <c r="B204">
        <f t="shared" si="9"/>
        <v>202</v>
      </c>
      <c r="C204" t="e">
        <f t="shared" si="11"/>
        <v>#N/A</v>
      </c>
      <c r="D204" t="e">
        <f>VLOOKUP(C204,Lookup!$K$5:$L$12,2,FALSE)</f>
        <v>#N/A</v>
      </c>
      <c r="E204" t="e">
        <f>IF(D204=Lookup!$L$5,E203+1,E203)</f>
        <v>#N/A</v>
      </c>
      <c r="F204" s="3" t="e">
        <f>INDEX(views[Entities count],MATCH('view-code'!E204,views[object_id order],0))</f>
        <v>#N/A</v>
      </c>
      <c r="G204" t="e">
        <f>IF(D203=Lookup!$L$10,1,IF(D203=Lookup!$L$11,G203+1,""))</f>
        <v>#N/A</v>
      </c>
      <c r="H204" t="e">
        <f>IF(F204=1,IF(D204=Lookup!$L$10,2,1),IF(G204&lt;F204-1,0,1))</f>
        <v>#N/A</v>
      </c>
      <c r="I204" t="e">
        <f>IF(D204&lt;&gt;Lookup!$L$7,0,IF(INDEX(views[name],MATCH(E204,views[object_id order],0))&lt;&gt;"",0,1))</f>
        <v>#N/A</v>
      </c>
      <c r="J204" t="e">
        <f>IF(D204&lt;&gt;Lookup!$L$7,0,IF(INDEX(views[icon],MATCH(E204,views[object_id order],0))&lt;&gt;"",0,1))</f>
        <v>#N/A</v>
      </c>
      <c r="K204" t="e">
        <f>IF($D204=Lookup!$L$6,INDEX(views[object_id],MATCH($E204,views[object_id order],0)),"")</f>
        <v>#N/A</v>
      </c>
      <c r="L204" t="e">
        <f>IF($D204=Lookup!$L$8,INDEX(views[name],MATCH($E204,views[object_id order],0)),"")</f>
        <v>#N/A</v>
      </c>
      <c r="M204" t="e">
        <f>IF($D204=Lookup!$L$9,INDEX(views[icon],MATCH($E204,views[object_id order],0)),"")</f>
        <v>#N/A</v>
      </c>
      <c r="N204" t="e">
        <f>IF(OR(D204=Lookup!$L$11,D204=Lookup!$L$12),INDEX(views[[1]:[25]],MATCH($E204,views[object_id order],0),G204),"")</f>
        <v>#N/A</v>
      </c>
      <c r="O204" t="str">
        <f t="shared" si="10"/>
        <v/>
      </c>
      <c r="P204" s="8" t="e">
        <f>INDEX(Lookup!$M$5:$M$12,MATCH(D204,Lookup!$L$5:$L$12,0))&amp;
K204&amp;L204&amp;M204&amp;N204&amp;
INDEX(Lookup!$N$5:$N$12,MATCH(D204,Lookup!$L$5:$L$12,0))</f>
        <v>#N/A</v>
      </c>
    </row>
    <row r="205" spans="2:16" x14ac:dyDescent="0.45">
      <c r="B205">
        <f t="shared" si="9"/>
        <v>203</v>
      </c>
      <c r="C205" t="e">
        <f t="shared" si="11"/>
        <v>#N/A</v>
      </c>
      <c r="D205" t="e">
        <f>VLOOKUP(C205,Lookup!$K$5:$L$12,2,FALSE)</f>
        <v>#N/A</v>
      </c>
      <c r="E205" t="e">
        <f>IF(D205=Lookup!$L$5,E204+1,E204)</f>
        <v>#N/A</v>
      </c>
      <c r="F205" s="3" t="e">
        <f>INDEX(views[Entities count],MATCH('view-code'!E205,views[object_id order],0))</f>
        <v>#N/A</v>
      </c>
      <c r="G205" t="e">
        <f>IF(D204=Lookup!$L$10,1,IF(D204=Lookup!$L$11,G204+1,""))</f>
        <v>#N/A</v>
      </c>
      <c r="H205" t="e">
        <f>IF(F205=1,IF(D205=Lookup!$L$10,2,1),IF(G205&lt;F205-1,0,1))</f>
        <v>#N/A</v>
      </c>
      <c r="I205" t="e">
        <f>IF(D205&lt;&gt;Lookup!$L$7,0,IF(INDEX(views[name],MATCH(E205,views[object_id order],0))&lt;&gt;"",0,1))</f>
        <v>#N/A</v>
      </c>
      <c r="J205" t="e">
        <f>IF(D205&lt;&gt;Lookup!$L$7,0,IF(INDEX(views[icon],MATCH(E205,views[object_id order],0))&lt;&gt;"",0,1))</f>
        <v>#N/A</v>
      </c>
      <c r="K205" t="e">
        <f>IF($D205=Lookup!$L$6,INDEX(views[object_id],MATCH($E205,views[object_id order],0)),"")</f>
        <v>#N/A</v>
      </c>
      <c r="L205" t="e">
        <f>IF($D205=Lookup!$L$8,INDEX(views[name],MATCH($E205,views[object_id order],0)),"")</f>
        <v>#N/A</v>
      </c>
      <c r="M205" t="e">
        <f>IF($D205=Lookup!$L$9,INDEX(views[icon],MATCH($E205,views[object_id order],0)),"")</f>
        <v>#N/A</v>
      </c>
      <c r="N205" t="e">
        <f>IF(OR(D205=Lookup!$L$11,D205=Lookup!$L$12),INDEX(views[[1]:[25]],MATCH($E205,views[object_id order],0),G205),"")</f>
        <v>#N/A</v>
      </c>
      <c r="O205" t="str">
        <f t="shared" si="10"/>
        <v/>
      </c>
      <c r="P205" s="8" t="e">
        <f>INDEX(Lookup!$M$5:$M$12,MATCH(D205,Lookup!$L$5:$L$12,0))&amp;
K205&amp;L205&amp;M205&amp;N205&amp;
INDEX(Lookup!$N$5:$N$12,MATCH(D205,Lookup!$L$5:$L$12,0))</f>
        <v>#N/A</v>
      </c>
    </row>
    <row r="206" spans="2:16" x14ac:dyDescent="0.45">
      <c r="B206">
        <f t="shared" si="9"/>
        <v>204</v>
      </c>
      <c r="C206" t="e">
        <f t="shared" si="11"/>
        <v>#N/A</v>
      </c>
      <c r="D206" t="e">
        <f>VLOOKUP(C206,Lookup!$K$5:$L$12,2,FALSE)</f>
        <v>#N/A</v>
      </c>
      <c r="E206" t="e">
        <f>IF(D206=Lookup!$L$5,E205+1,E205)</f>
        <v>#N/A</v>
      </c>
      <c r="F206" s="3" t="e">
        <f>INDEX(views[Entities count],MATCH('view-code'!E206,views[object_id order],0))</f>
        <v>#N/A</v>
      </c>
      <c r="G206" t="e">
        <f>IF(D205=Lookup!$L$10,1,IF(D205=Lookup!$L$11,G205+1,""))</f>
        <v>#N/A</v>
      </c>
      <c r="H206" t="e">
        <f>IF(F206=1,IF(D206=Lookup!$L$10,2,1),IF(G206&lt;F206-1,0,1))</f>
        <v>#N/A</v>
      </c>
      <c r="I206" t="e">
        <f>IF(D206&lt;&gt;Lookup!$L$7,0,IF(INDEX(views[name],MATCH(E206,views[object_id order],0))&lt;&gt;"",0,1))</f>
        <v>#N/A</v>
      </c>
      <c r="J206" t="e">
        <f>IF(D206&lt;&gt;Lookup!$L$7,0,IF(INDEX(views[icon],MATCH(E206,views[object_id order],0))&lt;&gt;"",0,1))</f>
        <v>#N/A</v>
      </c>
      <c r="K206" t="e">
        <f>IF($D206=Lookup!$L$6,INDEX(views[object_id],MATCH($E206,views[object_id order],0)),"")</f>
        <v>#N/A</v>
      </c>
      <c r="L206" t="e">
        <f>IF($D206=Lookup!$L$8,INDEX(views[name],MATCH($E206,views[object_id order],0)),"")</f>
        <v>#N/A</v>
      </c>
      <c r="M206" t="e">
        <f>IF($D206=Lookup!$L$9,INDEX(views[icon],MATCH($E206,views[object_id order],0)),"")</f>
        <v>#N/A</v>
      </c>
      <c r="N206" t="e">
        <f>IF(OR(D206=Lookup!$L$11,D206=Lookup!$L$12),INDEX(views[[1]:[25]],MATCH($E206,views[object_id order],0),G206),"")</f>
        <v>#N/A</v>
      </c>
      <c r="O206" t="str">
        <f t="shared" si="10"/>
        <v/>
      </c>
      <c r="P206" s="8" t="e">
        <f>INDEX(Lookup!$M$5:$M$12,MATCH(D206,Lookup!$L$5:$L$12,0))&amp;
K206&amp;L206&amp;M206&amp;N206&amp;
INDEX(Lookup!$N$5:$N$12,MATCH(D206,Lookup!$L$5:$L$12,0))</f>
        <v>#N/A</v>
      </c>
    </row>
    <row r="207" spans="2:16" x14ac:dyDescent="0.45">
      <c r="B207">
        <f t="shared" si="9"/>
        <v>205</v>
      </c>
      <c r="C207" t="e">
        <f t="shared" si="11"/>
        <v>#N/A</v>
      </c>
      <c r="D207" t="e">
        <f>VLOOKUP(C207,Lookup!$K$5:$L$12,2,FALSE)</f>
        <v>#N/A</v>
      </c>
      <c r="E207" t="e">
        <f>IF(D207=Lookup!$L$5,E206+1,E206)</f>
        <v>#N/A</v>
      </c>
      <c r="F207" s="3" t="e">
        <f>INDEX(views[Entities count],MATCH('view-code'!E207,views[object_id order],0))</f>
        <v>#N/A</v>
      </c>
      <c r="G207" t="e">
        <f>IF(D206=Lookup!$L$10,1,IF(D206=Lookup!$L$11,G206+1,""))</f>
        <v>#N/A</v>
      </c>
      <c r="H207" t="e">
        <f>IF(F207=1,IF(D207=Lookup!$L$10,2,1),IF(G207&lt;F207-1,0,1))</f>
        <v>#N/A</v>
      </c>
      <c r="I207" t="e">
        <f>IF(D207&lt;&gt;Lookup!$L$7,0,IF(INDEX(views[name],MATCH(E207,views[object_id order],0))&lt;&gt;"",0,1))</f>
        <v>#N/A</v>
      </c>
      <c r="J207" t="e">
        <f>IF(D207&lt;&gt;Lookup!$L$7,0,IF(INDEX(views[icon],MATCH(E207,views[object_id order],0))&lt;&gt;"",0,1))</f>
        <v>#N/A</v>
      </c>
      <c r="K207" t="e">
        <f>IF($D207=Lookup!$L$6,INDEX(views[object_id],MATCH($E207,views[object_id order],0)),"")</f>
        <v>#N/A</v>
      </c>
      <c r="L207" t="e">
        <f>IF($D207=Lookup!$L$8,INDEX(views[name],MATCH($E207,views[object_id order],0)),"")</f>
        <v>#N/A</v>
      </c>
      <c r="M207" t="e">
        <f>IF($D207=Lookup!$L$9,INDEX(views[icon],MATCH($E207,views[object_id order],0)),"")</f>
        <v>#N/A</v>
      </c>
      <c r="N207" t="e">
        <f>IF(OR(D207=Lookup!$L$11,D207=Lookup!$L$12),INDEX(views[[1]:[25]],MATCH($E207,views[object_id order],0),G207),"")</f>
        <v>#N/A</v>
      </c>
      <c r="O207" t="str">
        <f t="shared" si="10"/>
        <v/>
      </c>
      <c r="P207" s="8" t="e">
        <f>INDEX(Lookup!$M$5:$M$12,MATCH(D207,Lookup!$L$5:$L$12,0))&amp;
K207&amp;L207&amp;M207&amp;N207&amp;
INDEX(Lookup!$N$5:$N$12,MATCH(D207,Lookup!$L$5:$L$12,0))</f>
        <v>#N/A</v>
      </c>
    </row>
    <row r="208" spans="2:16" x14ac:dyDescent="0.45">
      <c r="B208">
        <f t="shared" si="9"/>
        <v>206</v>
      </c>
      <c r="C208" t="e">
        <f t="shared" si="11"/>
        <v>#N/A</v>
      </c>
      <c r="D208" t="e">
        <f>VLOOKUP(C208,Lookup!$K$5:$L$12,2,FALSE)</f>
        <v>#N/A</v>
      </c>
      <c r="E208" t="e">
        <f>IF(D208=Lookup!$L$5,E207+1,E207)</f>
        <v>#N/A</v>
      </c>
      <c r="F208" s="3" t="e">
        <f>INDEX(views[Entities count],MATCH('view-code'!E208,views[object_id order],0))</f>
        <v>#N/A</v>
      </c>
      <c r="G208" t="e">
        <f>IF(D207=Lookup!$L$10,1,IF(D207=Lookup!$L$11,G207+1,""))</f>
        <v>#N/A</v>
      </c>
      <c r="H208" t="e">
        <f>IF(F208=1,IF(D208=Lookup!$L$10,2,1),IF(G208&lt;F208-1,0,1))</f>
        <v>#N/A</v>
      </c>
      <c r="I208" t="e">
        <f>IF(D208&lt;&gt;Lookup!$L$7,0,IF(INDEX(views[name],MATCH(E208,views[object_id order],0))&lt;&gt;"",0,1))</f>
        <v>#N/A</v>
      </c>
      <c r="J208" t="e">
        <f>IF(D208&lt;&gt;Lookup!$L$7,0,IF(INDEX(views[icon],MATCH(E208,views[object_id order],0))&lt;&gt;"",0,1))</f>
        <v>#N/A</v>
      </c>
      <c r="K208" t="e">
        <f>IF($D208=Lookup!$L$6,INDEX(views[object_id],MATCH($E208,views[object_id order],0)),"")</f>
        <v>#N/A</v>
      </c>
      <c r="L208" t="e">
        <f>IF($D208=Lookup!$L$8,INDEX(views[name],MATCH($E208,views[object_id order],0)),"")</f>
        <v>#N/A</v>
      </c>
      <c r="M208" t="e">
        <f>IF($D208=Lookup!$L$9,INDEX(views[icon],MATCH($E208,views[object_id order],0)),"")</f>
        <v>#N/A</v>
      </c>
      <c r="N208" t="e">
        <f>IF(OR(D208=Lookup!$L$11,D208=Lookup!$L$12),INDEX(views[[1]:[25]],MATCH($E208,views[object_id order],0),G208),"")</f>
        <v>#N/A</v>
      </c>
      <c r="O208" t="str">
        <f t="shared" si="10"/>
        <v/>
      </c>
      <c r="P208" s="8" t="e">
        <f>INDEX(Lookup!$M$5:$M$12,MATCH(D208,Lookup!$L$5:$L$12,0))&amp;
K208&amp;L208&amp;M208&amp;N208&amp;
INDEX(Lookup!$N$5:$N$12,MATCH(D208,Lookup!$L$5:$L$12,0))</f>
        <v>#N/A</v>
      </c>
    </row>
    <row r="209" spans="2:16" x14ac:dyDescent="0.45">
      <c r="B209">
        <f t="shared" si="9"/>
        <v>207</v>
      </c>
      <c r="C209" t="e">
        <f t="shared" si="11"/>
        <v>#N/A</v>
      </c>
      <c r="D209" t="e">
        <f>VLOOKUP(C209,Lookup!$K$5:$L$12,2,FALSE)</f>
        <v>#N/A</v>
      </c>
      <c r="E209" t="e">
        <f>IF(D209=Lookup!$L$5,E208+1,E208)</f>
        <v>#N/A</v>
      </c>
      <c r="F209" s="3" t="e">
        <f>INDEX(views[Entities count],MATCH('view-code'!E209,views[object_id order],0))</f>
        <v>#N/A</v>
      </c>
      <c r="G209" t="e">
        <f>IF(D208=Lookup!$L$10,1,IF(D208=Lookup!$L$11,G208+1,""))</f>
        <v>#N/A</v>
      </c>
      <c r="H209" t="e">
        <f>IF(F209=1,IF(D209=Lookup!$L$10,2,1),IF(G209&lt;F209-1,0,1))</f>
        <v>#N/A</v>
      </c>
      <c r="I209" t="e">
        <f>IF(D209&lt;&gt;Lookup!$L$7,0,IF(INDEX(views[name],MATCH(E209,views[object_id order],0))&lt;&gt;"",0,1))</f>
        <v>#N/A</v>
      </c>
      <c r="J209" t="e">
        <f>IF(D209&lt;&gt;Lookup!$L$7,0,IF(INDEX(views[icon],MATCH(E209,views[object_id order],0))&lt;&gt;"",0,1))</f>
        <v>#N/A</v>
      </c>
      <c r="K209" t="e">
        <f>IF($D209=Lookup!$L$6,INDEX(views[object_id],MATCH($E209,views[object_id order],0)),"")</f>
        <v>#N/A</v>
      </c>
      <c r="L209" t="e">
        <f>IF($D209=Lookup!$L$8,INDEX(views[name],MATCH($E209,views[object_id order],0)),"")</f>
        <v>#N/A</v>
      </c>
      <c r="M209" t="e">
        <f>IF($D209=Lookup!$L$9,INDEX(views[icon],MATCH($E209,views[object_id order],0)),"")</f>
        <v>#N/A</v>
      </c>
      <c r="N209" t="e">
        <f>IF(OR(D209=Lookup!$L$11,D209=Lookup!$L$12),INDEX(views[[1]:[25]],MATCH($E209,views[object_id order],0),G209),"")</f>
        <v>#N/A</v>
      </c>
      <c r="O209" t="str">
        <f t="shared" si="10"/>
        <v/>
      </c>
      <c r="P209" s="8" t="e">
        <f>INDEX(Lookup!$M$5:$M$12,MATCH(D209,Lookup!$L$5:$L$12,0))&amp;
K209&amp;L209&amp;M209&amp;N209&amp;
INDEX(Lookup!$N$5:$N$12,MATCH(D209,Lookup!$L$5:$L$12,0))</f>
        <v>#N/A</v>
      </c>
    </row>
    <row r="210" spans="2:16" x14ac:dyDescent="0.45">
      <c r="B210">
        <f t="shared" si="9"/>
        <v>208</v>
      </c>
      <c r="C210" t="e">
        <f t="shared" si="11"/>
        <v>#N/A</v>
      </c>
      <c r="D210" t="e">
        <f>VLOOKUP(C210,Lookup!$K$5:$L$12,2,FALSE)</f>
        <v>#N/A</v>
      </c>
      <c r="E210" t="e">
        <f>IF(D210=Lookup!$L$5,E209+1,E209)</f>
        <v>#N/A</v>
      </c>
      <c r="F210" s="3" t="e">
        <f>INDEX(views[Entities count],MATCH('view-code'!E210,views[object_id order],0))</f>
        <v>#N/A</v>
      </c>
      <c r="G210" t="e">
        <f>IF(D209=Lookup!$L$10,1,IF(D209=Lookup!$L$11,G209+1,""))</f>
        <v>#N/A</v>
      </c>
      <c r="H210" t="e">
        <f>IF(F210=1,IF(D210=Lookup!$L$10,2,1),IF(G210&lt;F210-1,0,1))</f>
        <v>#N/A</v>
      </c>
      <c r="I210" t="e">
        <f>IF(D210&lt;&gt;Lookup!$L$7,0,IF(INDEX(views[name],MATCH(E210,views[object_id order],0))&lt;&gt;"",0,1))</f>
        <v>#N/A</v>
      </c>
      <c r="J210" t="e">
        <f>IF(D210&lt;&gt;Lookup!$L$7,0,IF(INDEX(views[icon],MATCH(E210,views[object_id order],0))&lt;&gt;"",0,1))</f>
        <v>#N/A</v>
      </c>
      <c r="K210" t="e">
        <f>IF($D210=Lookup!$L$6,INDEX(views[object_id],MATCH($E210,views[object_id order],0)),"")</f>
        <v>#N/A</v>
      </c>
      <c r="L210" t="e">
        <f>IF($D210=Lookup!$L$8,INDEX(views[name],MATCH($E210,views[object_id order],0)),"")</f>
        <v>#N/A</v>
      </c>
      <c r="M210" t="e">
        <f>IF($D210=Lookup!$L$9,INDEX(views[icon],MATCH($E210,views[object_id order],0)),"")</f>
        <v>#N/A</v>
      </c>
      <c r="N210" t="e">
        <f>IF(OR(D210=Lookup!$L$11,D210=Lookup!$L$12),INDEX(views[[1]:[25]],MATCH($E210,views[object_id order],0),G210),"")</f>
        <v>#N/A</v>
      </c>
      <c r="O210" t="str">
        <f t="shared" si="10"/>
        <v/>
      </c>
      <c r="P210" s="8" t="e">
        <f>INDEX(Lookup!$M$5:$M$12,MATCH(D210,Lookup!$L$5:$L$12,0))&amp;
K210&amp;L210&amp;M210&amp;N210&amp;
INDEX(Lookup!$N$5:$N$12,MATCH(D210,Lookup!$L$5:$L$12,0))</f>
        <v>#N/A</v>
      </c>
    </row>
    <row r="211" spans="2:16" x14ac:dyDescent="0.45">
      <c r="B211">
        <f t="shared" si="9"/>
        <v>209</v>
      </c>
      <c r="C211" t="e">
        <f t="shared" si="11"/>
        <v>#N/A</v>
      </c>
      <c r="D211" t="e">
        <f>VLOOKUP(C211,Lookup!$K$5:$L$12,2,FALSE)</f>
        <v>#N/A</v>
      </c>
      <c r="E211" t="e">
        <f>IF(D211=Lookup!$L$5,E210+1,E210)</f>
        <v>#N/A</v>
      </c>
      <c r="F211" s="3" t="e">
        <f>INDEX(views[Entities count],MATCH('view-code'!E211,views[object_id order],0))</f>
        <v>#N/A</v>
      </c>
      <c r="G211" t="e">
        <f>IF(D210=Lookup!$L$10,1,IF(D210=Lookup!$L$11,G210+1,""))</f>
        <v>#N/A</v>
      </c>
      <c r="H211" t="e">
        <f>IF(F211=1,IF(D211=Lookup!$L$10,2,1),IF(G211&lt;F211-1,0,1))</f>
        <v>#N/A</v>
      </c>
      <c r="I211" t="e">
        <f>IF(D211&lt;&gt;Lookup!$L$7,0,IF(INDEX(views[name],MATCH(E211,views[object_id order],0))&lt;&gt;"",0,1))</f>
        <v>#N/A</v>
      </c>
      <c r="J211" t="e">
        <f>IF(D211&lt;&gt;Lookup!$L$7,0,IF(INDEX(views[icon],MATCH(E211,views[object_id order],0))&lt;&gt;"",0,1))</f>
        <v>#N/A</v>
      </c>
      <c r="K211" t="e">
        <f>IF($D211=Lookup!$L$6,INDEX(views[object_id],MATCH($E211,views[object_id order],0)),"")</f>
        <v>#N/A</v>
      </c>
      <c r="L211" t="e">
        <f>IF($D211=Lookup!$L$8,INDEX(views[name],MATCH($E211,views[object_id order],0)),"")</f>
        <v>#N/A</v>
      </c>
      <c r="M211" t="e">
        <f>IF($D211=Lookup!$L$9,INDEX(views[icon],MATCH($E211,views[object_id order],0)),"")</f>
        <v>#N/A</v>
      </c>
      <c r="N211" t="e">
        <f>IF(OR(D211=Lookup!$L$11,D211=Lookup!$L$12),INDEX(views[[1]:[25]],MATCH($E211,views[object_id order],0),G211),"")</f>
        <v>#N/A</v>
      </c>
      <c r="O211" t="str">
        <f t="shared" si="10"/>
        <v/>
      </c>
      <c r="P211" s="8" t="e">
        <f>INDEX(Lookup!$M$5:$M$12,MATCH(D211,Lookup!$L$5:$L$12,0))&amp;
K211&amp;L211&amp;M211&amp;N211&amp;
INDEX(Lookup!$N$5:$N$12,MATCH(D211,Lookup!$L$5:$L$12,0))</f>
        <v>#N/A</v>
      </c>
    </row>
    <row r="212" spans="2:16" x14ac:dyDescent="0.45">
      <c r="B212">
        <f t="shared" si="9"/>
        <v>210</v>
      </c>
      <c r="C212" t="e">
        <f t="shared" si="11"/>
        <v>#N/A</v>
      </c>
      <c r="D212" t="e">
        <f>VLOOKUP(C212,Lookup!$K$5:$L$12,2,FALSE)</f>
        <v>#N/A</v>
      </c>
      <c r="E212" t="e">
        <f>IF(D212=Lookup!$L$5,E211+1,E211)</f>
        <v>#N/A</v>
      </c>
      <c r="F212" s="3" t="e">
        <f>INDEX(views[Entities count],MATCH('view-code'!E212,views[object_id order],0))</f>
        <v>#N/A</v>
      </c>
      <c r="G212" t="e">
        <f>IF(D211=Lookup!$L$10,1,IF(D211=Lookup!$L$11,G211+1,""))</f>
        <v>#N/A</v>
      </c>
      <c r="H212" t="e">
        <f>IF(F212=1,IF(D212=Lookup!$L$10,2,1),IF(G212&lt;F212-1,0,1))</f>
        <v>#N/A</v>
      </c>
      <c r="I212" t="e">
        <f>IF(D212&lt;&gt;Lookup!$L$7,0,IF(INDEX(views[name],MATCH(E212,views[object_id order],0))&lt;&gt;"",0,1))</f>
        <v>#N/A</v>
      </c>
      <c r="J212" t="e">
        <f>IF(D212&lt;&gt;Lookup!$L$7,0,IF(INDEX(views[icon],MATCH(E212,views[object_id order],0))&lt;&gt;"",0,1))</f>
        <v>#N/A</v>
      </c>
      <c r="K212" t="e">
        <f>IF($D212=Lookup!$L$6,INDEX(views[object_id],MATCH($E212,views[object_id order],0)),"")</f>
        <v>#N/A</v>
      </c>
      <c r="L212" t="e">
        <f>IF($D212=Lookup!$L$8,INDEX(views[name],MATCH($E212,views[object_id order],0)),"")</f>
        <v>#N/A</v>
      </c>
      <c r="M212" t="e">
        <f>IF($D212=Lookup!$L$9,INDEX(views[icon],MATCH($E212,views[object_id order],0)),"")</f>
        <v>#N/A</v>
      </c>
      <c r="N212" t="e">
        <f>IF(OR(D212=Lookup!$L$11,D212=Lookup!$L$12),INDEX(views[[1]:[25]],MATCH($E212,views[object_id order],0),G212),"")</f>
        <v>#N/A</v>
      </c>
      <c r="O212" t="str">
        <f t="shared" si="10"/>
        <v/>
      </c>
      <c r="P212" s="8" t="e">
        <f>INDEX(Lookup!$M$5:$M$12,MATCH(D212,Lookup!$L$5:$L$12,0))&amp;
K212&amp;L212&amp;M212&amp;N212&amp;
INDEX(Lookup!$N$5:$N$12,MATCH(D212,Lookup!$L$5:$L$12,0))</f>
        <v>#N/A</v>
      </c>
    </row>
    <row r="213" spans="2:16" x14ac:dyDescent="0.45">
      <c r="B213">
        <f t="shared" si="9"/>
        <v>211</v>
      </c>
      <c r="C213" t="e">
        <f t="shared" si="11"/>
        <v>#N/A</v>
      </c>
      <c r="D213" t="e">
        <f>VLOOKUP(C213,Lookup!$K$5:$L$12,2,FALSE)</f>
        <v>#N/A</v>
      </c>
      <c r="E213" t="e">
        <f>IF(D213=Lookup!$L$5,E212+1,E212)</f>
        <v>#N/A</v>
      </c>
      <c r="F213" s="3" t="e">
        <f>INDEX(views[Entities count],MATCH('view-code'!E213,views[object_id order],0))</f>
        <v>#N/A</v>
      </c>
      <c r="G213" t="e">
        <f>IF(D212=Lookup!$L$10,1,IF(D212=Lookup!$L$11,G212+1,""))</f>
        <v>#N/A</v>
      </c>
      <c r="H213" t="e">
        <f>IF(F213=1,IF(D213=Lookup!$L$10,2,1),IF(G213&lt;F213-1,0,1))</f>
        <v>#N/A</v>
      </c>
      <c r="I213" t="e">
        <f>IF(D213&lt;&gt;Lookup!$L$7,0,IF(INDEX(views[name],MATCH(E213,views[object_id order],0))&lt;&gt;"",0,1))</f>
        <v>#N/A</v>
      </c>
      <c r="J213" t="e">
        <f>IF(D213&lt;&gt;Lookup!$L$7,0,IF(INDEX(views[icon],MATCH(E213,views[object_id order],0))&lt;&gt;"",0,1))</f>
        <v>#N/A</v>
      </c>
      <c r="K213" t="e">
        <f>IF($D213=Lookup!$L$6,INDEX(views[object_id],MATCH($E213,views[object_id order],0)),"")</f>
        <v>#N/A</v>
      </c>
      <c r="L213" t="e">
        <f>IF($D213=Lookup!$L$8,INDEX(views[name],MATCH($E213,views[object_id order],0)),"")</f>
        <v>#N/A</v>
      </c>
      <c r="M213" t="e">
        <f>IF($D213=Lookup!$L$9,INDEX(views[icon],MATCH($E213,views[object_id order],0)),"")</f>
        <v>#N/A</v>
      </c>
      <c r="N213" t="e">
        <f>IF(OR(D213=Lookup!$L$11,D213=Lookup!$L$12),INDEX(views[[1]:[25]],MATCH($E213,views[object_id order],0),G213),"")</f>
        <v>#N/A</v>
      </c>
      <c r="O213" t="str">
        <f t="shared" si="10"/>
        <v/>
      </c>
      <c r="P213" s="8" t="e">
        <f>INDEX(Lookup!$M$5:$M$12,MATCH(D213,Lookup!$L$5:$L$12,0))&amp;
K213&amp;L213&amp;M213&amp;N213&amp;
INDEX(Lookup!$N$5:$N$12,MATCH(D213,Lookup!$L$5:$L$12,0))</f>
        <v>#N/A</v>
      </c>
    </row>
    <row r="214" spans="2:16" x14ac:dyDescent="0.45">
      <c r="B214">
        <f t="shared" si="9"/>
        <v>212</v>
      </c>
      <c r="C214" t="e">
        <f t="shared" si="11"/>
        <v>#N/A</v>
      </c>
      <c r="D214" t="e">
        <f>VLOOKUP(C214,Lookup!$K$5:$L$12,2,FALSE)</f>
        <v>#N/A</v>
      </c>
      <c r="E214" t="e">
        <f>IF(D214=Lookup!$L$5,E213+1,E213)</f>
        <v>#N/A</v>
      </c>
      <c r="F214" s="3" t="e">
        <f>INDEX(views[Entities count],MATCH('view-code'!E214,views[object_id order],0))</f>
        <v>#N/A</v>
      </c>
      <c r="G214" t="e">
        <f>IF(D213=Lookup!$L$10,1,IF(D213=Lookup!$L$11,G213+1,""))</f>
        <v>#N/A</v>
      </c>
      <c r="H214" t="e">
        <f>IF(F214=1,IF(D214=Lookup!$L$10,2,1),IF(G214&lt;F214-1,0,1))</f>
        <v>#N/A</v>
      </c>
      <c r="I214" t="e">
        <f>IF(D214&lt;&gt;Lookup!$L$7,0,IF(INDEX(views[name],MATCH(E214,views[object_id order],0))&lt;&gt;"",0,1))</f>
        <v>#N/A</v>
      </c>
      <c r="J214" t="e">
        <f>IF(D214&lt;&gt;Lookup!$L$7,0,IF(INDEX(views[icon],MATCH(E214,views[object_id order],0))&lt;&gt;"",0,1))</f>
        <v>#N/A</v>
      </c>
      <c r="K214" t="e">
        <f>IF($D214=Lookup!$L$6,INDEX(views[object_id],MATCH($E214,views[object_id order],0)),"")</f>
        <v>#N/A</v>
      </c>
      <c r="L214" t="e">
        <f>IF($D214=Lookup!$L$8,INDEX(views[name],MATCH($E214,views[object_id order],0)),"")</f>
        <v>#N/A</v>
      </c>
      <c r="M214" t="e">
        <f>IF($D214=Lookup!$L$9,INDEX(views[icon],MATCH($E214,views[object_id order],0)),"")</f>
        <v>#N/A</v>
      </c>
      <c r="N214" t="e">
        <f>IF(OR(D214=Lookup!$L$11,D214=Lookup!$L$12),INDEX(views[[1]:[25]],MATCH($E214,views[object_id order],0),G214),"")</f>
        <v>#N/A</v>
      </c>
      <c r="O214" t="str">
        <f t="shared" si="10"/>
        <v/>
      </c>
      <c r="P214" s="8" t="e">
        <f>INDEX(Lookup!$M$5:$M$12,MATCH(D214,Lookup!$L$5:$L$12,0))&amp;
K214&amp;L214&amp;M214&amp;N214&amp;
INDEX(Lookup!$N$5:$N$12,MATCH(D214,Lookup!$L$5:$L$12,0))</f>
        <v>#N/A</v>
      </c>
    </row>
    <row r="215" spans="2:16" x14ac:dyDescent="0.45">
      <c r="B215">
        <f t="shared" si="9"/>
        <v>213</v>
      </c>
      <c r="C215" t="e">
        <f t="shared" si="11"/>
        <v>#N/A</v>
      </c>
      <c r="D215" t="e">
        <f>VLOOKUP(C215,Lookup!$K$5:$L$12,2,FALSE)</f>
        <v>#N/A</v>
      </c>
      <c r="E215" t="e">
        <f>IF(D215=Lookup!$L$5,E214+1,E214)</f>
        <v>#N/A</v>
      </c>
      <c r="F215" s="3" t="e">
        <f>INDEX(views[Entities count],MATCH('view-code'!E215,views[object_id order],0))</f>
        <v>#N/A</v>
      </c>
      <c r="G215" t="e">
        <f>IF(D214=Lookup!$L$10,1,IF(D214=Lookup!$L$11,G214+1,""))</f>
        <v>#N/A</v>
      </c>
      <c r="H215" t="e">
        <f>IF(F215=1,IF(D215=Lookup!$L$10,2,1),IF(G215&lt;F215-1,0,1))</f>
        <v>#N/A</v>
      </c>
      <c r="I215" t="e">
        <f>IF(D215&lt;&gt;Lookup!$L$7,0,IF(INDEX(views[name],MATCH(E215,views[object_id order],0))&lt;&gt;"",0,1))</f>
        <v>#N/A</v>
      </c>
      <c r="J215" t="e">
        <f>IF(D215&lt;&gt;Lookup!$L$7,0,IF(INDEX(views[icon],MATCH(E215,views[object_id order],0))&lt;&gt;"",0,1))</f>
        <v>#N/A</v>
      </c>
      <c r="K215" t="e">
        <f>IF($D215=Lookup!$L$6,INDEX(views[object_id],MATCH($E215,views[object_id order],0)),"")</f>
        <v>#N/A</v>
      </c>
      <c r="L215" t="e">
        <f>IF($D215=Lookup!$L$8,INDEX(views[name],MATCH($E215,views[object_id order],0)),"")</f>
        <v>#N/A</v>
      </c>
      <c r="M215" t="e">
        <f>IF($D215=Lookup!$L$9,INDEX(views[icon],MATCH($E215,views[object_id order],0)),"")</f>
        <v>#N/A</v>
      </c>
      <c r="N215" t="e">
        <f>IF(OR(D215=Lookup!$L$11,D215=Lookup!$L$12),INDEX(views[[1]:[25]],MATCH($E215,views[object_id order],0),G215),"")</f>
        <v>#N/A</v>
      </c>
      <c r="O215" t="str">
        <f t="shared" si="10"/>
        <v/>
      </c>
      <c r="P215" s="8" t="e">
        <f>INDEX(Lookup!$M$5:$M$12,MATCH(D215,Lookup!$L$5:$L$12,0))&amp;
K215&amp;L215&amp;M215&amp;N215&amp;
INDEX(Lookup!$N$5:$N$12,MATCH(D215,Lookup!$L$5:$L$12,0))</f>
        <v>#N/A</v>
      </c>
    </row>
    <row r="216" spans="2:16" x14ac:dyDescent="0.45">
      <c r="B216">
        <f t="shared" si="9"/>
        <v>214</v>
      </c>
      <c r="C216" t="e">
        <f t="shared" si="11"/>
        <v>#N/A</v>
      </c>
      <c r="D216" t="e">
        <f>VLOOKUP(C216,Lookup!$K$5:$L$12,2,FALSE)</f>
        <v>#N/A</v>
      </c>
      <c r="E216" t="e">
        <f>IF(D216=Lookup!$L$5,E215+1,E215)</f>
        <v>#N/A</v>
      </c>
      <c r="F216" s="3" t="e">
        <f>INDEX(views[Entities count],MATCH('view-code'!E216,views[object_id order],0))</f>
        <v>#N/A</v>
      </c>
      <c r="G216" t="e">
        <f>IF(D215=Lookup!$L$10,1,IF(D215=Lookup!$L$11,G215+1,""))</f>
        <v>#N/A</v>
      </c>
      <c r="H216" t="e">
        <f>IF(F216=1,IF(D216=Lookup!$L$10,2,1),IF(G216&lt;F216-1,0,1))</f>
        <v>#N/A</v>
      </c>
      <c r="I216" t="e">
        <f>IF(D216&lt;&gt;Lookup!$L$7,0,IF(INDEX(views[name],MATCH(E216,views[object_id order],0))&lt;&gt;"",0,1))</f>
        <v>#N/A</v>
      </c>
      <c r="J216" t="e">
        <f>IF(D216&lt;&gt;Lookup!$L$7,0,IF(INDEX(views[icon],MATCH(E216,views[object_id order],0))&lt;&gt;"",0,1))</f>
        <v>#N/A</v>
      </c>
      <c r="K216" t="e">
        <f>IF($D216=Lookup!$L$6,INDEX(views[object_id],MATCH($E216,views[object_id order],0)),"")</f>
        <v>#N/A</v>
      </c>
      <c r="L216" t="e">
        <f>IF($D216=Lookup!$L$8,INDEX(views[name],MATCH($E216,views[object_id order],0)),"")</f>
        <v>#N/A</v>
      </c>
      <c r="M216" t="e">
        <f>IF($D216=Lookup!$L$9,INDEX(views[icon],MATCH($E216,views[object_id order],0)),"")</f>
        <v>#N/A</v>
      </c>
      <c r="N216" t="e">
        <f>IF(OR(D216=Lookup!$L$11,D216=Lookup!$L$12),INDEX(views[[1]:[25]],MATCH($E216,views[object_id order],0),G216),"")</f>
        <v>#N/A</v>
      </c>
      <c r="O216" t="str">
        <f t="shared" si="10"/>
        <v/>
      </c>
      <c r="P216" s="8" t="e">
        <f>INDEX(Lookup!$M$5:$M$12,MATCH(D216,Lookup!$L$5:$L$12,0))&amp;
K216&amp;L216&amp;M216&amp;N216&amp;
INDEX(Lookup!$N$5:$N$12,MATCH(D216,Lookup!$L$5:$L$12,0))</f>
        <v>#N/A</v>
      </c>
    </row>
    <row r="217" spans="2:16" x14ac:dyDescent="0.45">
      <c r="B217">
        <f t="shared" si="9"/>
        <v>215</v>
      </c>
      <c r="C217" t="e">
        <f t="shared" si="11"/>
        <v>#N/A</v>
      </c>
      <c r="D217" t="e">
        <f>VLOOKUP(C217,Lookup!$K$5:$L$12,2,FALSE)</f>
        <v>#N/A</v>
      </c>
      <c r="E217" t="e">
        <f>IF(D217=Lookup!$L$5,E216+1,E216)</f>
        <v>#N/A</v>
      </c>
      <c r="F217" s="3" t="e">
        <f>INDEX(views[Entities count],MATCH('view-code'!E217,views[object_id order],0))</f>
        <v>#N/A</v>
      </c>
      <c r="G217" t="e">
        <f>IF(D216=Lookup!$L$10,1,IF(D216=Lookup!$L$11,G216+1,""))</f>
        <v>#N/A</v>
      </c>
      <c r="H217" t="e">
        <f>IF(F217=1,IF(D217=Lookup!$L$10,2,1),IF(G217&lt;F217-1,0,1))</f>
        <v>#N/A</v>
      </c>
      <c r="I217" t="e">
        <f>IF(D217&lt;&gt;Lookup!$L$7,0,IF(INDEX(views[name],MATCH(E217,views[object_id order],0))&lt;&gt;"",0,1))</f>
        <v>#N/A</v>
      </c>
      <c r="J217" t="e">
        <f>IF(D217&lt;&gt;Lookup!$L$7,0,IF(INDEX(views[icon],MATCH(E217,views[object_id order],0))&lt;&gt;"",0,1))</f>
        <v>#N/A</v>
      </c>
      <c r="K217" t="e">
        <f>IF($D217=Lookup!$L$6,INDEX(views[object_id],MATCH($E217,views[object_id order],0)),"")</f>
        <v>#N/A</v>
      </c>
      <c r="L217" t="e">
        <f>IF($D217=Lookup!$L$8,INDEX(views[name],MATCH($E217,views[object_id order],0)),"")</f>
        <v>#N/A</v>
      </c>
      <c r="M217" t="e">
        <f>IF($D217=Lookup!$L$9,INDEX(views[icon],MATCH($E217,views[object_id order],0)),"")</f>
        <v>#N/A</v>
      </c>
      <c r="N217" t="e">
        <f>IF(OR(D217=Lookup!$L$11,D217=Lookup!$L$12),INDEX(views[[1]:[25]],MATCH($E217,views[object_id order],0),G217),"")</f>
        <v>#N/A</v>
      </c>
      <c r="O217" t="str">
        <f t="shared" si="10"/>
        <v/>
      </c>
      <c r="P217" s="8" t="e">
        <f>INDEX(Lookup!$M$5:$M$12,MATCH(D217,Lookup!$L$5:$L$12,0))&amp;
K217&amp;L217&amp;M217&amp;N217&amp;
INDEX(Lookup!$N$5:$N$12,MATCH(D217,Lookup!$L$5:$L$12,0))</f>
        <v>#N/A</v>
      </c>
    </row>
    <row r="218" spans="2:16" x14ac:dyDescent="0.45">
      <c r="B218">
        <f t="shared" si="9"/>
        <v>216</v>
      </c>
      <c r="C218" t="e">
        <f t="shared" si="11"/>
        <v>#N/A</v>
      </c>
      <c r="D218" t="e">
        <f>VLOOKUP(C218,Lookup!$K$5:$L$12,2,FALSE)</f>
        <v>#N/A</v>
      </c>
      <c r="E218" t="e">
        <f>IF(D218=Lookup!$L$5,E217+1,E217)</f>
        <v>#N/A</v>
      </c>
      <c r="F218" s="3" t="e">
        <f>INDEX(views[Entities count],MATCH('view-code'!E218,views[object_id order],0))</f>
        <v>#N/A</v>
      </c>
      <c r="G218" t="e">
        <f>IF(D217=Lookup!$L$10,1,IF(D217=Lookup!$L$11,G217+1,""))</f>
        <v>#N/A</v>
      </c>
      <c r="H218" t="e">
        <f>IF(F218=1,IF(D218=Lookup!$L$10,2,1),IF(G218&lt;F218-1,0,1))</f>
        <v>#N/A</v>
      </c>
      <c r="I218" t="e">
        <f>IF(D218&lt;&gt;Lookup!$L$7,0,IF(INDEX(views[name],MATCH(E218,views[object_id order],0))&lt;&gt;"",0,1))</f>
        <v>#N/A</v>
      </c>
      <c r="J218" t="e">
        <f>IF(D218&lt;&gt;Lookup!$L$7,0,IF(INDEX(views[icon],MATCH(E218,views[object_id order],0))&lt;&gt;"",0,1))</f>
        <v>#N/A</v>
      </c>
      <c r="K218" t="e">
        <f>IF($D218=Lookup!$L$6,INDEX(views[object_id],MATCH($E218,views[object_id order],0)),"")</f>
        <v>#N/A</v>
      </c>
      <c r="L218" t="e">
        <f>IF($D218=Lookup!$L$8,INDEX(views[name],MATCH($E218,views[object_id order],0)),"")</f>
        <v>#N/A</v>
      </c>
      <c r="M218" t="e">
        <f>IF($D218=Lookup!$L$9,INDEX(views[icon],MATCH($E218,views[object_id order],0)),"")</f>
        <v>#N/A</v>
      </c>
      <c r="N218" t="e">
        <f>IF(OR(D218=Lookup!$L$11,D218=Lookup!$L$12),INDEX(views[[1]:[25]],MATCH($E218,views[object_id order],0),G218),"")</f>
        <v>#N/A</v>
      </c>
      <c r="O218" t="str">
        <f t="shared" si="10"/>
        <v/>
      </c>
      <c r="P218" s="8" t="e">
        <f>INDEX(Lookup!$M$5:$M$12,MATCH(D218,Lookup!$L$5:$L$12,0))&amp;
K218&amp;L218&amp;M218&amp;N218&amp;
INDEX(Lookup!$N$5:$N$12,MATCH(D218,Lookup!$L$5:$L$12,0))</f>
        <v>#N/A</v>
      </c>
    </row>
    <row r="219" spans="2:16" x14ac:dyDescent="0.45">
      <c r="B219">
        <f t="shared" si="9"/>
        <v>217</v>
      </c>
      <c r="C219" t="e">
        <f t="shared" si="11"/>
        <v>#N/A</v>
      </c>
      <c r="D219" t="e">
        <f>VLOOKUP(C219,Lookup!$K$5:$L$12,2,FALSE)</f>
        <v>#N/A</v>
      </c>
      <c r="E219" t="e">
        <f>IF(D219=Lookup!$L$5,E218+1,E218)</f>
        <v>#N/A</v>
      </c>
      <c r="F219" s="3" t="e">
        <f>INDEX(views[Entities count],MATCH('view-code'!E219,views[object_id order],0))</f>
        <v>#N/A</v>
      </c>
      <c r="G219" t="e">
        <f>IF(D218=Lookup!$L$10,1,IF(D218=Lookup!$L$11,G218+1,""))</f>
        <v>#N/A</v>
      </c>
      <c r="H219" t="e">
        <f>IF(F219=1,IF(D219=Lookup!$L$10,2,1),IF(G219&lt;F219-1,0,1))</f>
        <v>#N/A</v>
      </c>
      <c r="I219" t="e">
        <f>IF(D219&lt;&gt;Lookup!$L$7,0,IF(INDEX(views[name],MATCH(E219,views[object_id order],0))&lt;&gt;"",0,1))</f>
        <v>#N/A</v>
      </c>
      <c r="J219" t="e">
        <f>IF(D219&lt;&gt;Lookup!$L$7,0,IF(INDEX(views[icon],MATCH(E219,views[object_id order],0))&lt;&gt;"",0,1))</f>
        <v>#N/A</v>
      </c>
      <c r="K219" t="e">
        <f>IF($D219=Lookup!$L$6,INDEX(views[object_id],MATCH($E219,views[object_id order],0)),"")</f>
        <v>#N/A</v>
      </c>
      <c r="L219" t="e">
        <f>IF($D219=Lookup!$L$8,INDEX(views[name],MATCH($E219,views[object_id order],0)),"")</f>
        <v>#N/A</v>
      </c>
      <c r="M219" t="e">
        <f>IF($D219=Lookup!$L$9,INDEX(views[icon],MATCH($E219,views[object_id order],0)),"")</f>
        <v>#N/A</v>
      </c>
      <c r="N219" t="e">
        <f>IF(OR(D219=Lookup!$L$11,D219=Lookup!$L$12),INDEX(views[[1]:[25]],MATCH($E219,views[object_id order],0),G219),"")</f>
        <v>#N/A</v>
      </c>
      <c r="O219" t="str">
        <f t="shared" si="10"/>
        <v/>
      </c>
      <c r="P219" s="8" t="e">
        <f>INDEX(Lookup!$M$5:$M$12,MATCH(D219,Lookup!$L$5:$L$12,0))&amp;
K219&amp;L219&amp;M219&amp;N219&amp;
INDEX(Lookup!$N$5:$N$12,MATCH(D219,Lookup!$L$5:$L$12,0))</f>
        <v>#N/A</v>
      </c>
    </row>
    <row r="220" spans="2:16" x14ac:dyDescent="0.45">
      <c r="B220">
        <f t="shared" si="9"/>
        <v>218</v>
      </c>
      <c r="C220" t="e">
        <f t="shared" si="11"/>
        <v>#N/A</v>
      </c>
      <c r="D220" t="e">
        <f>VLOOKUP(C220,Lookup!$K$5:$L$12,2,FALSE)</f>
        <v>#N/A</v>
      </c>
      <c r="E220" t="e">
        <f>IF(D220=Lookup!$L$5,E219+1,E219)</f>
        <v>#N/A</v>
      </c>
      <c r="F220" s="3" t="e">
        <f>INDEX(views[Entities count],MATCH('view-code'!E220,views[object_id order],0))</f>
        <v>#N/A</v>
      </c>
      <c r="G220" t="e">
        <f>IF(D219=Lookup!$L$10,1,IF(D219=Lookup!$L$11,G219+1,""))</f>
        <v>#N/A</v>
      </c>
      <c r="H220" t="e">
        <f>IF(F220=1,IF(D220=Lookup!$L$10,2,1),IF(G220&lt;F220-1,0,1))</f>
        <v>#N/A</v>
      </c>
      <c r="I220" t="e">
        <f>IF(D220&lt;&gt;Lookup!$L$7,0,IF(INDEX(views[name],MATCH(E220,views[object_id order],0))&lt;&gt;"",0,1))</f>
        <v>#N/A</v>
      </c>
      <c r="J220" t="e">
        <f>IF(D220&lt;&gt;Lookup!$L$7,0,IF(INDEX(views[icon],MATCH(E220,views[object_id order],0))&lt;&gt;"",0,1))</f>
        <v>#N/A</v>
      </c>
      <c r="K220" t="e">
        <f>IF($D220=Lookup!$L$6,INDEX(views[object_id],MATCH($E220,views[object_id order],0)),"")</f>
        <v>#N/A</v>
      </c>
      <c r="L220" t="e">
        <f>IF($D220=Lookup!$L$8,INDEX(views[name],MATCH($E220,views[object_id order],0)),"")</f>
        <v>#N/A</v>
      </c>
      <c r="M220" t="e">
        <f>IF($D220=Lookup!$L$9,INDEX(views[icon],MATCH($E220,views[object_id order],0)),"")</f>
        <v>#N/A</v>
      </c>
      <c r="N220" t="e">
        <f>IF(OR(D220=Lookup!$L$11,D220=Lookup!$L$12),INDEX(views[[1]:[25]],MATCH($E220,views[object_id order],0),G220),"")</f>
        <v>#N/A</v>
      </c>
      <c r="O220" t="str">
        <f t="shared" si="10"/>
        <v/>
      </c>
      <c r="P220" s="8" t="e">
        <f>INDEX(Lookup!$M$5:$M$12,MATCH(D220,Lookup!$L$5:$L$12,0))&amp;
K220&amp;L220&amp;M220&amp;N220&amp;
INDEX(Lookup!$N$5:$N$12,MATCH(D220,Lookup!$L$5:$L$12,0))</f>
        <v>#N/A</v>
      </c>
    </row>
    <row r="221" spans="2:16" x14ac:dyDescent="0.45">
      <c r="B221">
        <f t="shared" si="9"/>
        <v>219</v>
      </c>
      <c r="C221" t="e">
        <f t="shared" si="11"/>
        <v>#N/A</v>
      </c>
      <c r="D221" t="e">
        <f>VLOOKUP(C221,Lookup!$K$5:$L$12,2,FALSE)</f>
        <v>#N/A</v>
      </c>
      <c r="E221" t="e">
        <f>IF(D221=Lookup!$L$5,E220+1,E220)</f>
        <v>#N/A</v>
      </c>
      <c r="F221" s="3" t="e">
        <f>INDEX(views[Entities count],MATCH('view-code'!E221,views[object_id order],0))</f>
        <v>#N/A</v>
      </c>
      <c r="G221" t="e">
        <f>IF(D220=Lookup!$L$10,1,IF(D220=Lookup!$L$11,G220+1,""))</f>
        <v>#N/A</v>
      </c>
      <c r="H221" t="e">
        <f>IF(F221=1,IF(D221=Lookup!$L$10,2,1),IF(G221&lt;F221-1,0,1))</f>
        <v>#N/A</v>
      </c>
      <c r="I221" t="e">
        <f>IF(D221&lt;&gt;Lookup!$L$7,0,IF(INDEX(views[name],MATCH(E221,views[object_id order],0))&lt;&gt;"",0,1))</f>
        <v>#N/A</v>
      </c>
      <c r="J221" t="e">
        <f>IF(D221&lt;&gt;Lookup!$L$7,0,IF(INDEX(views[icon],MATCH(E221,views[object_id order],0))&lt;&gt;"",0,1))</f>
        <v>#N/A</v>
      </c>
      <c r="K221" t="e">
        <f>IF($D221=Lookup!$L$6,INDEX(views[object_id],MATCH($E221,views[object_id order],0)),"")</f>
        <v>#N/A</v>
      </c>
      <c r="L221" t="e">
        <f>IF($D221=Lookup!$L$8,INDEX(views[name],MATCH($E221,views[object_id order],0)),"")</f>
        <v>#N/A</v>
      </c>
      <c r="M221" t="e">
        <f>IF($D221=Lookup!$L$9,INDEX(views[icon],MATCH($E221,views[object_id order],0)),"")</f>
        <v>#N/A</v>
      </c>
      <c r="N221" t="e">
        <f>IF(OR(D221=Lookup!$L$11,D221=Lookup!$L$12),INDEX(views[[1]:[25]],MATCH($E221,views[object_id order],0),G221),"")</f>
        <v>#N/A</v>
      </c>
      <c r="O221" t="str">
        <f t="shared" si="10"/>
        <v/>
      </c>
      <c r="P221" s="8" t="e">
        <f>INDEX(Lookup!$M$5:$M$12,MATCH(D221,Lookup!$L$5:$L$12,0))&amp;
K221&amp;L221&amp;M221&amp;N221&amp;
INDEX(Lookup!$N$5:$N$12,MATCH(D221,Lookup!$L$5:$L$12,0))</f>
        <v>#N/A</v>
      </c>
    </row>
    <row r="222" spans="2:16" x14ac:dyDescent="0.45">
      <c r="B222">
        <f t="shared" si="9"/>
        <v>220</v>
      </c>
      <c r="C222" t="e">
        <f t="shared" si="11"/>
        <v>#N/A</v>
      </c>
      <c r="D222" t="e">
        <f>VLOOKUP(C222,Lookup!$K$5:$L$12,2,FALSE)</f>
        <v>#N/A</v>
      </c>
      <c r="E222" t="e">
        <f>IF(D222=Lookup!$L$5,E221+1,E221)</f>
        <v>#N/A</v>
      </c>
      <c r="F222" s="3" t="e">
        <f>INDEX(views[Entities count],MATCH('view-code'!E222,views[object_id order],0))</f>
        <v>#N/A</v>
      </c>
      <c r="G222" t="e">
        <f>IF(D221=Lookup!$L$10,1,IF(D221=Lookup!$L$11,G221+1,""))</f>
        <v>#N/A</v>
      </c>
      <c r="H222" t="e">
        <f>IF(F222=1,IF(D222=Lookup!$L$10,2,1),IF(G222&lt;F222-1,0,1))</f>
        <v>#N/A</v>
      </c>
      <c r="I222" t="e">
        <f>IF(D222&lt;&gt;Lookup!$L$7,0,IF(INDEX(views[name],MATCH(E222,views[object_id order],0))&lt;&gt;"",0,1))</f>
        <v>#N/A</v>
      </c>
      <c r="J222" t="e">
        <f>IF(D222&lt;&gt;Lookup!$L$7,0,IF(INDEX(views[icon],MATCH(E222,views[object_id order],0))&lt;&gt;"",0,1))</f>
        <v>#N/A</v>
      </c>
      <c r="K222" t="e">
        <f>IF($D222=Lookup!$L$6,INDEX(views[object_id],MATCH($E222,views[object_id order],0)),"")</f>
        <v>#N/A</v>
      </c>
      <c r="L222" t="e">
        <f>IF($D222=Lookup!$L$8,INDEX(views[name],MATCH($E222,views[object_id order],0)),"")</f>
        <v>#N/A</v>
      </c>
      <c r="M222" t="e">
        <f>IF($D222=Lookup!$L$9,INDEX(views[icon],MATCH($E222,views[object_id order],0)),"")</f>
        <v>#N/A</v>
      </c>
      <c r="N222" t="e">
        <f>IF(OR(D222=Lookup!$L$11,D222=Lookup!$L$12),INDEX(views[[1]:[25]],MATCH($E222,views[object_id order],0),G222),"")</f>
        <v>#N/A</v>
      </c>
      <c r="O222" t="str">
        <f t="shared" si="10"/>
        <v/>
      </c>
      <c r="P222" s="8" t="e">
        <f>INDEX(Lookup!$M$5:$M$12,MATCH(D222,Lookup!$L$5:$L$12,0))&amp;
K222&amp;L222&amp;M222&amp;N222&amp;
INDEX(Lookup!$N$5:$N$12,MATCH(D222,Lookup!$L$5:$L$12,0))</f>
        <v>#N/A</v>
      </c>
    </row>
    <row r="223" spans="2:16" x14ac:dyDescent="0.45">
      <c r="B223">
        <f t="shared" si="9"/>
        <v>221</v>
      </c>
      <c r="C223" t="e">
        <f t="shared" si="11"/>
        <v>#N/A</v>
      </c>
      <c r="D223" t="e">
        <f>VLOOKUP(C223,Lookup!$K$5:$L$12,2,FALSE)</f>
        <v>#N/A</v>
      </c>
      <c r="E223" t="e">
        <f>IF(D223=Lookup!$L$5,E222+1,E222)</f>
        <v>#N/A</v>
      </c>
      <c r="F223" s="3" t="e">
        <f>INDEX(views[Entities count],MATCH('view-code'!E223,views[object_id order],0))</f>
        <v>#N/A</v>
      </c>
      <c r="G223" t="e">
        <f>IF(D222=Lookup!$L$10,1,IF(D222=Lookup!$L$11,G222+1,""))</f>
        <v>#N/A</v>
      </c>
      <c r="H223" t="e">
        <f>IF(F223=1,IF(D223=Lookup!$L$10,2,1),IF(G223&lt;F223-1,0,1))</f>
        <v>#N/A</v>
      </c>
      <c r="I223" t="e">
        <f>IF(D223&lt;&gt;Lookup!$L$7,0,IF(INDEX(views[name],MATCH(E223,views[object_id order],0))&lt;&gt;"",0,1))</f>
        <v>#N/A</v>
      </c>
      <c r="J223" t="e">
        <f>IF(D223&lt;&gt;Lookup!$L$7,0,IF(INDEX(views[icon],MATCH(E223,views[object_id order],0))&lt;&gt;"",0,1))</f>
        <v>#N/A</v>
      </c>
      <c r="K223" t="e">
        <f>IF($D223=Lookup!$L$6,INDEX(views[object_id],MATCH($E223,views[object_id order],0)),"")</f>
        <v>#N/A</v>
      </c>
      <c r="L223" t="e">
        <f>IF($D223=Lookup!$L$8,INDEX(views[name],MATCH($E223,views[object_id order],0)),"")</f>
        <v>#N/A</v>
      </c>
      <c r="M223" t="e">
        <f>IF($D223=Lookup!$L$9,INDEX(views[icon],MATCH($E223,views[object_id order],0)),"")</f>
        <v>#N/A</v>
      </c>
      <c r="N223" t="e">
        <f>IF(OR(D223=Lookup!$L$11,D223=Lookup!$L$12),INDEX(views[[1]:[25]],MATCH($E223,views[object_id order],0),G223),"")</f>
        <v>#N/A</v>
      </c>
      <c r="O223" t="str">
        <f t="shared" si="10"/>
        <v/>
      </c>
      <c r="P223" s="8" t="e">
        <f>INDEX(Lookup!$M$5:$M$12,MATCH(D223,Lookup!$L$5:$L$12,0))&amp;
K223&amp;L223&amp;M223&amp;N223&amp;
INDEX(Lookup!$N$5:$N$12,MATCH(D223,Lookup!$L$5:$L$12,0))</f>
        <v>#N/A</v>
      </c>
    </row>
    <row r="224" spans="2:16" x14ac:dyDescent="0.45">
      <c r="B224">
        <f t="shared" si="9"/>
        <v>222</v>
      </c>
      <c r="C224" t="e">
        <f t="shared" si="11"/>
        <v>#N/A</v>
      </c>
      <c r="D224" t="e">
        <f>VLOOKUP(C224,Lookup!$K$5:$L$12,2,FALSE)</f>
        <v>#N/A</v>
      </c>
      <c r="E224" t="e">
        <f>IF(D224=Lookup!$L$5,E223+1,E223)</f>
        <v>#N/A</v>
      </c>
      <c r="F224" s="3" t="e">
        <f>INDEX(views[Entities count],MATCH('view-code'!E224,views[object_id order],0))</f>
        <v>#N/A</v>
      </c>
      <c r="G224" t="e">
        <f>IF(D223=Lookup!$L$10,1,IF(D223=Lookup!$L$11,G223+1,""))</f>
        <v>#N/A</v>
      </c>
      <c r="H224" t="e">
        <f>IF(F224=1,IF(D224=Lookup!$L$10,2,1),IF(G224&lt;F224-1,0,1))</f>
        <v>#N/A</v>
      </c>
      <c r="I224" t="e">
        <f>IF(D224&lt;&gt;Lookup!$L$7,0,IF(INDEX(views[name],MATCH(E224,views[object_id order],0))&lt;&gt;"",0,1))</f>
        <v>#N/A</v>
      </c>
      <c r="J224" t="e">
        <f>IF(D224&lt;&gt;Lookup!$L$7,0,IF(INDEX(views[icon],MATCH(E224,views[object_id order],0))&lt;&gt;"",0,1))</f>
        <v>#N/A</v>
      </c>
      <c r="K224" t="e">
        <f>IF($D224=Lookup!$L$6,INDEX(views[object_id],MATCH($E224,views[object_id order],0)),"")</f>
        <v>#N/A</v>
      </c>
      <c r="L224" t="e">
        <f>IF($D224=Lookup!$L$8,INDEX(views[name],MATCH($E224,views[object_id order],0)),"")</f>
        <v>#N/A</v>
      </c>
      <c r="M224" t="e">
        <f>IF($D224=Lookup!$L$9,INDEX(views[icon],MATCH($E224,views[object_id order],0)),"")</f>
        <v>#N/A</v>
      </c>
      <c r="N224" t="e">
        <f>IF(OR(D224=Lookup!$L$11,D224=Lookup!$L$12),INDEX(views[[1]:[25]],MATCH($E224,views[object_id order],0),G224),"")</f>
        <v>#N/A</v>
      </c>
      <c r="O224" t="str">
        <f t="shared" si="10"/>
        <v/>
      </c>
      <c r="P224" s="8" t="e">
        <f>INDEX(Lookup!$M$5:$M$12,MATCH(D224,Lookup!$L$5:$L$12,0))&amp;
K224&amp;L224&amp;M224&amp;N224&amp;
INDEX(Lookup!$N$5:$N$12,MATCH(D224,Lookup!$L$5:$L$12,0))</f>
        <v>#N/A</v>
      </c>
    </row>
    <row r="225" spans="2:16" x14ac:dyDescent="0.45">
      <c r="B225">
        <f t="shared" si="9"/>
        <v>223</v>
      </c>
      <c r="C225" t="e">
        <f t="shared" si="11"/>
        <v>#N/A</v>
      </c>
      <c r="D225" t="e">
        <f>VLOOKUP(C225,Lookup!$K$5:$L$12,2,FALSE)</f>
        <v>#N/A</v>
      </c>
      <c r="E225" t="e">
        <f>IF(D225=Lookup!$L$5,E224+1,E224)</f>
        <v>#N/A</v>
      </c>
      <c r="F225" s="3" t="e">
        <f>INDEX(views[Entities count],MATCH('view-code'!E225,views[object_id order],0))</f>
        <v>#N/A</v>
      </c>
      <c r="G225" t="e">
        <f>IF(D224=Lookup!$L$10,1,IF(D224=Lookup!$L$11,G224+1,""))</f>
        <v>#N/A</v>
      </c>
      <c r="H225" t="e">
        <f>IF(F225=1,IF(D225=Lookup!$L$10,2,1),IF(G225&lt;F225-1,0,1))</f>
        <v>#N/A</v>
      </c>
      <c r="I225" t="e">
        <f>IF(D225&lt;&gt;Lookup!$L$7,0,IF(INDEX(views[name],MATCH(E225,views[object_id order],0))&lt;&gt;"",0,1))</f>
        <v>#N/A</v>
      </c>
      <c r="J225" t="e">
        <f>IF(D225&lt;&gt;Lookup!$L$7,0,IF(INDEX(views[icon],MATCH(E225,views[object_id order],0))&lt;&gt;"",0,1))</f>
        <v>#N/A</v>
      </c>
      <c r="K225" t="e">
        <f>IF($D225=Lookup!$L$6,INDEX(views[object_id],MATCH($E225,views[object_id order],0)),"")</f>
        <v>#N/A</v>
      </c>
      <c r="L225" t="e">
        <f>IF($D225=Lookup!$L$8,INDEX(views[name],MATCH($E225,views[object_id order],0)),"")</f>
        <v>#N/A</v>
      </c>
      <c r="M225" t="e">
        <f>IF($D225=Lookup!$L$9,INDEX(views[icon],MATCH($E225,views[object_id order],0)),"")</f>
        <v>#N/A</v>
      </c>
      <c r="N225" t="e">
        <f>IF(OR(D225=Lookup!$L$11,D225=Lookup!$L$12),INDEX(views[[1]:[25]],MATCH($E225,views[object_id order],0),G225),"")</f>
        <v>#N/A</v>
      </c>
      <c r="O225" t="str">
        <f t="shared" si="10"/>
        <v/>
      </c>
      <c r="P225" s="8" t="e">
        <f>INDEX(Lookup!$M$5:$M$12,MATCH(D225,Lookup!$L$5:$L$12,0))&amp;
K225&amp;L225&amp;M225&amp;N225&amp;
INDEX(Lookup!$N$5:$N$12,MATCH(D225,Lookup!$L$5:$L$12,0))</f>
        <v>#N/A</v>
      </c>
    </row>
    <row r="226" spans="2:16" x14ac:dyDescent="0.45">
      <c r="B226">
        <f t="shared" si="9"/>
        <v>224</v>
      </c>
      <c r="C226" t="e">
        <f t="shared" si="11"/>
        <v>#N/A</v>
      </c>
      <c r="D226" t="e">
        <f>VLOOKUP(C226,Lookup!$K$5:$L$12,2,FALSE)</f>
        <v>#N/A</v>
      </c>
      <c r="E226" t="e">
        <f>IF(D226=Lookup!$L$5,E225+1,E225)</f>
        <v>#N/A</v>
      </c>
      <c r="F226" s="3" t="e">
        <f>INDEX(views[Entities count],MATCH('view-code'!E226,views[object_id order],0))</f>
        <v>#N/A</v>
      </c>
      <c r="G226" t="e">
        <f>IF(D225=Lookup!$L$10,1,IF(D225=Lookup!$L$11,G225+1,""))</f>
        <v>#N/A</v>
      </c>
      <c r="H226" t="e">
        <f>IF(F226=1,IF(D226=Lookup!$L$10,2,1),IF(G226&lt;F226-1,0,1))</f>
        <v>#N/A</v>
      </c>
      <c r="I226" t="e">
        <f>IF(D226&lt;&gt;Lookup!$L$7,0,IF(INDEX(views[name],MATCH(E226,views[object_id order],0))&lt;&gt;"",0,1))</f>
        <v>#N/A</v>
      </c>
      <c r="J226" t="e">
        <f>IF(D226&lt;&gt;Lookup!$L$7,0,IF(INDEX(views[icon],MATCH(E226,views[object_id order],0))&lt;&gt;"",0,1))</f>
        <v>#N/A</v>
      </c>
      <c r="K226" t="e">
        <f>IF($D226=Lookup!$L$6,INDEX(views[object_id],MATCH($E226,views[object_id order],0)),"")</f>
        <v>#N/A</v>
      </c>
      <c r="L226" t="e">
        <f>IF($D226=Lookup!$L$8,INDEX(views[name],MATCH($E226,views[object_id order],0)),"")</f>
        <v>#N/A</v>
      </c>
      <c r="M226" t="e">
        <f>IF($D226=Lookup!$L$9,INDEX(views[icon],MATCH($E226,views[object_id order],0)),"")</f>
        <v>#N/A</v>
      </c>
      <c r="N226" t="e">
        <f>IF(OR(D226=Lookup!$L$11,D226=Lookup!$L$12),INDEX(views[[1]:[25]],MATCH($E226,views[object_id order],0),G226),"")</f>
        <v>#N/A</v>
      </c>
      <c r="O226" t="str">
        <f t="shared" si="10"/>
        <v/>
      </c>
      <c r="P226" s="8" t="e">
        <f>INDEX(Lookup!$M$5:$M$12,MATCH(D226,Lookup!$L$5:$L$12,0))&amp;
K226&amp;L226&amp;M226&amp;N226&amp;
INDEX(Lookup!$N$5:$N$12,MATCH(D226,Lookup!$L$5:$L$12,0))</f>
        <v>#N/A</v>
      </c>
    </row>
    <row r="227" spans="2:16" x14ac:dyDescent="0.45">
      <c r="B227">
        <f t="shared" si="9"/>
        <v>225</v>
      </c>
      <c r="C227" t="e">
        <f t="shared" si="11"/>
        <v>#N/A</v>
      </c>
      <c r="D227" t="e">
        <f>VLOOKUP(C227,Lookup!$K$5:$L$12,2,FALSE)</f>
        <v>#N/A</v>
      </c>
      <c r="E227" t="e">
        <f>IF(D227=Lookup!$L$5,E226+1,E226)</f>
        <v>#N/A</v>
      </c>
      <c r="F227" s="3" t="e">
        <f>INDEX(views[Entities count],MATCH('view-code'!E227,views[object_id order],0))</f>
        <v>#N/A</v>
      </c>
      <c r="G227" t="e">
        <f>IF(D226=Lookup!$L$10,1,IF(D226=Lookup!$L$11,G226+1,""))</f>
        <v>#N/A</v>
      </c>
      <c r="H227" t="e">
        <f>IF(F227=1,IF(D227=Lookup!$L$10,2,1),IF(G227&lt;F227-1,0,1))</f>
        <v>#N/A</v>
      </c>
      <c r="I227" t="e">
        <f>IF(D227&lt;&gt;Lookup!$L$7,0,IF(INDEX(views[name],MATCH(E227,views[object_id order],0))&lt;&gt;"",0,1))</f>
        <v>#N/A</v>
      </c>
      <c r="J227" t="e">
        <f>IF(D227&lt;&gt;Lookup!$L$7,0,IF(INDEX(views[icon],MATCH(E227,views[object_id order],0))&lt;&gt;"",0,1))</f>
        <v>#N/A</v>
      </c>
      <c r="K227" t="e">
        <f>IF($D227=Lookup!$L$6,INDEX(views[object_id],MATCH($E227,views[object_id order],0)),"")</f>
        <v>#N/A</v>
      </c>
      <c r="L227" t="e">
        <f>IF($D227=Lookup!$L$8,INDEX(views[name],MATCH($E227,views[object_id order],0)),"")</f>
        <v>#N/A</v>
      </c>
      <c r="M227" t="e">
        <f>IF($D227=Lookup!$L$9,INDEX(views[icon],MATCH($E227,views[object_id order],0)),"")</f>
        <v>#N/A</v>
      </c>
      <c r="N227" t="e">
        <f>IF(OR(D227=Lookup!$L$11,D227=Lookup!$L$12),INDEX(views[[1]:[25]],MATCH($E227,views[object_id order],0),G227),"")</f>
        <v>#N/A</v>
      </c>
      <c r="O227" t="str">
        <f t="shared" si="10"/>
        <v/>
      </c>
      <c r="P227" s="8" t="e">
        <f>INDEX(Lookup!$M$5:$M$12,MATCH(D227,Lookup!$L$5:$L$12,0))&amp;
K227&amp;L227&amp;M227&amp;N227&amp;
INDEX(Lookup!$N$5:$N$12,MATCH(D227,Lookup!$L$5:$L$12,0))</f>
        <v>#N/A</v>
      </c>
    </row>
    <row r="228" spans="2:16" x14ac:dyDescent="0.45">
      <c r="B228">
        <f t="shared" si="9"/>
        <v>226</v>
      </c>
      <c r="C228" t="e">
        <f t="shared" si="11"/>
        <v>#N/A</v>
      </c>
      <c r="D228" t="e">
        <f>VLOOKUP(C228,Lookup!$K$5:$L$12,2,FALSE)</f>
        <v>#N/A</v>
      </c>
      <c r="E228" t="e">
        <f>IF(D228=Lookup!$L$5,E227+1,E227)</f>
        <v>#N/A</v>
      </c>
      <c r="F228" s="3" t="e">
        <f>INDEX(views[Entities count],MATCH('view-code'!E228,views[object_id order],0))</f>
        <v>#N/A</v>
      </c>
      <c r="G228" t="e">
        <f>IF(D227=Lookup!$L$10,1,IF(D227=Lookup!$L$11,G227+1,""))</f>
        <v>#N/A</v>
      </c>
      <c r="H228" t="e">
        <f>IF(F228=1,IF(D228=Lookup!$L$10,2,1),IF(G228&lt;F228-1,0,1))</f>
        <v>#N/A</v>
      </c>
      <c r="I228" t="e">
        <f>IF(D228&lt;&gt;Lookup!$L$7,0,IF(INDEX(views[name],MATCH(E228,views[object_id order],0))&lt;&gt;"",0,1))</f>
        <v>#N/A</v>
      </c>
      <c r="J228" t="e">
        <f>IF(D228&lt;&gt;Lookup!$L$7,0,IF(INDEX(views[icon],MATCH(E228,views[object_id order],0))&lt;&gt;"",0,1))</f>
        <v>#N/A</v>
      </c>
      <c r="K228" t="e">
        <f>IF($D228=Lookup!$L$6,INDEX(views[object_id],MATCH($E228,views[object_id order],0)),"")</f>
        <v>#N/A</v>
      </c>
      <c r="L228" t="e">
        <f>IF($D228=Lookup!$L$8,INDEX(views[name],MATCH($E228,views[object_id order],0)),"")</f>
        <v>#N/A</v>
      </c>
      <c r="M228" t="e">
        <f>IF($D228=Lookup!$L$9,INDEX(views[icon],MATCH($E228,views[object_id order],0)),"")</f>
        <v>#N/A</v>
      </c>
      <c r="N228" t="e">
        <f>IF(OR(D228=Lookup!$L$11,D228=Lookup!$L$12),INDEX(views[[1]:[25]],MATCH($E228,views[object_id order],0),G228),"")</f>
        <v>#N/A</v>
      </c>
      <c r="O228" t="str">
        <f t="shared" si="10"/>
        <v/>
      </c>
      <c r="P228" s="8" t="e">
        <f>INDEX(Lookup!$M$5:$M$12,MATCH(D228,Lookup!$L$5:$L$12,0))&amp;
K228&amp;L228&amp;M228&amp;N228&amp;
INDEX(Lookup!$N$5:$N$12,MATCH(D228,Lookup!$L$5:$L$12,0))</f>
        <v>#N/A</v>
      </c>
    </row>
    <row r="229" spans="2:16" x14ac:dyDescent="0.45">
      <c r="B229">
        <f t="shared" si="9"/>
        <v>227</v>
      </c>
      <c r="C229" t="e">
        <f t="shared" si="11"/>
        <v>#N/A</v>
      </c>
      <c r="D229" t="e">
        <f>VLOOKUP(C229,Lookup!$K$5:$L$12,2,FALSE)</f>
        <v>#N/A</v>
      </c>
      <c r="E229" t="e">
        <f>IF(D229=Lookup!$L$5,E228+1,E228)</f>
        <v>#N/A</v>
      </c>
      <c r="F229" s="3" t="e">
        <f>INDEX(views[Entities count],MATCH('view-code'!E229,views[object_id order],0))</f>
        <v>#N/A</v>
      </c>
      <c r="G229" t="e">
        <f>IF(D228=Lookup!$L$10,1,IF(D228=Lookup!$L$11,G228+1,""))</f>
        <v>#N/A</v>
      </c>
      <c r="H229" t="e">
        <f>IF(F229=1,IF(D229=Lookup!$L$10,2,1),IF(G229&lt;F229-1,0,1))</f>
        <v>#N/A</v>
      </c>
      <c r="I229" t="e">
        <f>IF(D229&lt;&gt;Lookup!$L$7,0,IF(INDEX(views[name],MATCH(E229,views[object_id order],0))&lt;&gt;"",0,1))</f>
        <v>#N/A</v>
      </c>
      <c r="J229" t="e">
        <f>IF(D229&lt;&gt;Lookup!$L$7,0,IF(INDEX(views[icon],MATCH(E229,views[object_id order],0))&lt;&gt;"",0,1))</f>
        <v>#N/A</v>
      </c>
      <c r="K229" t="e">
        <f>IF($D229=Lookup!$L$6,INDEX(views[object_id],MATCH($E229,views[object_id order],0)),"")</f>
        <v>#N/A</v>
      </c>
      <c r="L229" t="e">
        <f>IF($D229=Lookup!$L$8,INDEX(views[name],MATCH($E229,views[object_id order],0)),"")</f>
        <v>#N/A</v>
      </c>
      <c r="M229" t="e">
        <f>IF($D229=Lookup!$L$9,INDEX(views[icon],MATCH($E229,views[object_id order],0)),"")</f>
        <v>#N/A</v>
      </c>
      <c r="N229" t="e">
        <f>IF(OR(D229=Lookup!$L$11,D229=Lookup!$L$12),INDEX(views[[1]:[25]],MATCH($E229,views[object_id order],0),G229),"")</f>
        <v>#N/A</v>
      </c>
      <c r="O229" t="str">
        <f t="shared" si="10"/>
        <v/>
      </c>
      <c r="P229" s="8" t="e">
        <f>INDEX(Lookup!$M$5:$M$12,MATCH(D229,Lookup!$L$5:$L$12,0))&amp;
K229&amp;L229&amp;M229&amp;N229&amp;
INDEX(Lookup!$N$5:$N$12,MATCH(D229,Lookup!$L$5:$L$12,0))</f>
        <v>#N/A</v>
      </c>
    </row>
    <row r="230" spans="2:16" x14ac:dyDescent="0.45">
      <c r="B230">
        <f t="shared" si="9"/>
        <v>228</v>
      </c>
      <c r="C230" t="e">
        <f t="shared" si="11"/>
        <v>#N/A</v>
      </c>
      <c r="D230" t="e">
        <f>VLOOKUP(C230,Lookup!$K$5:$L$12,2,FALSE)</f>
        <v>#N/A</v>
      </c>
      <c r="E230" t="e">
        <f>IF(D230=Lookup!$L$5,E229+1,E229)</f>
        <v>#N/A</v>
      </c>
      <c r="F230" s="3" t="e">
        <f>INDEX(views[Entities count],MATCH('view-code'!E230,views[object_id order],0))</f>
        <v>#N/A</v>
      </c>
      <c r="G230" t="e">
        <f>IF(D229=Lookup!$L$10,1,IF(D229=Lookup!$L$11,G229+1,""))</f>
        <v>#N/A</v>
      </c>
      <c r="H230" t="e">
        <f>IF(F230=1,IF(D230=Lookup!$L$10,2,1),IF(G230&lt;F230-1,0,1))</f>
        <v>#N/A</v>
      </c>
      <c r="I230" t="e">
        <f>IF(D230&lt;&gt;Lookup!$L$7,0,IF(INDEX(views[name],MATCH(E230,views[object_id order],0))&lt;&gt;"",0,1))</f>
        <v>#N/A</v>
      </c>
      <c r="J230" t="e">
        <f>IF(D230&lt;&gt;Lookup!$L$7,0,IF(INDEX(views[icon],MATCH(E230,views[object_id order],0))&lt;&gt;"",0,1))</f>
        <v>#N/A</v>
      </c>
      <c r="K230" t="e">
        <f>IF($D230=Lookup!$L$6,INDEX(views[object_id],MATCH($E230,views[object_id order],0)),"")</f>
        <v>#N/A</v>
      </c>
      <c r="L230" t="e">
        <f>IF($D230=Lookup!$L$8,INDEX(views[name],MATCH($E230,views[object_id order],0)),"")</f>
        <v>#N/A</v>
      </c>
      <c r="M230" t="e">
        <f>IF($D230=Lookup!$L$9,INDEX(views[icon],MATCH($E230,views[object_id order],0)),"")</f>
        <v>#N/A</v>
      </c>
      <c r="N230" t="e">
        <f>IF(OR(D230=Lookup!$L$11,D230=Lookup!$L$12),INDEX(views[[1]:[25]],MATCH($E230,views[object_id order],0),G230),"")</f>
        <v>#N/A</v>
      </c>
      <c r="O230" t="str">
        <f t="shared" si="10"/>
        <v/>
      </c>
      <c r="P230" s="8" t="e">
        <f>INDEX(Lookup!$M$5:$M$12,MATCH(D230,Lookup!$L$5:$L$12,0))&amp;
K230&amp;L230&amp;M230&amp;N230&amp;
INDEX(Lookup!$N$5:$N$12,MATCH(D230,Lookup!$L$5:$L$12,0))</f>
        <v>#N/A</v>
      </c>
    </row>
    <row r="231" spans="2:16" x14ac:dyDescent="0.45">
      <c r="B231">
        <f t="shared" si="9"/>
        <v>229</v>
      </c>
      <c r="C231" t="e">
        <f t="shared" si="11"/>
        <v>#N/A</v>
      </c>
      <c r="D231" t="e">
        <f>VLOOKUP(C231,Lookup!$K$5:$L$12,2,FALSE)</f>
        <v>#N/A</v>
      </c>
      <c r="E231" t="e">
        <f>IF(D231=Lookup!$L$5,E230+1,E230)</f>
        <v>#N/A</v>
      </c>
      <c r="F231" s="3" t="e">
        <f>INDEX(views[Entities count],MATCH('view-code'!E231,views[object_id order],0))</f>
        <v>#N/A</v>
      </c>
      <c r="G231" t="e">
        <f>IF(D230=Lookup!$L$10,1,IF(D230=Lookup!$L$11,G230+1,""))</f>
        <v>#N/A</v>
      </c>
      <c r="H231" t="e">
        <f>IF(F231=1,IF(D231=Lookup!$L$10,2,1),IF(G231&lt;F231-1,0,1))</f>
        <v>#N/A</v>
      </c>
      <c r="I231" t="e">
        <f>IF(D231&lt;&gt;Lookup!$L$7,0,IF(INDEX(views[name],MATCH(E231,views[object_id order],0))&lt;&gt;"",0,1))</f>
        <v>#N/A</v>
      </c>
      <c r="J231" t="e">
        <f>IF(D231&lt;&gt;Lookup!$L$7,0,IF(INDEX(views[icon],MATCH(E231,views[object_id order],0))&lt;&gt;"",0,1))</f>
        <v>#N/A</v>
      </c>
      <c r="K231" t="e">
        <f>IF($D231=Lookup!$L$6,INDEX(views[object_id],MATCH($E231,views[object_id order],0)),"")</f>
        <v>#N/A</v>
      </c>
      <c r="L231" t="e">
        <f>IF($D231=Lookup!$L$8,INDEX(views[name],MATCH($E231,views[object_id order],0)),"")</f>
        <v>#N/A</v>
      </c>
      <c r="M231" t="e">
        <f>IF($D231=Lookup!$L$9,INDEX(views[icon],MATCH($E231,views[object_id order],0)),"")</f>
        <v>#N/A</v>
      </c>
      <c r="N231" t="e">
        <f>IF(OR(D231=Lookup!$L$11,D231=Lookup!$L$12),INDEX(views[[1]:[25]],MATCH($E231,views[object_id order],0),G231),"")</f>
        <v>#N/A</v>
      </c>
      <c r="O231" t="str">
        <f t="shared" si="10"/>
        <v/>
      </c>
      <c r="P231" s="8" t="e">
        <f>INDEX(Lookup!$M$5:$M$12,MATCH(D231,Lookup!$L$5:$L$12,0))&amp;
K231&amp;L231&amp;M231&amp;N231&amp;
INDEX(Lookup!$N$5:$N$12,MATCH(D231,Lookup!$L$5:$L$12,0))</f>
        <v>#N/A</v>
      </c>
    </row>
    <row r="232" spans="2:16" x14ac:dyDescent="0.45">
      <c r="B232">
        <f t="shared" si="9"/>
        <v>230</v>
      </c>
      <c r="C232" t="e">
        <f t="shared" si="11"/>
        <v>#N/A</v>
      </c>
      <c r="D232" t="e">
        <f>VLOOKUP(C232,Lookup!$K$5:$L$12,2,FALSE)</f>
        <v>#N/A</v>
      </c>
      <c r="E232" t="e">
        <f>IF(D232=Lookup!$L$5,E231+1,E231)</f>
        <v>#N/A</v>
      </c>
      <c r="F232" s="3" t="e">
        <f>INDEX(views[Entities count],MATCH('view-code'!E232,views[object_id order],0))</f>
        <v>#N/A</v>
      </c>
      <c r="G232" t="e">
        <f>IF(D231=Lookup!$L$10,1,IF(D231=Lookup!$L$11,G231+1,""))</f>
        <v>#N/A</v>
      </c>
      <c r="H232" t="e">
        <f>IF(F232=1,IF(D232=Lookup!$L$10,2,1),IF(G232&lt;F232-1,0,1))</f>
        <v>#N/A</v>
      </c>
      <c r="I232" t="e">
        <f>IF(D232&lt;&gt;Lookup!$L$7,0,IF(INDEX(views[name],MATCH(E232,views[object_id order],0))&lt;&gt;"",0,1))</f>
        <v>#N/A</v>
      </c>
      <c r="J232" t="e">
        <f>IF(D232&lt;&gt;Lookup!$L$7,0,IF(INDEX(views[icon],MATCH(E232,views[object_id order],0))&lt;&gt;"",0,1))</f>
        <v>#N/A</v>
      </c>
      <c r="K232" t="e">
        <f>IF($D232=Lookup!$L$6,INDEX(views[object_id],MATCH($E232,views[object_id order],0)),"")</f>
        <v>#N/A</v>
      </c>
      <c r="L232" t="e">
        <f>IF($D232=Lookup!$L$8,INDEX(views[name],MATCH($E232,views[object_id order],0)),"")</f>
        <v>#N/A</v>
      </c>
      <c r="M232" t="e">
        <f>IF($D232=Lookup!$L$9,INDEX(views[icon],MATCH($E232,views[object_id order],0)),"")</f>
        <v>#N/A</v>
      </c>
      <c r="N232" t="e">
        <f>IF(OR(D232=Lookup!$L$11,D232=Lookup!$L$12),INDEX(views[[1]:[25]],MATCH($E232,views[object_id order],0),G232),"")</f>
        <v>#N/A</v>
      </c>
      <c r="O232" t="str">
        <f t="shared" si="10"/>
        <v/>
      </c>
      <c r="P232" s="8" t="e">
        <f>INDEX(Lookup!$M$5:$M$12,MATCH(D232,Lookup!$L$5:$L$12,0))&amp;
K232&amp;L232&amp;M232&amp;N232&amp;
INDEX(Lookup!$N$5:$N$12,MATCH(D232,Lookup!$L$5:$L$12,0))</f>
        <v>#N/A</v>
      </c>
    </row>
    <row r="233" spans="2:16" x14ac:dyDescent="0.45">
      <c r="B233">
        <f t="shared" si="9"/>
        <v>231</v>
      </c>
      <c r="C233" t="e">
        <f t="shared" si="11"/>
        <v>#N/A</v>
      </c>
      <c r="D233" t="e">
        <f>VLOOKUP(C233,Lookup!$K$5:$L$12,2,FALSE)</f>
        <v>#N/A</v>
      </c>
      <c r="E233" t="e">
        <f>IF(D233=Lookup!$L$5,E232+1,E232)</f>
        <v>#N/A</v>
      </c>
      <c r="F233" s="3" t="e">
        <f>INDEX(views[Entities count],MATCH('view-code'!E233,views[object_id order],0))</f>
        <v>#N/A</v>
      </c>
      <c r="G233" t="e">
        <f>IF(D232=Lookup!$L$10,1,IF(D232=Lookup!$L$11,G232+1,""))</f>
        <v>#N/A</v>
      </c>
      <c r="H233" t="e">
        <f>IF(F233=1,IF(D233=Lookup!$L$10,2,1),IF(G233&lt;F233-1,0,1))</f>
        <v>#N/A</v>
      </c>
      <c r="I233" t="e">
        <f>IF(D233&lt;&gt;Lookup!$L$7,0,IF(INDEX(views[name],MATCH(E233,views[object_id order],0))&lt;&gt;"",0,1))</f>
        <v>#N/A</v>
      </c>
      <c r="J233" t="e">
        <f>IF(D233&lt;&gt;Lookup!$L$7,0,IF(INDEX(views[icon],MATCH(E233,views[object_id order],0))&lt;&gt;"",0,1))</f>
        <v>#N/A</v>
      </c>
      <c r="K233" t="e">
        <f>IF($D233=Lookup!$L$6,INDEX(views[object_id],MATCH($E233,views[object_id order],0)),"")</f>
        <v>#N/A</v>
      </c>
      <c r="L233" t="e">
        <f>IF($D233=Lookup!$L$8,INDEX(views[name],MATCH($E233,views[object_id order],0)),"")</f>
        <v>#N/A</v>
      </c>
      <c r="M233" t="e">
        <f>IF($D233=Lookup!$L$9,INDEX(views[icon],MATCH($E233,views[object_id order],0)),"")</f>
        <v>#N/A</v>
      </c>
      <c r="N233" t="e">
        <f>IF(OR(D233=Lookup!$L$11,D233=Lookup!$L$12),INDEX(views[[1]:[25]],MATCH($E233,views[object_id order],0),G233),"")</f>
        <v>#N/A</v>
      </c>
      <c r="O233" t="str">
        <f t="shared" si="10"/>
        <v/>
      </c>
      <c r="P233" s="8" t="e">
        <f>INDEX(Lookup!$M$5:$M$12,MATCH(D233,Lookup!$L$5:$L$12,0))&amp;
K233&amp;L233&amp;M233&amp;N233&amp;
INDEX(Lookup!$N$5:$N$12,MATCH(D233,Lookup!$L$5:$L$12,0))</f>
        <v>#N/A</v>
      </c>
    </row>
    <row r="234" spans="2:16" x14ac:dyDescent="0.45">
      <c r="B234">
        <f t="shared" si="9"/>
        <v>232</v>
      </c>
      <c r="C234" t="e">
        <f t="shared" si="11"/>
        <v>#N/A</v>
      </c>
      <c r="D234" t="e">
        <f>VLOOKUP(C234,Lookup!$K$5:$L$12,2,FALSE)</f>
        <v>#N/A</v>
      </c>
      <c r="E234" t="e">
        <f>IF(D234=Lookup!$L$5,E233+1,E233)</f>
        <v>#N/A</v>
      </c>
      <c r="F234" s="3" t="e">
        <f>INDEX(views[Entities count],MATCH('view-code'!E234,views[object_id order],0))</f>
        <v>#N/A</v>
      </c>
      <c r="G234" t="e">
        <f>IF(D233=Lookup!$L$10,1,IF(D233=Lookup!$L$11,G233+1,""))</f>
        <v>#N/A</v>
      </c>
      <c r="H234" t="e">
        <f>IF(F234=1,IF(D234=Lookup!$L$10,2,1),IF(G234&lt;F234-1,0,1))</f>
        <v>#N/A</v>
      </c>
      <c r="I234" t="e">
        <f>IF(D234&lt;&gt;Lookup!$L$7,0,IF(INDEX(views[name],MATCH(E234,views[object_id order],0))&lt;&gt;"",0,1))</f>
        <v>#N/A</v>
      </c>
      <c r="J234" t="e">
        <f>IF(D234&lt;&gt;Lookup!$L$7,0,IF(INDEX(views[icon],MATCH(E234,views[object_id order],0))&lt;&gt;"",0,1))</f>
        <v>#N/A</v>
      </c>
      <c r="K234" t="e">
        <f>IF($D234=Lookup!$L$6,INDEX(views[object_id],MATCH($E234,views[object_id order],0)),"")</f>
        <v>#N/A</v>
      </c>
      <c r="L234" t="e">
        <f>IF($D234=Lookup!$L$8,INDEX(views[name],MATCH($E234,views[object_id order],0)),"")</f>
        <v>#N/A</v>
      </c>
      <c r="M234" t="e">
        <f>IF($D234=Lookup!$L$9,INDEX(views[icon],MATCH($E234,views[object_id order],0)),"")</f>
        <v>#N/A</v>
      </c>
      <c r="N234" t="e">
        <f>IF(OR(D234=Lookup!$L$11,D234=Lookup!$L$12),INDEX(views[[1]:[25]],MATCH($E234,views[object_id order],0),G234),"")</f>
        <v>#N/A</v>
      </c>
      <c r="O234" t="str">
        <f t="shared" si="10"/>
        <v/>
      </c>
      <c r="P234" s="8" t="e">
        <f>INDEX(Lookup!$M$5:$M$12,MATCH(D234,Lookup!$L$5:$L$12,0))&amp;
K234&amp;L234&amp;M234&amp;N234&amp;
INDEX(Lookup!$N$5:$N$12,MATCH(D234,Lookup!$L$5:$L$12,0))</f>
        <v>#N/A</v>
      </c>
    </row>
    <row r="235" spans="2:16" x14ac:dyDescent="0.45">
      <c r="B235">
        <f t="shared" si="9"/>
        <v>233</v>
      </c>
      <c r="C235" t="e">
        <f t="shared" si="11"/>
        <v>#N/A</v>
      </c>
      <c r="D235" t="e">
        <f>VLOOKUP(C235,Lookup!$K$5:$L$12,2,FALSE)</f>
        <v>#N/A</v>
      </c>
      <c r="E235" t="e">
        <f>IF(D235=Lookup!$L$5,E234+1,E234)</f>
        <v>#N/A</v>
      </c>
      <c r="F235" s="3" t="e">
        <f>INDEX(views[Entities count],MATCH('view-code'!E235,views[object_id order],0))</f>
        <v>#N/A</v>
      </c>
      <c r="G235" t="e">
        <f>IF(D234=Lookup!$L$10,1,IF(D234=Lookup!$L$11,G234+1,""))</f>
        <v>#N/A</v>
      </c>
      <c r="H235" t="e">
        <f>IF(F235=1,IF(D235=Lookup!$L$10,2,1),IF(G235&lt;F235-1,0,1))</f>
        <v>#N/A</v>
      </c>
      <c r="I235" t="e">
        <f>IF(D235&lt;&gt;Lookup!$L$7,0,IF(INDEX(views[name],MATCH(E235,views[object_id order],0))&lt;&gt;"",0,1))</f>
        <v>#N/A</v>
      </c>
      <c r="J235" t="e">
        <f>IF(D235&lt;&gt;Lookup!$L$7,0,IF(INDEX(views[icon],MATCH(E235,views[object_id order],0))&lt;&gt;"",0,1))</f>
        <v>#N/A</v>
      </c>
      <c r="K235" t="e">
        <f>IF($D235=Lookup!$L$6,INDEX(views[object_id],MATCH($E235,views[object_id order],0)),"")</f>
        <v>#N/A</v>
      </c>
      <c r="L235" t="e">
        <f>IF($D235=Lookup!$L$8,INDEX(views[name],MATCH($E235,views[object_id order],0)),"")</f>
        <v>#N/A</v>
      </c>
      <c r="M235" t="e">
        <f>IF($D235=Lookup!$L$9,INDEX(views[icon],MATCH($E235,views[object_id order],0)),"")</f>
        <v>#N/A</v>
      </c>
      <c r="N235" t="e">
        <f>IF(OR(D235=Lookup!$L$11,D235=Lookup!$L$12),INDEX(views[[1]:[25]],MATCH($E235,views[object_id order],0),G235),"")</f>
        <v>#N/A</v>
      </c>
      <c r="O235" t="str">
        <f t="shared" si="10"/>
        <v/>
      </c>
      <c r="P235" s="8" t="e">
        <f>INDEX(Lookup!$M$5:$M$12,MATCH(D235,Lookup!$L$5:$L$12,0))&amp;
K235&amp;L235&amp;M235&amp;N235&amp;
INDEX(Lookup!$N$5:$N$12,MATCH(D235,Lookup!$L$5:$L$12,0))</f>
        <v>#N/A</v>
      </c>
    </row>
    <row r="236" spans="2:16" x14ac:dyDescent="0.45">
      <c r="B236">
        <f t="shared" si="9"/>
        <v>234</v>
      </c>
      <c r="C236" t="e">
        <f t="shared" si="11"/>
        <v>#N/A</v>
      </c>
      <c r="D236" t="e">
        <f>VLOOKUP(C236,Lookup!$K$5:$L$12,2,FALSE)</f>
        <v>#N/A</v>
      </c>
      <c r="E236" t="e">
        <f>IF(D236=Lookup!$L$5,E235+1,E235)</f>
        <v>#N/A</v>
      </c>
      <c r="F236" s="3" t="e">
        <f>INDEX(views[Entities count],MATCH('view-code'!E236,views[object_id order],0))</f>
        <v>#N/A</v>
      </c>
      <c r="G236" t="e">
        <f>IF(D235=Lookup!$L$10,1,IF(D235=Lookup!$L$11,G235+1,""))</f>
        <v>#N/A</v>
      </c>
      <c r="H236" t="e">
        <f>IF(F236=1,IF(D236=Lookup!$L$10,2,1),IF(G236&lt;F236-1,0,1))</f>
        <v>#N/A</v>
      </c>
      <c r="I236" t="e">
        <f>IF(D236&lt;&gt;Lookup!$L$7,0,IF(INDEX(views[name],MATCH(E236,views[object_id order],0))&lt;&gt;"",0,1))</f>
        <v>#N/A</v>
      </c>
      <c r="J236" t="e">
        <f>IF(D236&lt;&gt;Lookup!$L$7,0,IF(INDEX(views[icon],MATCH(E236,views[object_id order],0))&lt;&gt;"",0,1))</f>
        <v>#N/A</v>
      </c>
      <c r="K236" t="e">
        <f>IF($D236=Lookup!$L$6,INDEX(views[object_id],MATCH($E236,views[object_id order],0)),"")</f>
        <v>#N/A</v>
      </c>
      <c r="L236" t="e">
        <f>IF($D236=Lookup!$L$8,INDEX(views[name],MATCH($E236,views[object_id order],0)),"")</f>
        <v>#N/A</v>
      </c>
      <c r="M236" t="e">
        <f>IF($D236=Lookup!$L$9,INDEX(views[icon],MATCH($E236,views[object_id order],0)),"")</f>
        <v>#N/A</v>
      </c>
      <c r="N236" t="e">
        <f>IF(OR(D236=Lookup!$L$11,D236=Lookup!$L$12),INDEX(views[[1]:[25]],MATCH($E236,views[object_id order],0),G236),"")</f>
        <v>#N/A</v>
      </c>
      <c r="O236" t="str">
        <f t="shared" si="10"/>
        <v/>
      </c>
      <c r="P236" s="8" t="e">
        <f>INDEX(Lookup!$M$5:$M$12,MATCH(D236,Lookup!$L$5:$L$12,0))&amp;
K236&amp;L236&amp;M236&amp;N236&amp;
INDEX(Lookup!$N$5:$N$12,MATCH(D236,Lookup!$L$5:$L$12,0))</f>
        <v>#N/A</v>
      </c>
    </row>
    <row r="237" spans="2:16" x14ac:dyDescent="0.45">
      <c r="B237">
        <f t="shared" si="9"/>
        <v>235</v>
      </c>
      <c r="C237" t="e">
        <f t="shared" si="11"/>
        <v>#N/A</v>
      </c>
      <c r="D237" t="e">
        <f>VLOOKUP(C237,Lookup!$K$5:$L$12,2,FALSE)</f>
        <v>#N/A</v>
      </c>
      <c r="E237" t="e">
        <f>IF(D237=Lookup!$L$5,E236+1,E236)</f>
        <v>#N/A</v>
      </c>
      <c r="F237" s="3" t="e">
        <f>INDEX(views[Entities count],MATCH('view-code'!E237,views[object_id order],0))</f>
        <v>#N/A</v>
      </c>
      <c r="G237" t="e">
        <f>IF(D236=Lookup!$L$10,1,IF(D236=Lookup!$L$11,G236+1,""))</f>
        <v>#N/A</v>
      </c>
      <c r="H237" t="e">
        <f>IF(F237=1,IF(D237=Lookup!$L$10,2,1),IF(G237&lt;F237-1,0,1))</f>
        <v>#N/A</v>
      </c>
      <c r="I237" t="e">
        <f>IF(D237&lt;&gt;Lookup!$L$7,0,IF(INDEX(views[name],MATCH(E237,views[object_id order],0))&lt;&gt;"",0,1))</f>
        <v>#N/A</v>
      </c>
      <c r="J237" t="e">
        <f>IF(D237&lt;&gt;Lookup!$L$7,0,IF(INDEX(views[icon],MATCH(E237,views[object_id order],0))&lt;&gt;"",0,1))</f>
        <v>#N/A</v>
      </c>
      <c r="K237" t="e">
        <f>IF($D237=Lookup!$L$6,INDEX(views[object_id],MATCH($E237,views[object_id order],0)),"")</f>
        <v>#N/A</v>
      </c>
      <c r="L237" t="e">
        <f>IF($D237=Lookup!$L$8,INDEX(views[name],MATCH($E237,views[object_id order],0)),"")</f>
        <v>#N/A</v>
      </c>
      <c r="M237" t="e">
        <f>IF($D237=Lookup!$L$9,INDEX(views[icon],MATCH($E237,views[object_id order],0)),"")</f>
        <v>#N/A</v>
      </c>
      <c r="N237" t="e">
        <f>IF(OR(D237=Lookup!$L$11,D237=Lookup!$L$12),INDEX(views[[1]:[25]],MATCH($E237,views[object_id order],0),G237),"")</f>
        <v>#N/A</v>
      </c>
      <c r="O237" t="str">
        <f t="shared" si="10"/>
        <v/>
      </c>
      <c r="P237" s="8" t="e">
        <f>INDEX(Lookup!$M$5:$M$12,MATCH(D237,Lookup!$L$5:$L$12,0))&amp;
K237&amp;L237&amp;M237&amp;N237&amp;
INDEX(Lookup!$N$5:$N$12,MATCH(D237,Lookup!$L$5:$L$12,0))</f>
        <v>#N/A</v>
      </c>
    </row>
    <row r="238" spans="2:16" x14ac:dyDescent="0.45">
      <c r="B238">
        <f t="shared" si="9"/>
        <v>236</v>
      </c>
      <c r="C238" t="e">
        <f t="shared" si="11"/>
        <v>#N/A</v>
      </c>
      <c r="D238" t="e">
        <f>VLOOKUP(C238,Lookup!$K$5:$L$12,2,FALSE)</f>
        <v>#N/A</v>
      </c>
      <c r="E238" t="e">
        <f>IF(D238=Lookup!$L$5,E237+1,E237)</f>
        <v>#N/A</v>
      </c>
      <c r="F238" s="3" t="e">
        <f>INDEX(views[Entities count],MATCH('view-code'!E238,views[object_id order],0))</f>
        <v>#N/A</v>
      </c>
      <c r="G238" t="e">
        <f>IF(D237=Lookup!$L$10,1,IF(D237=Lookup!$L$11,G237+1,""))</f>
        <v>#N/A</v>
      </c>
      <c r="H238" t="e">
        <f>IF(F238=1,IF(D238=Lookup!$L$10,2,1),IF(G238&lt;F238-1,0,1))</f>
        <v>#N/A</v>
      </c>
      <c r="I238" t="e">
        <f>IF(D238&lt;&gt;Lookup!$L$7,0,IF(INDEX(views[name],MATCH(E238,views[object_id order],0))&lt;&gt;"",0,1))</f>
        <v>#N/A</v>
      </c>
      <c r="J238" t="e">
        <f>IF(D238&lt;&gt;Lookup!$L$7,0,IF(INDEX(views[icon],MATCH(E238,views[object_id order],0))&lt;&gt;"",0,1))</f>
        <v>#N/A</v>
      </c>
      <c r="K238" t="e">
        <f>IF($D238=Lookup!$L$6,INDEX(views[object_id],MATCH($E238,views[object_id order],0)),"")</f>
        <v>#N/A</v>
      </c>
      <c r="L238" t="e">
        <f>IF($D238=Lookup!$L$8,INDEX(views[name],MATCH($E238,views[object_id order],0)),"")</f>
        <v>#N/A</v>
      </c>
      <c r="M238" t="e">
        <f>IF($D238=Lookup!$L$9,INDEX(views[icon],MATCH($E238,views[object_id order],0)),"")</f>
        <v>#N/A</v>
      </c>
      <c r="N238" t="e">
        <f>IF(OR(D238=Lookup!$L$11,D238=Lookup!$L$12),INDEX(views[[1]:[25]],MATCH($E238,views[object_id order],0),G238),"")</f>
        <v>#N/A</v>
      </c>
      <c r="O238" t="str">
        <f t="shared" si="10"/>
        <v/>
      </c>
      <c r="P238" s="8" t="e">
        <f>INDEX(Lookup!$M$5:$M$12,MATCH(D238,Lookup!$L$5:$L$12,0))&amp;
K238&amp;L238&amp;M238&amp;N238&amp;
INDEX(Lookup!$N$5:$N$12,MATCH(D238,Lookup!$L$5:$L$12,0))</f>
        <v>#N/A</v>
      </c>
    </row>
    <row r="239" spans="2:16" x14ac:dyDescent="0.45">
      <c r="B239">
        <f t="shared" si="9"/>
        <v>237</v>
      </c>
      <c r="C239" t="e">
        <f t="shared" si="11"/>
        <v>#N/A</v>
      </c>
      <c r="D239" t="e">
        <f>VLOOKUP(C239,Lookup!$K$5:$L$12,2,FALSE)</f>
        <v>#N/A</v>
      </c>
      <c r="E239" t="e">
        <f>IF(D239=Lookup!$L$5,E238+1,E238)</f>
        <v>#N/A</v>
      </c>
      <c r="F239" s="3" t="e">
        <f>INDEX(views[Entities count],MATCH('view-code'!E239,views[object_id order],0))</f>
        <v>#N/A</v>
      </c>
      <c r="G239" t="e">
        <f>IF(D238=Lookup!$L$10,1,IF(D238=Lookup!$L$11,G238+1,""))</f>
        <v>#N/A</v>
      </c>
      <c r="H239" t="e">
        <f>IF(F239=1,IF(D239=Lookup!$L$10,2,1),IF(G239&lt;F239-1,0,1))</f>
        <v>#N/A</v>
      </c>
      <c r="I239" t="e">
        <f>IF(D239&lt;&gt;Lookup!$L$7,0,IF(INDEX(views[name],MATCH(E239,views[object_id order],0))&lt;&gt;"",0,1))</f>
        <v>#N/A</v>
      </c>
      <c r="J239" t="e">
        <f>IF(D239&lt;&gt;Lookup!$L$7,0,IF(INDEX(views[icon],MATCH(E239,views[object_id order],0))&lt;&gt;"",0,1))</f>
        <v>#N/A</v>
      </c>
      <c r="K239" t="e">
        <f>IF($D239=Lookup!$L$6,INDEX(views[object_id],MATCH($E239,views[object_id order],0)),"")</f>
        <v>#N/A</v>
      </c>
      <c r="L239" t="e">
        <f>IF($D239=Lookup!$L$8,INDEX(views[name],MATCH($E239,views[object_id order],0)),"")</f>
        <v>#N/A</v>
      </c>
      <c r="M239" t="e">
        <f>IF($D239=Lookup!$L$9,INDEX(views[icon],MATCH($E239,views[object_id order],0)),"")</f>
        <v>#N/A</v>
      </c>
      <c r="N239" t="e">
        <f>IF(OR(D239=Lookup!$L$11,D239=Lookup!$L$12),INDEX(views[[1]:[25]],MATCH($E239,views[object_id order],0),G239),"")</f>
        <v>#N/A</v>
      </c>
      <c r="O239" t="str">
        <f t="shared" si="10"/>
        <v/>
      </c>
      <c r="P239" s="8" t="e">
        <f>INDEX(Lookup!$M$5:$M$12,MATCH(D239,Lookup!$L$5:$L$12,0))&amp;
K239&amp;L239&amp;M239&amp;N239&amp;
INDEX(Lookup!$N$5:$N$12,MATCH(D239,Lookup!$L$5:$L$12,0))</f>
        <v>#N/A</v>
      </c>
    </row>
    <row r="240" spans="2:16" x14ac:dyDescent="0.45">
      <c r="B240">
        <f t="shared" si="9"/>
        <v>238</v>
      </c>
      <c r="C240" t="e">
        <f t="shared" si="11"/>
        <v>#N/A</v>
      </c>
      <c r="D240" t="e">
        <f>VLOOKUP(C240,Lookup!$K$5:$L$12,2,FALSE)</f>
        <v>#N/A</v>
      </c>
      <c r="E240" t="e">
        <f>IF(D240=Lookup!$L$5,E239+1,E239)</f>
        <v>#N/A</v>
      </c>
      <c r="F240" s="3" t="e">
        <f>INDEX(views[Entities count],MATCH('view-code'!E240,views[object_id order],0))</f>
        <v>#N/A</v>
      </c>
      <c r="G240" t="e">
        <f>IF(D239=Lookup!$L$10,1,IF(D239=Lookup!$L$11,G239+1,""))</f>
        <v>#N/A</v>
      </c>
      <c r="H240" t="e">
        <f>IF(F240=1,IF(D240=Lookup!$L$10,2,1),IF(G240&lt;F240-1,0,1))</f>
        <v>#N/A</v>
      </c>
      <c r="I240" t="e">
        <f>IF(D240&lt;&gt;Lookup!$L$7,0,IF(INDEX(views[name],MATCH(E240,views[object_id order],0))&lt;&gt;"",0,1))</f>
        <v>#N/A</v>
      </c>
      <c r="J240" t="e">
        <f>IF(D240&lt;&gt;Lookup!$L$7,0,IF(INDEX(views[icon],MATCH(E240,views[object_id order],0))&lt;&gt;"",0,1))</f>
        <v>#N/A</v>
      </c>
      <c r="K240" t="e">
        <f>IF($D240=Lookup!$L$6,INDEX(views[object_id],MATCH($E240,views[object_id order],0)),"")</f>
        <v>#N/A</v>
      </c>
      <c r="L240" t="e">
        <f>IF($D240=Lookup!$L$8,INDEX(views[name],MATCH($E240,views[object_id order],0)),"")</f>
        <v>#N/A</v>
      </c>
      <c r="M240" t="e">
        <f>IF($D240=Lookup!$L$9,INDEX(views[icon],MATCH($E240,views[object_id order],0)),"")</f>
        <v>#N/A</v>
      </c>
      <c r="N240" t="e">
        <f>IF(OR(D240=Lookup!$L$11,D240=Lookup!$L$12),INDEX(views[[1]:[25]],MATCH($E240,views[object_id order],0),G240),"")</f>
        <v>#N/A</v>
      </c>
      <c r="O240" t="str">
        <f t="shared" si="10"/>
        <v/>
      </c>
      <c r="P240" s="8" t="e">
        <f>INDEX(Lookup!$M$5:$M$12,MATCH(D240,Lookup!$L$5:$L$12,0))&amp;
K240&amp;L240&amp;M240&amp;N240&amp;
INDEX(Lookup!$N$5:$N$12,MATCH(D240,Lookup!$L$5:$L$12,0))</f>
        <v>#N/A</v>
      </c>
    </row>
    <row r="241" spans="2:16" x14ac:dyDescent="0.45">
      <c r="B241">
        <f t="shared" si="9"/>
        <v>239</v>
      </c>
      <c r="C241" t="e">
        <f t="shared" si="11"/>
        <v>#N/A</v>
      </c>
      <c r="D241" t="e">
        <f>VLOOKUP(C241,Lookup!$K$5:$L$12,2,FALSE)</f>
        <v>#N/A</v>
      </c>
      <c r="E241" t="e">
        <f>IF(D241=Lookup!$L$5,E240+1,E240)</f>
        <v>#N/A</v>
      </c>
      <c r="F241" s="3" t="e">
        <f>INDEX(views[Entities count],MATCH('view-code'!E241,views[object_id order],0))</f>
        <v>#N/A</v>
      </c>
      <c r="G241" t="e">
        <f>IF(D240=Lookup!$L$10,1,IF(D240=Lookup!$L$11,G240+1,""))</f>
        <v>#N/A</v>
      </c>
      <c r="H241" t="e">
        <f>IF(F241=1,IF(D241=Lookup!$L$10,2,1),IF(G241&lt;F241-1,0,1))</f>
        <v>#N/A</v>
      </c>
      <c r="I241" t="e">
        <f>IF(D241&lt;&gt;Lookup!$L$7,0,IF(INDEX(views[name],MATCH(E241,views[object_id order],0))&lt;&gt;"",0,1))</f>
        <v>#N/A</v>
      </c>
      <c r="J241" t="e">
        <f>IF(D241&lt;&gt;Lookup!$L$7,0,IF(INDEX(views[icon],MATCH(E241,views[object_id order],0))&lt;&gt;"",0,1))</f>
        <v>#N/A</v>
      </c>
      <c r="K241" t="e">
        <f>IF($D241=Lookup!$L$6,INDEX(views[object_id],MATCH($E241,views[object_id order],0)),"")</f>
        <v>#N/A</v>
      </c>
      <c r="L241" t="e">
        <f>IF($D241=Lookup!$L$8,INDEX(views[name],MATCH($E241,views[object_id order],0)),"")</f>
        <v>#N/A</v>
      </c>
      <c r="M241" t="e">
        <f>IF($D241=Lookup!$L$9,INDEX(views[icon],MATCH($E241,views[object_id order],0)),"")</f>
        <v>#N/A</v>
      </c>
      <c r="N241" t="e">
        <f>IF(OR(D241=Lookup!$L$11,D241=Lookup!$L$12),INDEX(views[[1]:[25]],MATCH($E241,views[object_id order],0),G241),"")</f>
        <v>#N/A</v>
      </c>
      <c r="O241" t="str">
        <f t="shared" si="10"/>
        <v/>
      </c>
      <c r="P241" s="8" t="e">
        <f>INDEX(Lookup!$M$5:$M$12,MATCH(D241,Lookup!$L$5:$L$12,0))&amp;
K241&amp;L241&amp;M241&amp;N241&amp;
INDEX(Lookup!$N$5:$N$12,MATCH(D241,Lookup!$L$5:$L$12,0))</f>
        <v>#N/A</v>
      </c>
    </row>
    <row r="242" spans="2:16" x14ac:dyDescent="0.45">
      <c r="B242">
        <f t="shared" si="9"/>
        <v>240</v>
      </c>
      <c r="C242" t="e">
        <f t="shared" si="11"/>
        <v>#N/A</v>
      </c>
      <c r="D242" t="e">
        <f>VLOOKUP(C242,Lookup!$K$5:$L$12,2,FALSE)</f>
        <v>#N/A</v>
      </c>
      <c r="E242" t="e">
        <f>IF(D242=Lookup!$L$5,E241+1,E241)</f>
        <v>#N/A</v>
      </c>
      <c r="F242" s="3" t="e">
        <f>INDEX(views[Entities count],MATCH('view-code'!E242,views[object_id order],0))</f>
        <v>#N/A</v>
      </c>
      <c r="G242" t="e">
        <f>IF(D241=Lookup!$L$10,1,IF(D241=Lookup!$L$11,G241+1,""))</f>
        <v>#N/A</v>
      </c>
      <c r="H242" t="e">
        <f>IF(F242=1,IF(D242=Lookup!$L$10,2,1),IF(G242&lt;F242-1,0,1))</f>
        <v>#N/A</v>
      </c>
      <c r="I242" t="e">
        <f>IF(D242&lt;&gt;Lookup!$L$7,0,IF(INDEX(views[name],MATCH(E242,views[object_id order],0))&lt;&gt;"",0,1))</f>
        <v>#N/A</v>
      </c>
      <c r="J242" t="e">
        <f>IF(D242&lt;&gt;Lookup!$L$7,0,IF(INDEX(views[icon],MATCH(E242,views[object_id order],0))&lt;&gt;"",0,1))</f>
        <v>#N/A</v>
      </c>
      <c r="K242" t="e">
        <f>IF($D242=Lookup!$L$6,INDEX(views[object_id],MATCH($E242,views[object_id order],0)),"")</f>
        <v>#N/A</v>
      </c>
      <c r="L242" t="e">
        <f>IF($D242=Lookup!$L$8,INDEX(views[name],MATCH($E242,views[object_id order],0)),"")</f>
        <v>#N/A</v>
      </c>
      <c r="M242" t="e">
        <f>IF($D242=Lookup!$L$9,INDEX(views[icon],MATCH($E242,views[object_id order],0)),"")</f>
        <v>#N/A</v>
      </c>
      <c r="N242" t="e">
        <f>IF(OR(D242=Lookup!$L$11,D242=Lookup!$L$12),INDEX(views[[1]:[25]],MATCH($E242,views[object_id order],0),G242),"")</f>
        <v>#N/A</v>
      </c>
      <c r="O242" t="str">
        <f t="shared" si="10"/>
        <v/>
      </c>
      <c r="P242" s="8" t="e">
        <f>INDEX(Lookup!$M$5:$M$12,MATCH(D242,Lookup!$L$5:$L$12,0))&amp;
K242&amp;L242&amp;M242&amp;N242&amp;
INDEX(Lookup!$N$5:$N$12,MATCH(D242,Lookup!$L$5:$L$12,0))</f>
        <v>#N/A</v>
      </c>
    </row>
    <row r="243" spans="2:16" x14ac:dyDescent="0.45">
      <c r="B243">
        <f t="shared" si="9"/>
        <v>241</v>
      </c>
      <c r="C243" t="e">
        <f t="shared" si="11"/>
        <v>#N/A</v>
      </c>
      <c r="D243" t="e">
        <f>VLOOKUP(C243,Lookup!$K$5:$L$12,2,FALSE)</f>
        <v>#N/A</v>
      </c>
      <c r="E243" t="e">
        <f>IF(D243=Lookup!$L$5,E242+1,E242)</f>
        <v>#N/A</v>
      </c>
      <c r="F243" s="3" t="e">
        <f>INDEX(views[Entities count],MATCH('view-code'!E243,views[object_id order],0))</f>
        <v>#N/A</v>
      </c>
      <c r="G243" t="e">
        <f>IF(D242=Lookup!$L$10,1,IF(D242=Lookup!$L$11,G242+1,""))</f>
        <v>#N/A</v>
      </c>
      <c r="H243" t="e">
        <f>IF(F243=1,IF(D243=Lookup!$L$10,2,1),IF(G243&lt;F243-1,0,1))</f>
        <v>#N/A</v>
      </c>
      <c r="I243" t="e">
        <f>IF(D243&lt;&gt;Lookup!$L$7,0,IF(INDEX(views[name],MATCH(E243,views[object_id order],0))&lt;&gt;"",0,1))</f>
        <v>#N/A</v>
      </c>
      <c r="J243" t="e">
        <f>IF(D243&lt;&gt;Lookup!$L$7,0,IF(INDEX(views[icon],MATCH(E243,views[object_id order],0))&lt;&gt;"",0,1))</f>
        <v>#N/A</v>
      </c>
      <c r="K243" t="e">
        <f>IF($D243=Lookup!$L$6,INDEX(views[object_id],MATCH($E243,views[object_id order],0)),"")</f>
        <v>#N/A</v>
      </c>
      <c r="L243" t="e">
        <f>IF($D243=Lookup!$L$8,INDEX(views[name],MATCH($E243,views[object_id order],0)),"")</f>
        <v>#N/A</v>
      </c>
      <c r="M243" t="e">
        <f>IF($D243=Lookup!$L$9,INDEX(views[icon],MATCH($E243,views[object_id order],0)),"")</f>
        <v>#N/A</v>
      </c>
      <c r="N243" t="e">
        <f>IF(OR(D243=Lookup!$L$11,D243=Lookup!$L$12),INDEX(views[[1]:[25]],MATCH($E243,views[object_id order],0),G243),"")</f>
        <v>#N/A</v>
      </c>
      <c r="O243" t="str">
        <f t="shared" si="10"/>
        <v/>
      </c>
      <c r="P243" s="8" t="e">
        <f>INDEX(Lookup!$M$5:$M$12,MATCH(D243,Lookup!$L$5:$L$12,0))&amp;
K243&amp;L243&amp;M243&amp;N243&amp;
INDEX(Lookup!$N$5:$N$12,MATCH(D243,Lookup!$L$5:$L$12,0))</f>
        <v>#N/A</v>
      </c>
    </row>
    <row r="244" spans="2:16" x14ac:dyDescent="0.45">
      <c r="B244">
        <f t="shared" si="9"/>
        <v>242</v>
      </c>
      <c r="C244" t="e">
        <f t="shared" si="11"/>
        <v>#N/A</v>
      </c>
      <c r="D244" t="e">
        <f>VLOOKUP(C244,Lookup!$K$5:$L$12,2,FALSE)</f>
        <v>#N/A</v>
      </c>
      <c r="E244" t="e">
        <f>IF(D244=Lookup!$L$5,E243+1,E243)</f>
        <v>#N/A</v>
      </c>
      <c r="F244" s="3" t="e">
        <f>INDEX(views[Entities count],MATCH('view-code'!E244,views[object_id order],0))</f>
        <v>#N/A</v>
      </c>
      <c r="G244" t="e">
        <f>IF(D243=Lookup!$L$10,1,IF(D243=Lookup!$L$11,G243+1,""))</f>
        <v>#N/A</v>
      </c>
      <c r="H244" t="e">
        <f>IF(F244=1,IF(D244=Lookup!$L$10,2,1),IF(G244&lt;F244-1,0,1))</f>
        <v>#N/A</v>
      </c>
      <c r="I244" t="e">
        <f>IF(D244&lt;&gt;Lookup!$L$7,0,IF(INDEX(views[name],MATCH(E244,views[object_id order],0))&lt;&gt;"",0,1))</f>
        <v>#N/A</v>
      </c>
      <c r="J244" t="e">
        <f>IF(D244&lt;&gt;Lookup!$L$7,0,IF(INDEX(views[icon],MATCH(E244,views[object_id order],0))&lt;&gt;"",0,1))</f>
        <v>#N/A</v>
      </c>
      <c r="K244" t="e">
        <f>IF($D244=Lookup!$L$6,INDEX(views[object_id],MATCH($E244,views[object_id order],0)),"")</f>
        <v>#N/A</v>
      </c>
      <c r="L244" t="e">
        <f>IF($D244=Lookup!$L$8,INDEX(views[name],MATCH($E244,views[object_id order],0)),"")</f>
        <v>#N/A</v>
      </c>
      <c r="M244" t="e">
        <f>IF($D244=Lookup!$L$9,INDEX(views[icon],MATCH($E244,views[object_id order],0)),"")</f>
        <v>#N/A</v>
      </c>
      <c r="N244" t="e">
        <f>IF(OR(D244=Lookup!$L$11,D244=Lookup!$L$12),INDEX(views[[1]:[25]],MATCH($E244,views[object_id order],0),G244),"")</f>
        <v>#N/A</v>
      </c>
      <c r="O244" t="str">
        <f t="shared" si="10"/>
        <v/>
      </c>
      <c r="P244" s="8" t="e">
        <f>INDEX(Lookup!$M$5:$M$12,MATCH(D244,Lookup!$L$5:$L$12,0))&amp;
K244&amp;L244&amp;M244&amp;N244&amp;
INDEX(Lookup!$N$5:$N$12,MATCH(D244,Lookup!$L$5:$L$12,0))</f>
        <v>#N/A</v>
      </c>
    </row>
    <row r="245" spans="2:16" x14ac:dyDescent="0.45">
      <c r="B245">
        <f t="shared" si="9"/>
        <v>243</v>
      </c>
      <c r="C245" t="e">
        <f t="shared" si="11"/>
        <v>#N/A</v>
      </c>
      <c r="D245" t="e">
        <f>VLOOKUP(C245,Lookup!$K$5:$L$12,2,FALSE)</f>
        <v>#N/A</v>
      </c>
      <c r="E245" t="e">
        <f>IF(D245=Lookup!$L$5,E244+1,E244)</f>
        <v>#N/A</v>
      </c>
      <c r="F245" s="3" t="e">
        <f>INDEX(views[Entities count],MATCH('view-code'!E245,views[object_id order],0))</f>
        <v>#N/A</v>
      </c>
      <c r="G245" t="e">
        <f>IF(D244=Lookup!$L$10,1,IF(D244=Lookup!$L$11,G244+1,""))</f>
        <v>#N/A</v>
      </c>
      <c r="H245" t="e">
        <f>IF(F245=1,IF(D245=Lookup!$L$10,2,1),IF(G245&lt;F245-1,0,1))</f>
        <v>#N/A</v>
      </c>
      <c r="I245" t="e">
        <f>IF(D245&lt;&gt;Lookup!$L$7,0,IF(INDEX(views[name],MATCH(E245,views[object_id order],0))&lt;&gt;"",0,1))</f>
        <v>#N/A</v>
      </c>
      <c r="J245" t="e">
        <f>IF(D245&lt;&gt;Lookup!$L$7,0,IF(INDEX(views[icon],MATCH(E245,views[object_id order],0))&lt;&gt;"",0,1))</f>
        <v>#N/A</v>
      </c>
      <c r="K245" t="e">
        <f>IF($D245=Lookup!$L$6,INDEX(views[object_id],MATCH($E245,views[object_id order],0)),"")</f>
        <v>#N/A</v>
      </c>
      <c r="L245" t="e">
        <f>IF($D245=Lookup!$L$8,INDEX(views[name],MATCH($E245,views[object_id order],0)),"")</f>
        <v>#N/A</v>
      </c>
      <c r="M245" t="e">
        <f>IF($D245=Lookup!$L$9,INDEX(views[icon],MATCH($E245,views[object_id order],0)),"")</f>
        <v>#N/A</v>
      </c>
      <c r="N245" t="e">
        <f>IF(OR(D245=Lookup!$L$11,D245=Lookup!$L$12),INDEX(views[[1]:[25]],MATCH($E245,views[object_id order],0),G245),"")</f>
        <v>#N/A</v>
      </c>
      <c r="O245" t="str">
        <f t="shared" si="10"/>
        <v/>
      </c>
      <c r="P245" s="8" t="e">
        <f>INDEX(Lookup!$M$5:$M$12,MATCH(D245,Lookup!$L$5:$L$12,0))&amp;
K245&amp;L245&amp;M245&amp;N245&amp;
INDEX(Lookup!$N$5:$N$12,MATCH(D245,Lookup!$L$5:$L$12,0))</f>
        <v>#N/A</v>
      </c>
    </row>
    <row r="246" spans="2:16" x14ac:dyDescent="0.45">
      <c r="B246">
        <f t="shared" si="9"/>
        <v>244</v>
      </c>
      <c r="C246" t="e">
        <f t="shared" si="11"/>
        <v>#N/A</v>
      </c>
      <c r="D246" t="e">
        <f>VLOOKUP(C246,Lookup!$K$5:$L$12,2,FALSE)</f>
        <v>#N/A</v>
      </c>
      <c r="E246" t="e">
        <f>IF(D246=Lookup!$L$5,E245+1,E245)</f>
        <v>#N/A</v>
      </c>
      <c r="F246" s="3" t="e">
        <f>INDEX(views[Entities count],MATCH('view-code'!E246,views[object_id order],0))</f>
        <v>#N/A</v>
      </c>
      <c r="G246" t="e">
        <f>IF(D245=Lookup!$L$10,1,IF(D245=Lookup!$L$11,G245+1,""))</f>
        <v>#N/A</v>
      </c>
      <c r="H246" t="e">
        <f>IF(F246=1,IF(D246=Lookup!$L$10,2,1),IF(G246&lt;F246-1,0,1))</f>
        <v>#N/A</v>
      </c>
      <c r="I246" t="e">
        <f>IF(D246&lt;&gt;Lookup!$L$7,0,IF(INDEX(views[name],MATCH(E246,views[object_id order],0))&lt;&gt;"",0,1))</f>
        <v>#N/A</v>
      </c>
      <c r="J246" t="e">
        <f>IF(D246&lt;&gt;Lookup!$L$7,0,IF(INDEX(views[icon],MATCH(E246,views[object_id order],0))&lt;&gt;"",0,1))</f>
        <v>#N/A</v>
      </c>
      <c r="K246" t="e">
        <f>IF($D246=Lookup!$L$6,INDEX(views[object_id],MATCH($E246,views[object_id order],0)),"")</f>
        <v>#N/A</v>
      </c>
      <c r="L246" t="e">
        <f>IF($D246=Lookup!$L$8,INDEX(views[name],MATCH($E246,views[object_id order],0)),"")</f>
        <v>#N/A</v>
      </c>
      <c r="M246" t="e">
        <f>IF($D246=Lookup!$L$9,INDEX(views[icon],MATCH($E246,views[object_id order],0)),"")</f>
        <v>#N/A</v>
      </c>
      <c r="N246" t="e">
        <f>IF(OR(D246=Lookup!$L$11,D246=Lookup!$L$12),INDEX(views[[1]:[25]],MATCH($E246,views[object_id order],0),G246),"")</f>
        <v>#N/A</v>
      </c>
      <c r="O246" t="str">
        <f t="shared" si="10"/>
        <v/>
      </c>
      <c r="P246" s="8" t="e">
        <f>INDEX(Lookup!$M$5:$M$12,MATCH(D246,Lookup!$L$5:$L$12,0))&amp;
K246&amp;L246&amp;M246&amp;N246&amp;
INDEX(Lookup!$N$5:$N$12,MATCH(D246,Lookup!$L$5:$L$12,0))</f>
        <v>#N/A</v>
      </c>
    </row>
    <row r="247" spans="2:16" x14ac:dyDescent="0.45">
      <c r="B247">
        <f t="shared" si="9"/>
        <v>245</v>
      </c>
      <c r="C247" t="e">
        <f t="shared" si="11"/>
        <v>#N/A</v>
      </c>
      <c r="D247" t="e">
        <f>VLOOKUP(C247,Lookup!$K$5:$L$12,2,FALSE)</f>
        <v>#N/A</v>
      </c>
      <c r="E247" t="e">
        <f>IF(D247=Lookup!$L$5,E246+1,E246)</f>
        <v>#N/A</v>
      </c>
      <c r="F247" s="3" t="e">
        <f>INDEX(views[Entities count],MATCH('view-code'!E247,views[object_id order],0))</f>
        <v>#N/A</v>
      </c>
      <c r="G247" t="e">
        <f>IF(D246=Lookup!$L$10,1,IF(D246=Lookup!$L$11,G246+1,""))</f>
        <v>#N/A</v>
      </c>
      <c r="H247" t="e">
        <f>IF(F247=1,IF(D247=Lookup!$L$10,2,1),IF(G247&lt;F247-1,0,1))</f>
        <v>#N/A</v>
      </c>
      <c r="I247" t="e">
        <f>IF(D247&lt;&gt;Lookup!$L$7,0,IF(INDEX(views[name],MATCH(E247,views[object_id order],0))&lt;&gt;"",0,1))</f>
        <v>#N/A</v>
      </c>
      <c r="J247" t="e">
        <f>IF(D247&lt;&gt;Lookup!$L$7,0,IF(INDEX(views[icon],MATCH(E247,views[object_id order],0))&lt;&gt;"",0,1))</f>
        <v>#N/A</v>
      </c>
      <c r="K247" t="e">
        <f>IF($D247=Lookup!$L$6,INDEX(views[object_id],MATCH($E247,views[object_id order],0)),"")</f>
        <v>#N/A</v>
      </c>
      <c r="L247" t="e">
        <f>IF($D247=Lookup!$L$8,INDEX(views[name],MATCH($E247,views[object_id order],0)),"")</f>
        <v>#N/A</v>
      </c>
      <c r="M247" t="e">
        <f>IF($D247=Lookup!$L$9,INDEX(views[icon],MATCH($E247,views[object_id order],0)),"")</f>
        <v>#N/A</v>
      </c>
      <c r="N247" t="e">
        <f>IF(OR(D247=Lookup!$L$11,D247=Lookup!$L$12),INDEX(views[[1]:[25]],MATCH($E247,views[object_id order],0),G247),"")</f>
        <v>#N/A</v>
      </c>
      <c r="O247" t="str">
        <f t="shared" si="10"/>
        <v/>
      </c>
      <c r="P247" s="8" t="e">
        <f>INDEX(Lookup!$M$5:$M$12,MATCH(D247,Lookup!$L$5:$L$12,0))&amp;
K247&amp;L247&amp;M247&amp;N247&amp;
INDEX(Lookup!$N$5:$N$12,MATCH(D247,Lookup!$L$5:$L$12,0))</f>
        <v>#N/A</v>
      </c>
    </row>
    <row r="248" spans="2:16" x14ac:dyDescent="0.45">
      <c r="B248">
        <f t="shared" si="9"/>
        <v>246</v>
      </c>
      <c r="C248" t="e">
        <f t="shared" si="11"/>
        <v>#N/A</v>
      </c>
      <c r="D248" t="e">
        <f>VLOOKUP(C248,Lookup!$K$5:$L$12,2,FALSE)</f>
        <v>#N/A</v>
      </c>
      <c r="E248" t="e">
        <f>IF(D248=Lookup!$L$5,E247+1,E247)</f>
        <v>#N/A</v>
      </c>
      <c r="F248" s="3" t="e">
        <f>INDEX(views[Entities count],MATCH('view-code'!E248,views[object_id order],0))</f>
        <v>#N/A</v>
      </c>
      <c r="G248" t="e">
        <f>IF(D247=Lookup!$L$10,1,IF(D247=Lookup!$L$11,G247+1,""))</f>
        <v>#N/A</v>
      </c>
      <c r="H248" t="e">
        <f>IF(F248=1,IF(D248=Lookup!$L$10,2,1),IF(G248&lt;F248-1,0,1))</f>
        <v>#N/A</v>
      </c>
      <c r="I248" t="e">
        <f>IF(D248&lt;&gt;Lookup!$L$7,0,IF(INDEX(views[name],MATCH(E248,views[object_id order],0))&lt;&gt;"",0,1))</f>
        <v>#N/A</v>
      </c>
      <c r="J248" t="e">
        <f>IF(D248&lt;&gt;Lookup!$L$7,0,IF(INDEX(views[icon],MATCH(E248,views[object_id order],0))&lt;&gt;"",0,1))</f>
        <v>#N/A</v>
      </c>
      <c r="K248" t="e">
        <f>IF($D248=Lookup!$L$6,INDEX(views[object_id],MATCH($E248,views[object_id order],0)),"")</f>
        <v>#N/A</v>
      </c>
      <c r="L248" t="e">
        <f>IF($D248=Lookup!$L$8,INDEX(views[name],MATCH($E248,views[object_id order],0)),"")</f>
        <v>#N/A</v>
      </c>
      <c r="M248" t="e">
        <f>IF($D248=Lookup!$L$9,INDEX(views[icon],MATCH($E248,views[object_id order],0)),"")</f>
        <v>#N/A</v>
      </c>
      <c r="N248" t="e">
        <f>IF(OR(D248=Lookup!$L$11,D248=Lookup!$L$12),INDEX(views[[1]:[25]],MATCH($E248,views[object_id order],0),G248),"")</f>
        <v>#N/A</v>
      </c>
      <c r="O248" t="str">
        <f t="shared" si="10"/>
        <v/>
      </c>
      <c r="P248" s="8" t="e">
        <f>INDEX(Lookup!$M$5:$M$12,MATCH(D248,Lookup!$L$5:$L$12,0))&amp;
K248&amp;L248&amp;M248&amp;N248&amp;
INDEX(Lookup!$N$5:$N$12,MATCH(D248,Lookup!$L$5:$L$12,0))</f>
        <v>#N/A</v>
      </c>
    </row>
    <row r="249" spans="2:16" x14ac:dyDescent="0.45">
      <c r="B249">
        <f t="shared" si="9"/>
        <v>247</v>
      </c>
      <c r="C249" t="e">
        <f t="shared" si="11"/>
        <v>#N/A</v>
      </c>
      <c r="D249" t="e">
        <f>VLOOKUP(C249,Lookup!$K$5:$L$12,2,FALSE)</f>
        <v>#N/A</v>
      </c>
      <c r="E249" t="e">
        <f>IF(D249=Lookup!$L$5,E248+1,E248)</f>
        <v>#N/A</v>
      </c>
      <c r="F249" s="3" t="e">
        <f>INDEX(views[Entities count],MATCH('view-code'!E249,views[object_id order],0))</f>
        <v>#N/A</v>
      </c>
      <c r="G249" t="e">
        <f>IF(D248=Lookup!$L$10,1,IF(D248=Lookup!$L$11,G248+1,""))</f>
        <v>#N/A</v>
      </c>
      <c r="H249" t="e">
        <f>IF(F249=1,IF(D249=Lookup!$L$10,2,1),IF(G249&lt;F249-1,0,1))</f>
        <v>#N/A</v>
      </c>
      <c r="I249" t="e">
        <f>IF(D249&lt;&gt;Lookup!$L$7,0,IF(INDEX(views[name],MATCH(E249,views[object_id order],0))&lt;&gt;"",0,1))</f>
        <v>#N/A</v>
      </c>
      <c r="J249" t="e">
        <f>IF(D249&lt;&gt;Lookup!$L$7,0,IF(INDEX(views[icon],MATCH(E249,views[object_id order],0))&lt;&gt;"",0,1))</f>
        <v>#N/A</v>
      </c>
      <c r="K249" t="e">
        <f>IF($D249=Lookup!$L$6,INDEX(views[object_id],MATCH($E249,views[object_id order],0)),"")</f>
        <v>#N/A</v>
      </c>
      <c r="L249" t="e">
        <f>IF($D249=Lookup!$L$8,INDEX(views[name],MATCH($E249,views[object_id order],0)),"")</f>
        <v>#N/A</v>
      </c>
      <c r="M249" t="e">
        <f>IF($D249=Lookup!$L$9,INDEX(views[icon],MATCH($E249,views[object_id order],0)),"")</f>
        <v>#N/A</v>
      </c>
      <c r="N249" t="e">
        <f>IF(OR(D249=Lookup!$L$11,D249=Lookup!$L$12),INDEX(views[[1]:[25]],MATCH($E249,views[object_id order],0),G249),"")</f>
        <v>#N/A</v>
      </c>
      <c r="O249" t="str">
        <f t="shared" si="10"/>
        <v/>
      </c>
      <c r="P249" s="8" t="e">
        <f>INDEX(Lookup!$M$5:$M$12,MATCH(D249,Lookup!$L$5:$L$12,0))&amp;
K249&amp;L249&amp;M249&amp;N249&amp;
INDEX(Lookup!$N$5:$N$12,MATCH(D249,Lookup!$L$5:$L$12,0))</f>
        <v>#N/A</v>
      </c>
    </row>
    <row r="250" spans="2:16" x14ac:dyDescent="0.45">
      <c r="B250">
        <f t="shared" si="9"/>
        <v>248</v>
      </c>
      <c r="C250" t="e">
        <f t="shared" si="11"/>
        <v>#N/A</v>
      </c>
      <c r="D250" t="e">
        <f>VLOOKUP(C250,Lookup!$K$5:$L$12,2,FALSE)</f>
        <v>#N/A</v>
      </c>
      <c r="E250" t="e">
        <f>IF(D250=Lookup!$L$5,E249+1,E249)</f>
        <v>#N/A</v>
      </c>
      <c r="F250" s="3" t="e">
        <f>INDEX(views[Entities count],MATCH('view-code'!E250,views[object_id order],0))</f>
        <v>#N/A</v>
      </c>
      <c r="G250" t="e">
        <f>IF(D249=Lookup!$L$10,1,IF(D249=Lookup!$L$11,G249+1,""))</f>
        <v>#N/A</v>
      </c>
      <c r="H250" t="e">
        <f>IF(F250=1,IF(D250=Lookup!$L$10,2,1),IF(G250&lt;F250-1,0,1))</f>
        <v>#N/A</v>
      </c>
      <c r="I250" t="e">
        <f>IF(D250&lt;&gt;Lookup!$L$7,0,IF(INDEX(views[name],MATCH(E250,views[object_id order],0))&lt;&gt;"",0,1))</f>
        <v>#N/A</v>
      </c>
      <c r="J250" t="e">
        <f>IF(D250&lt;&gt;Lookup!$L$7,0,IF(INDEX(views[icon],MATCH(E250,views[object_id order],0))&lt;&gt;"",0,1))</f>
        <v>#N/A</v>
      </c>
      <c r="K250" t="e">
        <f>IF($D250=Lookup!$L$6,INDEX(views[object_id],MATCH($E250,views[object_id order],0)),"")</f>
        <v>#N/A</v>
      </c>
      <c r="L250" t="e">
        <f>IF($D250=Lookup!$L$8,INDEX(views[name],MATCH($E250,views[object_id order],0)),"")</f>
        <v>#N/A</v>
      </c>
      <c r="M250" t="e">
        <f>IF($D250=Lookup!$L$9,INDEX(views[icon],MATCH($E250,views[object_id order],0)),"")</f>
        <v>#N/A</v>
      </c>
      <c r="N250" t="e">
        <f>IF(OR(D250=Lookup!$L$11,D250=Lookup!$L$12),INDEX(views[[1]:[25]],MATCH($E250,views[object_id order],0),G250),"")</f>
        <v>#N/A</v>
      </c>
      <c r="O250" t="str">
        <f t="shared" si="10"/>
        <v/>
      </c>
      <c r="P250" s="8" t="e">
        <f>INDEX(Lookup!$M$5:$M$12,MATCH(D250,Lookup!$L$5:$L$12,0))&amp;
K250&amp;L250&amp;M250&amp;N250&amp;
INDEX(Lookup!$N$5:$N$12,MATCH(D250,Lookup!$L$5:$L$12,0))</f>
        <v>#N/A</v>
      </c>
    </row>
    <row r="251" spans="2:16" x14ac:dyDescent="0.45">
      <c r="B251">
        <f t="shared" si="9"/>
        <v>249</v>
      </c>
      <c r="C251" t="e">
        <f t="shared" si="11"/>
        <v>#N/A</v>
      </c>
      <c r="D251" t="e">
        <f>VLOOKUP(C251,Lookup!$K$5:$L$12,2,FALSE)</f>
        <v>#N/A</v>
      </c>
      <c r="E251" t="e">
        <f>IF(D251=Lookup!$L$5,E250+1,E250)</f>
        <v>#N/A</v>
      </c>
      <c r="F251" s="3" t="e">
        <f>INDEX(views[Entities count],MATCH('view-code'!E251,views[object_id order],0))</f>
        <v>#N/A</v>
      </c>
      <c r="G251" t="e">
        <f>IF(D250=Lookup!$L$10,1,IF(D250=Lookup!$L$11,G250+1,""))</f>
        <v>#N/A</v>
      </c>
      <c r="H251" t="e">
        <f>IF(F251=1,IF(D251=Lookup!$L$10,2,1),IF(G251&lt;F251-1,0,1))</f>
        <v>#N/A</v>
      </c>
      <c r="I251" t="e">
        <f>IF(D251&lt;&gt;Lookup!$L$7,0,IF(INDEX(views[name],MATCH(E251,views[object_id order],0))&lt;&gt;"",0,1))</f>
        <v>#N/A</v>
      </c>
      <c r="J251" t="e">
        <f>IF(D251&lt;&gt;Lookup!$L$7,0,IF(INDEX(views[icon],MATCH(E251,views[object_id order],0))&lt;&gt;"",0,1))</f>
        <v>#N/A</v>
      </c>
      <c r="K251" t="e">
        <f>IF($D251=Lookup!$L$6,INDEX(views[object_id],MATCH($E251,views[object_id order],0)),"")</f>
        <v>#N/A</v>
      </c>
      <c r="L251" t="e">
        <f>IF($D251=Lookup!$L$8,INDEX(views[name],MATCH($E251,views[object_id order],0)),"")</f>
        <v>#N/A</v>
      </c>
      <c r="M251" t="e">
        <f>IF($D251=Lookup!$L$9,INDEX(views[icon],MATCH($E251,views[object_id order],0)),"")</f>
        <v>#N/A</v>
      </c>
      <c r="N251" t="e">
        <f>IF(OR(D251=Lookup!$L$11,D251=Lookup!$L$12),INDEX(views[[1]:[25]],MATCH($E251,views[object_id order],0),G251),"")</f>
        <v>#N/A</v>
      </c>
      <c r="O251" t="str">
        <f t="shared" si="10"/>
        <v/>
      </c>
      <c r="P251" s="8" t="e">
        <f>INDEX(Lookup!$M$5:$M$12,MATCH(D251,Lookup!$L$5:$L$12,0))&amp;
K251&amp;L251&amp;M251&amp;N251&amp;
INDEX(Lookup!$N$5:$N$12,MATCH(D251,Lookup!$L$5:$L$12,0))</f>
        <v>#N/A</v>
      </c>
    </row>
    <row r="252" spans="2:16" x14ac:dyDescent="0.45">
      <c r="B252">
        <f t="shared" si="9"/>
        <v>250</v>
      </c>
      <c r="C252" t="e">
        <f t="shared" si="11"/>
        <v>#N/A</v>
      </c>
      <c r="D252" t="e">
        <f>VLOOKUP(C252,Lookup!$K$5:$L$12,2,FALSE)</f>
        <v>#N/A</v>
      </c>
      <c r="E252" t="e">
        <f>IF(D252=Lookup!$L$5,E251+1,E251)</f>
        <v>#N/A</v>
      </c>
      <c r="F252" s="3" t="e">
        <f>INDEX(views[Entities count],MATCH('view-code'!E252,views[object_id order],0))</f>
        <v>#N/A</v>
      </c>
      <c r="G252" t="e">
        <f>IF(D251=Lookup!$L$10,1,IF(D251=Lookup!$L$11,G251+1,""))</f>
        <v>#N/A</v>
      </c>
      <c r="H252" t="e">
        <f>IF(F252=1,IF(D252=Lookup!$L$10,2,1),IF(G252&lt;F252-1,0,1))</f>
        <v>#N/A</v>
      </c>
      <c r="I252" t="e">
        <f>IF(D252&lt;&gt;Lookup!$L$7,0,IF(INDEX(views[name],MATCH(E252,views[object_id order],0))&lt;&gt;"",0,1))</f>
        <v>#N/A</v>
      </c>
      <c r="J252" t="e">
        <f>IF(D252&lt;&gt;Lookup!$L$7,0,IF(INDEX(views[icon],MATCH(E252,views[object_id order],0))&lt;&gt;"",0,1))</f>
        <v>#N/A</v>
      </c>
      <c r="K252" t="e">
        <f>IF($D252=Lookup!$L$6,INDEX(views[object_id],MATCH($E252,views[object_id order],0)),"")</f>
        <v>#N/A</v>
      </c>
      <c r="L252" t="e">
        <f>IF($D252=Lookup!$L$8,INDEX(views[name],MATCH($E252,views[object_id order],0)),"")</f>
        <v>#N/A</v>
      </c>
      <c r="M252" t="e">
        <f>IF($D252=Lookup!$L$9,INDEX(views[icon],MATCH($E252,views[object_id order],0)),"")</f>
        <v>#N/A</v>
      </c>
      <c r="N252" t="e">
        <f>IF(OR(D252=Lookup!$L$11,D252=Lookup!$L$12),INDEX(views[[1]:[25]],MATCH($E252,views[object_id order],0),G252),"")</f>
        <v>#N/A</v>
      </c>
      <c r="O252" t="str">
        <f t="shared" si="10"/>
        <v/>
      </c>
      <c r="P252" s="8" t="e">
        <f>INDEX(Lookup!$M$5:$M$12,MATCH(D252,Lookup!$L$5:$L$12,0))&amp;
K252&amp;L252&amp;M252&amp;N252&amp;
INDEX(Lookup!$N$5:$N$12,MATCH(D252,Lookup!$L$5:$L$12,0))</f>
        <v>#N/A</v>
      </c>
    </row>
    <row r="253" spans="2:16" x14ac:dyDescent="0.45">
      <c r="B253">
        <f t="shared" si="9"/>
        <v>251</v>
      </c>
      <c r="C253" t="e">
        <f t="shared" si="11"/>
        <v>#N/A</v>
      </c>
      <c r="D253" t="e">
        <f>VLOOKUP(C253,Lookup!$K$5:$L$12,2,FALSE)</f>
        <v>#N/A</v>
      </c>
      <c r="E253" t="e">
        <f>IF(D253=Lookup!$L$5,E252+1,E252)</f>
        <v>#N/A</v>
      </c>
      <c r="F253" s="3" t="e">
        <f>INDEX(views[Entities count],MATCH('view-code'!E253,views[object_id order],0))</f>
        <v>#N/A</v>
      </c>
      <c r="G253" t="e">
        <f>IF(D252=Lookup!$L$10,1,IF(D252=Lookup!$L$11,G252+1,""))</f>
        <v>#N/A</v>
      </c>
      <c r="H253" t="e">
        <f>IF(F253=1,IF(D253=Lookup!$L$10,2,1),IF(G253&lt;F253-1,0,1))</f>
        <v>#N/A</v>
      </c>
      <c r="I253" t="e">
        <f>IF(D253&lt;&gt;Lookup!$L$7,0,IF(INDEX(views[name],MATCH(E253,views[object_id order],0))&lt;&gt;"",0,1))</f>
        <v>#N/A</v>
      </c>
      <c r="J253" t="e">
        <f>IF(D253&lt;&gt;Lookup!$L$7,0,IF(INDEX(views[icon],MATCH(E253,views[object_id order],0))&lt;&gt;"",0,1))</f>
        <v>#N/A</v>
      </c>
      <c r="K253" t="e">
        <f>IF($D253=Lookup!$L$6,INDEX(views[object_id],MATCH($E253,views[object_id order],0)),"")</f>
        <v>#N/A</v>
      </c>
      <c r="L253" t="e">
        <f>IF($D253=Lookup!$L$8,INDEX(views[name],MATCH($E253,views[object_id order],0)),"")</f>
        <v>#N/A</v>
      </c>
      <c r="M253" t="e">
        <f>IF($D253=Lookup!$L$9,INDEX(views[icon],MATCH($E253,views[object_id order],0)),"")</f>
        <v>#N/A</v>
      </c>
      <c r="N253" t="e">
        <f>IF(OR(D253=Lookup!$L$11,D253=Lookup!$L$12),INDEX(views[[1]:[25]],MATCH($E253,views[object_id order],0),G253),"")</f>
        <v>#N/A</v>
      </c>
      <c r="O253" t="str">
        <f t="shared" si="10"/>
        <v/>
      </c>
      <c r="P253" s="8" t="e">
        <f>INDEX(Lookup!$M$5:$M$12,MATCH(D253,Lookup!$L$5:$L$12,0))&amp;
K253&amp;L253&amp;M253&amp;N253&amp;
INDEX(Lookup!$N$5:$N$12,MATCH(D253,Lookup!$L$5:$L$12,0))</f>
        <v>#N/A</v>
      </c>
    </row>
    <row r="254" spans="2:16" x14ac:dyDescent="0.45">
      <c r="B254">
        <f t="shared" si="9"/>
        <v>252</v>
      </c>
      <c r="C254" t="e">
        <f t="shared" si="11"/>
        <v>#N/A</v>
      </c>
      <c r="D254" t="e">
        <f>VLOOKUP(C254,Lookup!$K$5:$L$12,2,FALSE)</f>
        <v>#N/A</v>
      </c>
      <c r="E254" t="e">
        <f>IF(D254=Lookup!$L$5,E253+1,E253)</f>
        <v>#N/A</v>
      </c>
      <c r="F254" s="3" t="e">
        <f>INDEX(views[Entities count],MATCH('view-code'!E254,views[object_id order],0))</f>
        <v>#N/A</v>
      </c>
      <c r="G254" t="e">
        <f>IF(D253=Lookup!$L$10,1,IF(D253=Lookup!$L$11,G253+1,""))</f>
        <v>#N/A</v>
      </c>
      <c r="H254" t="e">
        <f>IF(F254=1,IF(D254=Lookup!$L$10,2,1),IF(G254&lt;F254-1,0,1))</f>
        <v>#N/A</v>
      </c>
      <c r="I254" t="e">
        <f>IF(D254&lt;&gt;Lookup!$L$7,0,IF(INDEX(views[name],MATCH(E254,views[object_id order],0))&lt;&gt;"",0,1))</f>
        <v>#N/A</v>
      </c>
      <c r="J254" t="e">
        <f>IF(D254&lt;&gt;Lookup!$L$7,0,IF(INDEX(views[icon],MATCH(E254,views[object_id order],0))&lt;&gt;"",0,1))</f>
        <v>#N/A</v>
      </c>
      <c r="K254" t="e">
        <f>IF($D254=Lookup!$L$6,INDEX(views[object_id],MATCH($E254,views[object_id order],0)),"")</f>
        <v>#N/A</v>
      </c>
      <c r="L254" t="e">
        <f>IF($D254=Lookup!$L$8,INDEX(views[name],MATCH($E254,views[object_id order],0)),"")</f>
        <v>#N/A</v>
      </c>
      <c r="M254" t="e">
        <f>IF($D254=Lookup!$L$9,INDEX(views[icon],MATCH($E254,views[object_id order],0)),"")</f>
        <v>#N/A</v>
      </c>
      <c r="N254" t="e">
        <f>IF(OR(D254=Lookup!$L$11,D254=Lookup!$L$12),INDEX(views[[1]:[25]],MATCH($E254,views[object_id order],0),G254),"")</f>
        <v>#N/A</v>
      </c>
      <c r="O254" t="str">
        <f t="shared" si="10"/>
        <v/>
      </c>
      <c r="P254" s="8" t="e">
        <f>INDEX(Lookup!$M$5:$M$12,MATCH(D254,Lookup!$L$5:$L$12,0))&amp;
K254&amp;L254&amp;M254&amp;N254&amp;
INDEX(Lookup!$N$5:$N$12,MATCH(D254,Lookup!$L$5:$L$12,0))</f>
        <v>#N/A</v>
      </c>
    </row>
    <row r="255" spans="2:16" x14ac:dyDescent="0.45">
      <c r="B255">
        <f t="shared" si="9"/>
        <v>253</v>
      </c>
      <c r="C255" t="e">
        <f t="shared" si="11"/>
        <v>#N/A</v>
      </c>
      <c r="D255" t="e">
        <f>VLOOKUP(C255,Lookup!$K$5:$L$12,2,FALSE)</f>
        <v>#N/A</v>
      </c>
      <c r="E255" t="e">
        <f>IF(D255=Lookup!$L$5,E254+1,E254)</f>
        <v>#N/A</v>
      </c>
      <c r="F255" s="3" t="e">
        <f>INDEX(views[Entities count],MATCH('view-code'!E255,views[object_id order],0))</f>
        <v>#N/A</v>
      </c>
      <c r="G255" t="e">
        <f>IF(D254=Lookup!$L$10,1,IF(D254=Lookup!$L$11,G254+1,""))</f>
        <v>#N/A</v>
      </c>
      <c r="H255" t="e">
        <f>IF(F255=1,IF(D255=Lookup!$L$10,2,1),IF(G255&lt;F255-1,0,1))</f>
        <v>#N/A</v>
      </c>
      <c r="I255" t="e">
        <f>IF(D255&lt;&gt;Lookup!$L$7,0,IF(INDEX(views[name],MATCH(E255,views[object_id order],0))&lt;&gt;"",0,1))</f>
        <v>#N/A</v>
      </c>
      <c r="J255" t="e">
        <f>IF(D255&lt;&gt;Lookup!$L$7,0,IF(INDEX(views[icon],MATCH(E255,views[object_id order],0))&lt;&gt;"",0,1))</f>
        <v>#N/A</v>
      </c>
      <c r="K255" t="e">
        <f>IF($D255=Lookup!$L$6,INDEX(views[object_id],MATCH($E255,views[object_id order],0)),"")</f>
        <v>#N/A</v>
      </c>
      <c r="L255" t="e">
        <f>IF($D255=Lookup!$L$8,INDEX(views[name],MATCH($E255,views[object_id order],0)),"")</f>
        <v>#N/A</v>
      </c>
      <c r="M255" t="e">
        <f>IF($D255=Lookup!$L$9,INDEX(views[icon],MATCH($E255,views[object_id order],0)),"")</f>
        <v>#N/A</v>
      </c>
      <c r="N255" t="e">
        <f>IF(OR(D255=Lookup!$L$11,D255=Lookup!$L$12),INDEX(views[[1]:[25]],MATCH($E255,views[object_id order],0),G255),"")</f>
        <v>#N/A</v>
      </c>
      <c r="O255" t="str">
        <f t="shared" si="10"/>
        <v/>
      </c>
      <c r="P255" s="8" t="e">
        <f>INDEX(Lookup!$M$5:$M$12,MATCH(D255,Lookup!$L$5:$L$12,0))&amp;
K255&amp;L255&amp;M255&amp;N255&amp;
INDEX(Lookup!$N$5:$N$12,MATCH(D255,Lookup!$L$5:$L$12,0))</f>
        <v>#N/A</v>
      </c>
    </row>
    <row r="256" spans="2:16" x14ac:dyDescent="0.45">
      <c r="B256">
        <f t="shared" si="9"/>
        <v>254</v>
      </c>
      <c r="C256" t="e">
        <f t="shared" si="11"/>
        <v>#N/A</v>
      </c>
      <c r="D256" t="e">
        <f>VLOOKUP(C256,Lookup!$K$5:$L$12,2,FALSE)</f>
        <v>#N/A</v>
      </c>
      <c r="E256" t="e">
        <f>IF(D256=Lookup!$L$5,E255+1,E255)</f>
        <v>#N/A</v>
      </c>
      <c r="F256" s="3" t="e">
        <f>INDEX(views[Entities count],MATCH('view-code'!E256,views[object_id order],0))</f>
        <v>#N/A</v>
      </c>
      <c r="G256" t="e">
        <f>IF(D255=Lookup!$L$10,1,IF(D255=Lookup!$L$11,G255+1,""))</f>
        <v>#N/A</v>
      </c>
      <c r="H256" t="e">
        <f>IF(F256=1,IF(D256=Lookup!$L$10,2,1),IF(G256&lt;F256-1,0,1))</f>
        <v>#N/A</v>
      </c>
      <c r="I256" t="e">
        <f>IF(D256&lt;&gt;Lookup!$L$7,0,IF(INDEX(views[name],MATCH(E256,views[object_id order],0))&lt;&gt;"",0,1))</f>
        <v>#N/A</v>
      </c>
      <c r="J256" t="e">
        <f>IF(D256&lt;&gt;Lookup!$L$7,0,IF(INDEX(views[icon],MATCH(E256,views[object_id order],0))&lt;&gt;"",0,1))</f>
        <v>#N/A</v>
      </c>
      <c r="K256" t="e">
        <f>IF($D256=Lookup!$L$6,INDEX(views[object_id],MATCH($E256,views[object_id order],0)),"")</f>
        <v>#N/A</v>
      </c>
      <c r="L256" t="e">
        <f>IF($D256=Lookup!$L$8,INDEX(views[name],MATCH($E256,views[object_id order],0)),"")</f>
        <v>#N/A</v>
      </c>
      <c r="M256" t="e">
        <f>IF($D256=Lookup!$L$9,INDEX(views[icon],MATCH($E256,views[object_id order],0)),"")</f>
        <v>#N/A</v>
      </c>
      <c r="N256" t="e">
        <f>IF(OR(D256=Lookup!$L$11,D256=Lookup!$L$12),INDEX(views[[1]:[25]],MATCH($E256,views[object_id order],0),G256),"")</f>
        <v>#N/A</v>
      </c>
      <c r="O256" t="str">
        <f t="shared" si="10"/>
        <v/>
      </c>
      <c r="P256" s="8" t="e">
        <f>INDEX(Lookup!$M$5:$M$12,MATCH(D256,Lookup!$L$5:$L$12,0))&amp;
K256&amp;L256&amp;M256&amp;N256&amp;
INDEX(Lookup!$N$5:$N$12,MATCH(D256,Lookup!$L$5:$L$12,0))</f>
        <v>#N/A</v>
      </c>
    </row>
    <row r="257" spans="2:16" x14ac:dyDescent="0.45">
      <c r="B257">
        <f t="shared" si="9"/>
        <v>255</v>
      </c>
      <c r="C257" t="e">
        <f t="shared" si="11"/>
        <v>#N/A</v>
      </c>
      <c r="D257" t="e">
        <f>VLOOKUP(C257,Lookup!$K$5:$L$12,2,FALSE)</f>
        <v>#N/A</v>
      </c>
      <c r="E257" t="e">
        <f>IF(D257=Lookup!$L$5,E256+1,E256)</f>
        <v>#N/A</v>
      </c>
      <c r="F257" s="3" t="e">
        <f>INDEX(views[Entities count],MATCH('view-code'!E257,views[object_id order],0))</f>
        <v>#N/A</v>
      </c>
      <c r="G257" t="e">
        <f>IF(D256=Lookup!$L$10,1,IF(D256=Lookup!$L$11,G256+1,""))</f>
        <v>#N/A</v>
      </c>
      <c r="H257" t="e">
        <f>IF(F257=1,IF(D257=Lookup!$L$10,2,1),IF(G257&lt;F257-1,0,1))</f>
        <v>#N/A</v>
      </c>
      <c r="I257" t="e">
        <f>IF(D257&lt;&gt;Lookup!$L$7,0,IF(INDEX(views[name],MATCH(E257,views[object_id order],0))&lt;&gt;"",0,1))</f>
        <v>#N/A</v>
      </c>
      <c r="J257" t="e">
        <f>IF(D257&lt;&gt;Lookup!$L$7,0,IF(INDEX(views[icon],MATCH(E257,views[object_id order],0))&lt;&gt;"",0,1))</f>
        <v>#N/A</v>
      </c>
      <c r="K257" t="e">
        <f>IF($D257=Lookup!$L$6,INDEX(views[object_id],MATCH($E257,views[object_id order],0)),"")</f>
        <v>#N/A</v>
      </c>
      <c r="L257" t="e">
        <f>IF($D257=Lookup!$L$8,INDEX(views[name],MATCH($E257,views[object_id order],0)),"")</f>
        <v>#N/A</v>
      </c>
      <c r="M257" t="e">
        <f>IF($D257=Lookup!$L$9,INDEX(views[icon],MATCH($E257,views[object_id order],0)),"")</f>
        <v>#N/A</v>
      </c>
      <c r="N257" t="e">
        <f>IF(OR(D257=Lookup!$L$11,D257=Lookup!$L$12),INDEX(views[[1]:[25]],MATCH($E257,views[object_id order],0),G257),"")</f>
        <v>#N/A</v>
      </c>
      <c r="O257" t="str">
        <f t="shared" si="10"/>
        <v/>
      </c>
      <c r="P257" s="8" t="e">
        <f>INDEX(Lookup!$M$5:$M$12,MATCH(D257,Lookup!$L$5:$L$12,0))&amp;
K257&amp;L257&amp;M257&amp;N257&amp;
INDEX(Lookup!$N$5:$N$12,MATCH(D257,Lookup!$L$5:$L$12,0))</f>
        <v>#N/A</v>
      </c>
    </row>
    <row r="258" spans="2:16" x14ac:dyDescent="0.45">
      <c r="B258">
        <f t="shared" si="9"/>
        <v>256</v>
      </c>
      <c r="C258" t="e">
        <f t="shared" si="11"/>
        <v>#N/A</v>
      </c>
      <c r="D258" t="e">
        <f>VLOOKUP(C258,Lookup!$K$5:$L$12,2,FALSE)</f>
        <v>#N/A</v>
      </c>
      <c r="E258" t="e">
        <f>IF(D258=Lookup!$L$5,E257+1,E257)</f>
        <v>#N/A</v>
      </c>
      <c r="F258" s="3" t="e">
        <f>INDEX(views[Entities count],MATCH('view-code'!E258,views[object_id order],0))</f>
        <v>#N/A</v>
      </c>
      <c r="G258" t="e">
        <f>IF(D257=Lookup!$L$10,1,IF(D257=Lookup!$L$11,G257+1,""))</f>
        <v>#N/A</v>
      </c>
      <c r="H258" t="e">
        <f>IF(F258=1,IF(D258=Lookup!$L$10,2,1),IF(G258&lt;F258-1,0,1))</f>
        <v>#N/A</v>
      </c>
      <c r="I258" t="e">
        <f>IF(D258&lt;&gt;Lookup!$L$7,0,IF(INDEX(views[name],MATCH(E258,views[object_id order],0))&lt;&gt;"",0,1))</f>
        <v>#N/A</v>
      </c>
      <c r="J258" t="e">
        <f>IF(D258&lt;&gt;Lookup!$L$7,0,IF(INDEX(views[icon],MATCH(E258,views[object_id order],0))&lt;&gt;"",0,1))</f>
        <v>#N/A</v>
      </c>
      <c r="K258" t="e">
        <f>IF($D258=Lookup!$L$6,INDEX(views[object_id],MATCH($E258,views[object_id order],0)),"")</f>
        <v>#N/A</v>
      </c>
      <c r="L258" t="e">
        <f>IF($D258=Lookup!$L$8,INDEX(views[name],MATCH($E258,views[object_id order],0)),"")</f>
        <v>#N/A</v>
      </c>
      <c r="M258" t="e">
        <f>IF($D258=Lookup!$L$9,INDEX(views[icon],MATCH($E258,views[object_id order],0)),"")</f>
        <v>#N/A</v>
      </c>
      <c r="N258" t="e">
        <f>IF(OR(D258=Lookup!$L$11,D258=Lookup!$L$12),INDEX(views[[1]:[25]],MATCH($E258,views[object_id order],0),G258),"")</f>
        <v>#N/A</v>
      </c>
      <c r="O258" t="str">
        <f t="shared" si="10"/>
        <v/>
      </c>
      <c r="P258" s="8" t="e">
        <f>INDEX(Lookup!$M$5:$M$12,MATCH(D258,Lookup!$L$5:$L$12,0))&amp;
K258&amp;L258&amp;M258&amp;N258&amp;
INDEX(Lookup!$N$5:$N$12,MATCH(D258,Lookup!$L$5:$L$12,0))</f>
        <v>#N/A</v>
      </c>
    </row>
    <row r="259" spans="2:16" x14ac:dyDescent="0.45">
      <c r="B259">
        <f t="shared" si="9"/>
        <v>257</v>
      </c>
      <c r="C259" t="e">
        <f t="shared" si="11"/>
        <v>#N/A</v>
      </c>
      <c r="D259" t="e">
        <f>VLOOKUP(C259,Lookup!$K$5:$L$12,2,FALSE)</f>
        <v>#N/A</v>
      </c>
      <c r="E259" t="e">
        <f>IF(D259=Lookup!$L$5,E258+1,E258)</f>
        <v>#N/A</v>
      </c>
      <c r="F259" s="3" t="e">
        <f>INDEX(views[Entities count],MATCH('view-code'!E259,views[object_id order],0))</f>
        <v>#N/A</v>
      </c>
      <c r="G259" t="e">
        <f>IF(D258=Lookup!$L$10,1,IF(D258=Lookup!$L$11,G258+1,""))</f>
        <v>#N/A</v>
      </c>
      <c r="H259" t="e">
        <f>IF(F259=1,IF(D259=Lookup!$L$10,2,1),IF(G259&lt;F259-1,0,1))</f>
        <v>#N/A</v>
      </c>
      <c r="I259" t="e">
        <f>IF(D259&lt;&gt;Lookup!$L$7,0,IF(INDEX(views[name],MATCH(E259,views[object_id order],0))&lt;&gt;"",0,1))</f>
        <v>#N/A</v>
      </c>
      <c r="J259" t="e">
        <f>IF(D259&lt;&gt;Lookup!$L$7,0,IF(INDEX(views[icon],MATCH(E259,views[object_id order],0))&lt;&gt;"",0,1))</f>
        <v>#N/A</v>
      </c>
      <c r="K259" t="e">
        <f>IF($D259=Lookup!$L$6,INDEX(views[object_id],MATCH($E259,views[object_id order],0)),"")</f>
        <v>#N/A</v>
      </c>
      <c r="L259" t="e">
        <f>IF($D259=Lookup!$L$8,INDEX(views[name],MATCH($E259,views[object_id order],0)),"")</f>
        <v>#N/A</v>
      </c>
      <c r="M259" t="e">
        <f>IF($D259=Lookup!$L$9,INDEX(views[icon],MATCH($E259,views[object_id order],0)),"")</f>
        <v>#N/A</v>
      </c>
      <c r="N259" t="e">
        <f>IF(OR(D259=Lookup!$L$11,D259=Lookup!$L$12),INDEX(views[[1]:[25]],MATCH($E259,views[object_id order],0),G259),"")</f>
        <v>#N/A</v>
      </c>
      <c r="O259" t="str">
        <f t="shared" si="10"/>
        <v/>
      </c>
      <c r="P259" s="8" t="e">
        <f>INDEX(Lookup!$M$5:$M$12,MATCH(D259,Lookup!$L$5:$L$12,0))&amp;
K259&amp;L259&amp;M259&amp;N259&amp;
INDEX(Lookup!$N$5:$N$12,MATCH(D259,Lookup!$L$5:$L$12,0))</f>
        <v>#N/A</v>
      </c>
    </row>
    <row r="260" spans="2:16" x14ac:dyDescent="0.45">
      <c r="B260">
        <f t="shared" si="9"/>
        <v>258</v>
      </c>
      <c r="C260" t="e">
        <f t="shared" si="11"/>
        <v>#N/A</v>
      </c>
      <c r="D260" t="e">
        <f>VLOOKUP(C260,Lookup!$K$5:$L$12,2,FALSE)</f>
        <v>#N/A</v>
      </c>
      <c r="E260" t="e">
        <f>IF(D260=Lookup!$L$5,E259+1,E259)</f>
        <v>#N/A</v>
      </c>
      <c r="F260" s="3" t="e">
        <f>INDEX(views[Entities count],MATCH('view-code'!E260,views[object_id order],0))</f>
        <v>#N/A</v>
      </c>
      <c r="G260" t="e">
        <f>IF(D259=Lookup!$L$10,1,IF(D259=Lookup!$L$11,G259+1,""))</f>
        <v>#N/A</v>
      </c>
      <c r="H260" t="e">
        <f>IF(F260=1,IF(D260=Lookup!$L$10,2,1),IF(G260&lt;F260-1,0,1))</f>
        <v>#N/A</v>
      </c>
      <c r="I260" t="e">
        <f>IF(D260&lt;&gt;Lookup!$L$7,0,IF(INDEX(views[name],MATCH(E260,views[object_id order],0))&lt;&gt;"",0,1))</f>
        <v>#N/A</v>
      </c>
      <c r="J260" t="e">
        <f>IF(D260&lt;&gt;Lookup!$L$7,0,IF(INDEX(views[icon],MATCH(E260,views[object_id order],0))&lt;&gt;"",0,1))</f>
        <v>#N/A</v>
      </c>
      <c r="K260" t="e">
        <f>IF($D260=Lookup!$L$6,INDEX(views[object_id],MATCH($E260,views[object_id order],0)),"")</f>
        <v>#N/A</v>
      </c>
      <c r="L260" t="e">
        <f>IF($D260=Lookup!$L$8,INDEX(views[name],MATCH($E260,views[object_id order],0)),"")</f>
        <v>#N/A</v>
      </c>
      <c r="M260" t="e">
        <f>IF($D260=Lookup!$L$9,INDEX(views[icon],MATCH($E260,views[object_id order],0)),"")</f>
        <v>#N/A</v>
      </c>
      <c r="N260" t="e">
        <f>IF(OR(D260=Lookup!$L$11,D260=Lookup!$L$12),INDEX(views[[1]:[25]],MATCH($E260,views[object_id order],0),G260),"")</f>
        <v>#N/A</v>
      </c>
      <c r="O260" t="str">
        <f t="shared" si="10"/>
        <v/>
      </c>
      <c r="P260" s="8" t="e">
        <f>INDEX(Lookup!$M$5:$M$12,MATCH(D260,Lookup!$L$5:$L$12,0))&amp;
K260&amp;L260&amp;M260&amp;N260&amp;
INDEX(Lookup!$N$5:$N$12,MATCH(D260,Lookup!$L$5:$L$12,0))</f>
        <v>#N/A</v>
      </c>
    </row>
    <row r="261" spans="2:16" x14ac:dyDescent="0.45">
      <c r="B261">
        <f t="shared" ref="B261:B324" si="12">B260+1</f>
        <v>259</v>
      </c>
      <c r="C261" t="e">
        <f t="shared" si="11"/>
        <v>#N/A</v>
      </c>
      <c r="D261" t="e">
        <f>VLOOKUP(C261,Lookup!$K$5:$L$12,2,FALSE)</f>
        <v>#N/A</v>
      </c>
      <c r="E261" t="e">
        <f>IF(D261=Lookup!$L$5,E260+1,E260)</f>
        <v>#N/A</v>
      </c>
      <c r="F261" s="3" t="e">
        <f>INDEX(views[Entities count],MATCH('view-code'!E261,views[object_id order],0))</f>
        <v>#N/A</v>
      </c>
      <c r="G261" t="e">
        <f>IF(D260=Lookup!$L$10,1,IF(D260=Lookup!$L$11,G260+1,""))</f>
        <v>#N/A</v>
      </c>
      <c r="H261" t="e">
        <f>IF(F261=1,IF(D261=Lookup!$L$10,2,1),IF(G261&lt;F261-1,0,1))</f>
        <v>#N/A</v>
      </c>
      <c r="I261" t="e">
        <f>IF(D261&lt;&gt;Lookup!$L$7,0,IF(INDEX(views[name],MATCH(E261,views[object_id order],0))&lt;&gt;"",0,1))</f>
        <v>#N/A</v>
      </c>
      <c r="J261" t="e">
        <f>IF(D261&lt;&gt;Lookup!$L$7,0,IF(INDEX(views[icon],MATCH(E261,views[object_id order],0))&lt;&gt;"",0,1))</f>
        <v>#N/A</v>
      </c>
      <c r="K261" t="e">
        <f>IF($D261=Lookup!$L$6,INDEX(views[object_id],MATCH($E261,views[object_id order],0)),"")</f>
        <v>#N/A</v>
      </c>
      <c r="L261" t="e">
        <f>IF($D261=Lookup!$L$8,INDEX(views[name],MATCH($E261,views[object_id order],0)),"")</f>
        <v>#N/A</v>
      </c>
      <c r="M261" t="e">
        <f>IF($D261=Lookup!$L$9,INDEX(views[icon],MATCH($E261,views[object_id order],0)),"")</f>
        <v>#N/A</v>
      </c>
      <c r="N261" t="e">
        <f>IF(OR(D261=Lookup!$L$11,D261=Lookup!$L$12),INDEX(views[[1]:[25]],MATCH($E261,views[object_id order],0),G261),"")</f>
        <v>#N/A</v>
      </c>
      <c r="O261" t="str">
        <f t="shared" ref="O261:O324" si="13">IF(AND(NOT(ISNA(F260)),ISNA(F261)),"END","")</f>
        <v/>
      </c>
      <c r="P261" s="8" t="e">
        <f>INDEX(Lookup!$M$5:$M$12,MATCH(D261,Lookup!$L$5:$L$12,0))&amp;
K261&amp;L261&amp;M261&amp;N261&amp;
INDEX(Lookup!$N$5:$N$12,MATCH(D261,Lookup!$L$5:$L$12,0))</f>
        <v>#N/A</v>
      </c>
    </row>
    <row r="262" spans="2:16" x14ac:dyDescent="0.45">
      <c r="B262">
        <f t="shared" si="12"/>
        <v>260</v>
      </c>
      <c r="C262" t="e">
        <f t="shared" si="11"/>
        <v>#N/A</v>
      </c>
      <c r="D262" t="e">
        <f>VLOOKUP(C262,Lookup!$K$5:$L$12,2,FALSE)</f>
        <v>#N/A</v>
      </c>
      <c r="E262" t="e">
        <f>IF(D262=Lookup!$L$5,E261+1,E261)</f>
        <v>#N/A</v>
      </c>
      <c r="F262" s="3" t="e">
        <f>INDEX(views[Entities count],MATCH('view-code'!E262,views[object_id order],0))</f>
        <v>#N/A</v>
      </c>
      <c r="G262" t="e">
        <f>IF(D261=Lookup!$L$10,1,IF(D261=Lookup!$L$11,G261+1,""))</f>
        <v>#N/A</v>
      </c>
      <c r="H262" t="e">
        <f>IF(F262=1,IF(D262=Lookup!$L$10,2,1),IF(G262&lt;F262-1,0,1))</f>
        <v>#N/A</v>
      </c>
      <c r="I262" t="e">
        <f>IF(D262&lt;&gt;Lookup!$L$7,0,IF(INDEX(views[name],MATCH(E262,views[object_id order],0))&lt;&gt;"",0,1))</f>
        <v>#N/A</v>
      </c>
      <c r="J262" t="e">
        <f>IF(D262&lt;&gt;Lookup!$L$7,0,IF(INDEX(views[icon],MATCH(E262,views[object_id order],0))&lt;&gt;"",0,1))</f>
        <v>#N/A</v>
      </c>
      <c r="K262" t="e">
        <f>IF($D262=Lookup!$L$6,INDEX(views[object_id],MATCH($E262,views[object_id order],0)),"")</f>
        <v>#N/A</v>
      </c>
      <c r="L262" t="e">
        <f>IF($D262=Lookup!$L$8,INDEX(views[name],MATCH($E262,views[object_id order],0)),"")</f>
        <v>#N/A</v>
      </c>
      <c r="M262" t="e">
        <f>IF($D262=Lookup!$L$9,INDEX(views[icon],MATCH($E262,views[object_id order],0)),"")</f>
        <v>#N/A</v>
      </c>
      <c r="N262" t="e">
        <f>IF(OR(D262=Lookup!$L$11,D262=Lookup!$L$12),INDEX(views[[1]:[25]],MATCH($E262,views[object_id order],0),G262),"")</f>
        <v>#N/A</v>
      </c>
      <c r="O262" t="str">
        <f t="shared" si="13"/>
        <v/>
      </c>
      <c r="P262" s="8" t="e">
        <f>INDEX(Lookup!$M$5:$M$12,MATCH(D262,Lookup!$L$5:$L$12,0))&amp;
K262&amp;L262&amp;M262&amp;N262&amp;
INDEX(Lookup!$N$5:$N$12,MATCH(D262,Lookup!$L$5:$L$12,0))</f>
        <v>#N/A</v>
      </c>
    </row>
    <row r="263" spans="2:16" x14ac:dyDescent="0.45">
      <c r="B263">
        <f t="shared" si="12"/>
        <v>261</v>
      </c>
      <c r="C263" t="e">
        <f t="shared" ref="C263:C326" si="14">IF(C262=8,  1,  C262+SUM(H262:J262)  )</f>
        <v>#N/A</v>
      </c>
      <c r="D263" t="e">
        <f>VLOOKUP(C263,Lookup!$K$5:$L$12,2,FALSE)</f>
        <v>#N/A</v>
      </c>
      <c r="E263" t="e">
        <f>IF(D263=Lookup!$L$5,E262+1,E262)</f>
        <v>#N/A</v>
      </c>
      <c r="F263" s="3" t="e">
        <f>INDEX(views[Entities count],MATCH('view-code'!E263,views[object_id order],0))</f>
        <v>#N/A</v>
      </c>
      <c r="G263" t="e">
        <f>IF(D262=Lookup!$L$10,1,IF(D262=Lookup!$L$11,G262+1,""))</f>
        <v>#N/A</v>
      </c>
      <c r="H263" t="e">
        <f>IF(F263=1,IF(D263=Lookup!$L$10,2,1),IF(G263&lt;F263-1,0,1))</f>
        <v>#N/A</v>
      </c>
      <c r="I263" t="e">
        <f>IF(D263&lt;&gt;Lookup!$L$7,0,IF(INDEX(views[name],MATCH(E263,views[object_id order],0))&lt;&gt;"",0,1))</f>
        <v>#N/A</v>
      </c>
      <c r="J263" t="e">
        <f>IF(D263&lt;&gt;Lookup!$L$7,0,IF(INDEX(views[icon],MATCH(E263,views[object_id order],0))&lt;&gt;"",0,1))</f>
        <v>#N/A</v>
      </c>
      <c r="K263" t="e">
        <f>IF($D263=Lookup!$L$6,INDEX(views[object_id],MATCH($E263,views[object_id order],0)),"")</f>
        <v>#N/A</v>
      </c>
      <c r="L263" t="e">
        <f>IF($D263=Lookup!$L$8,INDEX(views[name],MATCH($E263,views[object_id order],0)),"")</f>
        <v>#N/A</v>
      </c>
      <c r="M263" t="e">
        <f>IF($D263=Lookup!$L$9,INDEX(views[icon],MATCH($E263,views[object_id order],0)),"")</f>
        <v>#N/A</v>
      </c>
      <c r="N263" t="e">
        <f>IF(OR(D263=Lookup!$L$11,D263=Lookup!$L$12),INDEX(views[[1]:[25]],MATCH($E263,views[object_id order],0),G263),"")</f>
        <v>#N/A</v>
      </c>
      <c r="O263" t="str">
        <f t="shared" si="13"/>
        <v/>
      </c>
      <c r="P263" s="8" t="e">
        <f>INDEX(Lookup!$M$5:$M$12,MATCH(D263,Lookup!$L$5:$L$12,0))&amp;
K263&amp;L263&amp;M263&amp;N263&amp;
INDEX(Lookup!$N$5:$N$12,MATCH(D263,Lookup!$L$5:$L$12,0))</f>
        <v>#N/A</v>
      </c>
    </row>
    <row r="264" spans="2:16" x14ac:dyDescent="0.45">
      <c r="B264">
        <f t="shared" si="12"/>
        <v>262</v>
      </c>
      <c r="C264" t="e">
        <f t="shared" si="14"/>
        <v>#N/A</v>
      </c>
      <c r="D264" t="e">
        <f>VLOOKUP(C264,Lookup!$K$5:$L$12,2,FALSE)</f>
        <v>#N/A</v>
      </c>
      <c r="E264" t="e">
        <f>IF(D264=Lookup!$L$5,E263+1,E263)</f>
        <v>#N/A</v>
      </c>
      <c r="F264" s="3" t="e">
        <f>INDEX(views[Entities count],MATCH('view-code'!E264,views[object_id order],0))</f>
        <v>#N/A</v>
      </c>
      <c r="G264" t="e">
        <f>IF(D263=Lookup!$L$10,1,IF(D263=Lookup!$L$11,G263+1,""))</f>
        <v>#N/A</v>
      </c>
      <c r="H264" t="e">
        <f>IF(F264=1,IF(D264=Lookup!$L$10,2,1),IF(G264&lt;F264-1,0,1))</f>
        <v>#N/A</v>
      </c>
      <c r="I264" t="e">
        <f>IF(D264&lt;&gt;Lookup!$L$7,0,IF(INDEX(views[name],MATCH(E264,views[object_id order],0))&lt;&gt;"",0,1))</f>
        <v>#N/A</v>
      </c>
      <c r="J264" t="e">
        <f>IF(D264&lt;&gt;Lookup!$L$7,0,IF(INDEX(views[icon],MATCH(E264,views[object_id order],0))&lt;&gt;"",0,1))</f>
        <v>#N/A</v>
      </c>
      <c r="K264" t="e">
        <f>IF($D264=Lookup!$L$6,INDEX(views[object_id],MATCH($E264,views[object_id order],0)),"")</f>
        <v>#N/A</v>
      </c>
      <c r="L264" t="e">
        <f>IF($D264=Lookup!$L$8,INDEX(views[name],MATCH($E264,views[object_id order],0)),"")</f>
        <v>#N/A</v>
      </c>
      <c r="M264" t="e">
        <f>IF($D264=Lookup!$L$9,INDEX(views[icon],MATCH($E264,views[object_id order],0)),"")</f>
        <v>#N/A</v>
      </c>
      <c r="N264" t="e">
        <f>IF(OR(D264=Lookup!$L$11,D264=Lookup!$L$12),INDEX(views[[1]:[25]],MATCH($E264,views[object_id order],0),G264),"")</f>
        <v>#N/A</v>
      </c>
      <c r="O264" t="str">
        <f t="shared" si="13"/>
        <v/>
      </c>
      <c r="P264" s="8" t="e">
        <f>INDEX(Lookup!$M$5:$M$12,MATCH(D264,Lookup!$L$5:$L$12,0))&amp;
K264&amp;L264&amp;M264&amp;N264&amp;
INDEX(Lookup!$N$5:$N$12,MATCH(D264,Lookup!$L$5:$L$12,0))</f>
        <v>#N/A</v>
      </c>
    </row>
    <row r="265" spans="2:16" x14ac:dyDescent="0.45">
      <c r="B265">
        <f t="shared" si="12"/>
        <v>263</v>
      </c>
      <c r="C265" t="e">
        <f t="shared" si="14"/>
        <v>#N/A</v>
      </c>
      <c r="D265" t="e">
        <f>VLOOKUP(C265,Lookup!$K$5:$L$12,2,FALSE)</f>
        <v>#N/A</v>
      </c>
      <c r="E265" t="e">
        <f>IF(D265=Lookup!$L$5,E264+1,E264)</f>
        <v>#N/A</v>
      </c>
      <c r="F265" s="3" t="e">
        <f>INDEX(views[Entities count],MATCH('view-code'!E265,views[object_id order],0))</f>
        <v>#N/A</v>
      </c>
      <c r="G265" t="e">
        <f>IF(D264=Lookup!$L$10,1,IF(D264=Lookup!$L$11,G264+1,""))</f>
        <v>#N/A</v>
      </c>
      <c r="H265" t="e">
        <f>IF(F265=1,IF(D265=Lookup!$L$10,2,1),IF(G265&lt;F265-1,0,1))</f>
        <v>#N/A</v>
      </c>
      <c r="I265" t="e">
        <f>IF(D265&lt;&gt;Lookup!$L$7,0,IF(INDEX(views[name],MATCH(E265,views[object_id order],0))&lt;&gt;"",0,1))</f>
        <v>#N/A</v>
      </c>
      <c r="J265" t="e">
        <f>IF(D265&lt;&gt;Lookup!$L$7,0,IF(INDEX(views[icon],MATCH(E265,views[object_id order],0))&lt;&gt;"",0,1))</f>
        <v>#N/A</v>
      </c>
      <c r="K265" t="e">
        <f>IF($D265=Lookup!$L$6,INDEX(views[object_id],MATCH($E265,views[object_id order],0)),"")</f>
        <v>#N/A</v>
      </c>
      <c r="L265" t="e">
        <f>IF($D265=Lookup!$L$8,INDEX(views[name],MATCH($E265,views[object_id order],0)),"")</f>
        <v>#N/A</v>
      </c>
      <c r="M265" t="e">
        <f>IF($D265=Lookup!$L$9,INDEX(views[icon],MATCH($E265,views[object_id order],0)),"")</f>
        <v>#N/A</v>
      </c>
      <c r="N265" t="e">
        <f>IF(OR(D265=Lookup!$L$11,D265=Lookup!$L$12),INDEX(views[[1]:[25]],MATCH($E265,views[object_id order],0),G265),"")</f>
        <v>#N/A</v>
      </c>
      <c r="O265" t="str">
        <f t="shared" si="13"/>
        <v/>
      </c>
      <c r="P265" s="8" t="e">
        <f>INDEX(Lookup!$M$5:$M$12,MATCH(D265,Lookup!$L$5:$L$12,0))&amp;
K265&amp;L265&amp;M265&amp;N265&amp;
INDEX(Lookup!$N$5:$N$12,MATCH(D265,Lookup!$L$5:$L$12,0))</f>
        <v>#N/A</v>
      </c>
    </row>
    <row r="266" spans="2:16" x14ac:dyDescent="0.45">
      <c r="B266">
        <f t="shared" si="12"/>
        <v>264</v>
      </c>
      <c r="C266" t="e">
        <f t="shared" si="14"/>
        <v>#N/A</v>
      </c>
      <c r="D266" t="e">
        <f>VLOOKUP(C266,Lookup!$K$5:$L$12,2,FALSE)</f>
        <v>#N/A</v>
      </c>
      <c r="E266" t="e">
        <f>IF(D266=Lookup!$L$5,E265+1,E265)</f>
        <v>#N/A</v>
      </c>
      <c r="F266" s="3" t="e">
        <f>INDEX(views[Entities count],MATCH('view-code'!E266,views[object_id order],0))</f>
        <v>#N/A</v>
      </c>
      <c r="G266" t="e">
        <f>IF(D265=Lookup!$L$10,1,IF(D265=Lookup!$L$11,G265+1,""))</f>
        <v>#N/A</v>
      </c>
      <c r="H266" t="e">
        <f>IF(F266=1,IF(D266=Lookup!$L$10,2,1),IF(G266&lt;F266-1,0,1))</f>
        <v>#N/A</v>
      </c>
      <c r="I266" t="e">
        <f>IF(D266&lt;&gt;Lookup!$L$7,0,IF(INDEX(views[name],MATCH(E266,views[object_id order],0))&lt;&gt;"",0,1))</f>
        <v>#N/A</v>
      </c>
      <c r="J266" t="e">
        <f>IF(D266&lt;&gt;Lookup!$L$7,0,IF(INDEX(views[icon],MATCH(E266,views[object_id order],0))&lt;&gt;"",0,1))</f>
        <v>#N/A</v>
      </c>
      <c r="K266" t="e">
        <f>IF($D266=Lookup!$L$6,INDEX(views[object_id],MATCH($E266,views[object_id order],0)),"")</f>
        <v>#N/A</v>
      </c>
      <c r="L266" t="e">
        <f>IF($D266=Lookup!$L$8,INDEX(views[name],MATCH($E266,views[object_id order],0)),"")</f>
        <v>#N/A</v>
      </c>
      <c r="M266" t="e">
        <f>IF($D266=Lookup!$L$9,INDEX(views[icon],MATCH($E266,views[object_id order],0)),"")</f>
        <v>#N/A</v>
      </c>
      <c r="N266" t="e">
        <f>IF(OR(D266=Lookup!$L$11,D266=Lookup!$L$12),INDEX(views[[1]:[25]],MATCH($E266,views[object_id order],0),G266),"")</f>
        <v>#N/A</v>
      </c>
      <c r="O266" t="str">
        <f t="shared" si="13"/>
        <v/>
      </c>
      <c r="P266" s="8" t="e">
        <f>INDEX(Lookup!$M$5:$M$12,MATCH(D266,Lookup!$L$5:$L$12,0))&amp;
K266&amp;L266&amp;M266&amp;N266&amp;
INDEX(Lookup!$N$5:$N$12,MATCH(D266,Lookup!$L$5:$L$12,0))</f>
        <v>#N/A</v>
      </c>
    </row>
    <row r="267" spans="2:16" x14ac:dyDescent="0.45">
      <c r="B267">
        <f t="shared" si="12"/>
        <v>265</v>
      </c>
      <c r="C267" t="e">
        <f t="shared" si="14"/>
        <v>#N/A</v>
      </c>
      <c r="D267" t="e">
        <f>VLOOKUP(C267,Lookup!$K$5:$L$12,2,FALSE)</f>
        <v>#N/A</v>
      </c>
      <c r="E267" t="e">
        <f>IF(D267=Lookup!$L$5,E266+1,E266)</f>
        <v>#N/A</v>
      </c>
      <c r="F267" s="3" t="e">
        <f>INDEX(views[Entities count],MATCH('view-code'!E267,views[object_id order],0))</f>
        <v>#N/A</v>
      </c>
      <c r="G267" t="e">
        <f>IF(D266=Lookup!$L$10,1,IF(D266=Lookup!$L$11,G266+1,""))</f>
        <v>#N/A</v>
      </c>
      <c r="H267" t="e">
        <f>IF(F267=1,IF(D267=Lookup!$L$10,2,1),IF(G267&lt;F267-1,0,1))</f>
        <v>#N/A</v>
      </c>
      <c r="I267" t="e">
        <f>IF(D267&lt;&gt;Lookup!$L$7,0,IF(INDEX(views[name],MATCH(E267,views[object_id order],0))&lt;&gt;"",0,1))</f>
        <v>#N/A</v>
      </c>
      <c r="J267" t="e">
        <f>IF(D267&lt;&gt;Lookup!$L$7,0,IF(INDEX(views[icon],MATCH(E267,views[object_id order],0))&lt;&gt;"",0,1))</f>
        <v>#N/A</v>
      </c>
      <c r="K267" t="e">
        <f>IF($D267=Lookup!$L$6,INDEX(views[object_id],MATCH($E267,views[object_id order],0)),"")</f>
        <v>#N/A</v>
      </c>
      <c r="L267" t="e">
        <f>IF($D267=Lookup!$L$8,INDEX(views[name],MATCH($E267,views[object_id order],0)),"")</f>
        <v>#N/A</v>
      </c>
      <c r="M267" t="e">
        <f>IF($D267=Lookup!$L$9,INDEX(views[icon],MATCH($E267,views[object_id order],0)),"")</f>
        <v>#N/A</v>
      </c>
      <c r="N267" t="e">
        <f>IF(OR(D267=Lookup!$L$11,D267=Lookup!$L$12),INDEX(views[[1]:[25]],MATCH($E267,views[object_id order],0),G267),"")</f>
        <v>#N/A</v>
      </c>
      <c r="O267" t="str">
        <f t="shared" si="13"/>
        <v/>
      </c>
      <c r="P267" s="8" t="e">
        <f>INDEX(Lookup!$M$5:$M$12,MATCH(D267,Lookup!$L$5:$L$12,0))&amp;
K267&amp;L267&amp;M267&amp;N267&amp;
INDEX(Lookup!$N$5:$N$12,MATCH(D267,Lookup!$L$5:$L$12,0))</f>
        <v>#N/A</v>
      </c>
    </row>
    <row r="268" spans="2:16" x14ac:dyDescent="0.45">
      <c r="B268">
        <f t="shared" si="12"/>
        <v>266</v>
      </c>
      <c r="C268" t="e">
        <f t="shared" si="14"/>
        <v>#N/A</v>
      </c>
      <c r="D268" t="e">
        <f>VLOOKUP(C268,Lookup!$K$5:$L$12,2,FALSE)</f>
        <v>#N/A</v>
      </c>
      <c r="E268" t="e">
        <f>IF(D268=Lookup!$L$5,E267+1,E267)</f>
        <v>#N/A</v>
      </c>
      <c r="F268" s="3" t="e">
        <f>INDEX(views[Entities count],MATCH('view-code'!E268,views[object_id order],0))</f>
        <v>#N/A</v>
      </c>
      <c r="G268" t="e">
        <f>IF(D267=Lookup!$L$10,1,IF(D267=Lookup!$L$11,G267+1,""))</f>
        <v>#N/A</v>
      </c>
      <c r="H268" t="e">
        <f>IF(F268=1,IF(D268=Lookup!$L$10,2,1),IF(G268&lt;F268-1,0,1))</f>
        <v>#N/A</v>
      </c>
      <c r="I268" t="e">
        <f>IF(D268&lt;&gt;Lookup!$L$7,0,IF(INDEX(views[name],MATCH(E268,views[object_id order],0))&lt;&gt;"",0,1))</f>
        <v>#N/A</v>
      </c>
      <c r="J268" t="e">
        <f>IF(D268&lt;&gt;Lookup!$L$7,0,IF(INDEX(views[icon],MATCH(E268,views[object_id order],0))&lt;&gt;"",0,1))</f>
        <v>#N/A</v>
      </c>
      <c r="K268" t="e">
        <f>IF($D268=Lookup!$L$6,INDEX(views[object_id],MATCH($E268,views[object_id order],0)),"")</f>
        <v>#N/A</v>
      </c>
      <c r="L268" t="e">
        <f>IF($D268=Lookup!$L$8,INDEX(views[name],MATCH($E268,views[object_id order],0)),"")</f>
        <v>#N/A</v>
      </c>
      <c r="M268" t="e">
        <f>IF($D268=Lookup!$L$9,INDEX(views[icon],MATCH($E268,views[object_id order],0)),"")</f>
        <v>#N/A</v>
      </c>
      <c r="N268" t="e">
        <f>IF(OR(D268=Lookup!$L$11,D268=Lookup!$L$12),INDEX(views[[1]:[25]],MATCH($E268,views[object_id order],0),G268),"")</f>
        <v>#N/A</v>
      </c>
      <c r="O268" t="str">
        <f t="shared" si="13"/>
        <v/>
      </c>
      <c r="P268" s="8" t="e">
        <f>INDEX(Lookup!$M$5:$M$12,MATCH(D268,Lookup!$L$5:$L$12,0))&amp;
K268&amp;L268&amp;M268&amp;N268&amp;
INDEX(Lookup!$N$5:$N$12,MATCH(D268,Lookup!$L$5:$L$12,0))</f>
        <v>#N/A</v>
      </c>
    </row>
    <row r="269" spans="2:16" x14ac:dyDescent="0.45">
      <c r="B269">
        <f t="shared" si="12"/>
        <v>267</v>
      </c>
      <c r="C269" t="e">
        <f t="shared" si="14"/>
        <v>#N/A</v>
      </c>
      <c r="D269" t="e">
        <f>VLOOKUP(C269,Lookup!$K$5:$L$12,2,FALSE)</f>
        <v>#N/A</v>
      </c>
      <c r="E269" t="e">
        <f>IF(D269=Lookup!$L$5,E268+1,E268)</f>
        <v>#N/A</v>
      </c>
      <c r="F269" s="3" t="e">
        <f>INDEX(views[Entities count],MATCH('view-code'!E269,views[object_id order],0))</f>
        <v>#N/A</v>
      </c>
      <c r="G269" t="e">
        <f>IF(D268=Lookup!$L$10,1,IF(D268=Lookup!$L$11,G268+1,""))</f>
        <v>#N/A</v>
      </c>
      <c r="H269" t="e">
        <f>IF(F269=1,IF(D269=Lookup!$L$10,2,1),IF(G269&lt;F269-1,0,1))</f>
        <v>#N/A</v>
      </c>
      <c r="I269" t="e">
        <f>IF(D269&lt;&gt;Lookup!$L$7,0,IF(INDEX(views[name],MATCH(E269,views[object_id order],0))&lt;&gt;"",0,1))</f>
        <v>#N/A</v>
      </c>
      <c r="J269" t="e">
        <f>IF(D269&lt;&gt;Lookup!$L$7,0,IF(INDEX(views[icon],MATCH(E269,views[object_id order],0))&lt;&gt;"",0,1))</f>
        <v>#N/A</v>
      </c>
      <c r="K269" t="e">
        <f>IF($D269=Lookup!$L$6,INDEX(views[object_id],MATCH($E269,views[object_id order],0)),"")</f>
        <v>#N/A</v>
      </c>
      <c r="L269" t="e">
        <f>IF($D269=Lookup!$L$8,INDEX(views[name],MATCH($E269,views[object_id order],0)),"")</f>
        <v>#N/A</v>
      </c>
      <c r="M269" t="e">
        <f>IF($D269=Lookup!$L$9,INDEX(views[icon],MATCH($E269,views[object_id order],0)),"")</f>
        <v>#N/A</v>
      </c>
      <c r="N269" t="e">
        <f>IF(OR(D269=Lookup!$L$11,D269=Lookup!$L$12),INDEX(views[[1]:[25]],MATCH($E269,views[object_id order],0),G269),"")</f>
        <v>#N/A</v>
      </c>
      <c r="O269" t="str">
        <f t="shared" si="13"/>
        <v/>
      </c>
      <c r="P269" s="8" t="e">
        <f>INDEX(Lookup!$M$5:$M$12,MATCH(D269,Lookup!$L$5:$L$12,0))&amp;
K269&amp;L269&amp;M269&amp;N269&amp;
INDEX(Lookup!$N$5:$N$12,MATCH(D269,Lookup!$L$5:$L$12,0))</f>
        <v>#N/A</v>
      </c>
    </row>
    <row r="270" spans="2:16" x14ac:dyDescent="0.45">
      <c r="B270">
        <f t="shared" si="12"/>
        <v>268</v>
      </c>
      <c r="C270" t="e">
        <f t="shared" si="14"/>
        <v>#N/A</v>
      </c>
      <c r="D270" t="e">
        <f>VLOOKUP(C270,Lookup!$K$5:$L$12,2,FALSE)</f>
        <v>#N/A</v>
      </c>
      <c r="E270" t="e">
        <f>IF(D270=Lookup!$L$5,E269+1,E269)</f>
        <v>#N/A</v>
      </c>
      <c r="F270" s="3" t="e">
        <f>INDEX(views[Entities count],MATCH('view-code'!E270,views[object_id order],0))</f>
        <v>#N/A</v>
      </c>
      <c r="G270" t="e">
        <f>IF(D269=Lookup!$L$10,1,IF(D269=Lookup!$L$11,G269+1,""))</f>
        <v>#N/A</v>
      </c>
      <c r="H270" t="e">
        <f>IF(F270=1,IF(D270=Lookup!$L$10,2,1),IF(G270&lt;F270-1,0,1))</f>
        <v>#N/A</v>
      </c>
      <c r="I270" t="e">
        <f>IF(D270&lt;&gt;Lookup!$L$7,0,IF(INDEX(views[name],MATCH(E270,views[object_id order],0))&lt;&gt;"",0,1))</f>
        <v>#N/A</v>
      </c>
      <c r="J270" t="e">
        <f>IF(D270&lt;&gt;Lookup!$L$7,0,IF(INDEX(views[icon],MATCH(E270,views[object_id order],0))&lt;&gt;"",0,1))</f>
        <v>#N/A</v>
      </c>
      <c r="K270" t="e">
        <f>IF($D270=Lookup!$L$6,INDEX(views[object_id],MATCH($E270,views[object_id order],0)),"")</f>
        <v>#N/A</v>
      </c>
      <c r="L270" t="e">
        <f>IF($D270=Lookup!$L$8,INDEX(views[name],MATCH($E270,views[object_id order],0)),"")</f>
        <v>#N/A</v>
      </c>
      <c r="M270" t="e">
        <f>IF($D270=Lookup!$L$9,INDEX(views[icon],MATCH($E270,views[object_id order],0)),"")</f>
        <v>#N/A</v>
      </c>
      <c r="N270" t="e">
        <f>IF(OR(D270=Lookup!$L$11,D270=Lookup!$L$12),INDEX(views[[1]:[25]],MATCH($E270,views[object_id order],0),G270),"")</f>
        <v>#N/A</v>
      </c>
      <c r="O270" t="str">
        <f t="shared" si="13"/>
        <v/>
      </c>
      <c r="P270" s="8" t="e">
        <f>INDEX(Lookup!$M$5:$M$12,MATCH(D270,Lookup!$L$5:$L$12,0))&amp;
K270&amp;L270&amp;M270&amp;N270&amp;
INDEX(Lookup!$N$5:$N$12,MATCH(D270,Lookup!$L$5:$L$12,0))</f>
        <v>#N/A</v>
      </c>
    </row>
    <row r="271" spans="2:16" x14ac:dyDescent="0.45">
      <c r="B271">
        <f t="shared" si="12"/>
        <v>269</v>
      </c>
      <c r="C271" t="e">
        <f t="shared" si="14"/>
        <v>#N/A</v>
      </c>
      <c r="D271" t="e">
        <f>VLOOKUP(C271,Lookup!$K$5:$L$12,2,FALSE)</f>
        <v>#N/A</v>
      </c>
      <c r="E271" t="e">
        <f>IF(D271=Lookup!$L$5,E270+1,E270)</f>
        <v>#N/A</v>
      </c>
      <c r="F271" s="3" t="e">
        <f>INDEX(views[Entities count],MATCH('view-code'!E271,views[object_id order],0))</f>
        <v>#N/A</v>
      </c>
      <c r="G271" t="e">
        <f>IF(D270=Lookup!$L$10,1,IF(D270=Lookup!$L$11,G270+1,""))</f>
        <v>#N/A</v>
      </c>
      <c r="H271" t="e">
        <f>IF(F271=1,IF(D271=Lookup!$L$10,2,1),IF(G271&lt;F271-1,0,1))</f>
        <v>#N/A</v>
      </c>
      <c r="I271" t="e">
        <f>IF(D271&lt;&gt;Lookup!$L$7,0,IF(INDEX(views[name],MATCH(E271,views[object_id order],0))&lt;&gt;"",0,1))</f>
        <v>#N/A</v>
      </c>
      <c r="J271" t="e">
        <f>IF(D271&lt;&gt;Lookup!$L$7,0,IF(INDEX(views[icon],MATCH(E271,views[object_id order],0))&lt;&gt;"",0,1))</f>
        <v>#N/A</v>
      </c>
      <c r="K271" t="e">
        <f>IF($D271=Lookup!$L$6,INDEX(views[object_id],MATCH($E271,views[object_id order],0)),"")</f>
        <v>#N/A</v>
      </c>
      <c r="L271" t="e">
        <f>IF($D271=Lookup!$L$8,INDEX(views[name],MATCH($E271,views[object_id order],0)),"")</f>
        <v>#N/A</v>
      </c>
      <c r="M271" t="e">
        <f>IF($D271=Lookup!$L$9,INDEX(views[icon],MATCH($E271,views[object_id order],0)),"")</f>
        <v>#N/A</v>
      </c>
      <c r="N271" t="e">
        <f>IF(OR(D271=Lookup!$L$11,D271=Lookup!$L$12),INDEX(views[[1]:[25]],MATCH($E271,views[object_id order],0),G271),"")</f>
        <v>#N/A</v>
      </c>
      <c r="O271" t="str">
        <f t="shared" si="13"/>
        <v/>
      </c>
      <c r="P271" s="8" t="e">
        <f>INDEX(Lookup!$M$5:$M$12,MATCH(D271,Lookup!$L$5:$L$12,0))&amp;
K271&amp;L271&amp;M271&amp;N271&amp;
INDEX(Lookup!$N$5:$N$12,MATCH(D271,Lookup!$L$5:$L$12,0))</f>
        <v>#N/A</v>
      </c>
    </row>
    <row r="272" spans="2:16" x14ac:dyDescent="0.45">
      <c r="B272">
        <f t="shared" si="12"/>
        <v>270</v>
      </c>
      <c r="C272" t="e">
        <f t="shared" si="14"/>
        <v>#N/A</v>
      </c>
      <c r="D272" t="e">
        <f>VLOOKUP(C272,Lookup!$K$5:$L$12,2,FALSE)</f>
        <v>#N/A</v>
      </c>
      <c r="E272" t="e">
        <f>IF(D272=Lookup!$L$5,E271+1,E271)</f>
        <v>#N/A</v>
      </c>
      <c r="F272" s="3" t="e">
        <f>INDEX(views[Entities count],MATCH('view-code'!E272,views[object_id order],0))</f>
        <v>#N/A</v>
      </c>
      <c r="G272" t="e">
        <f>IF(D271=Lookup!$L$10,1,IF(D271=Lookup!$L$11,G271+1,""))</f>
        <v>#N/A</v>
      </c>
      <c r="H272" t="e">
        <f>IF(F272=1,IF(D272=Lookup!$L$10,2,1),IF(G272&lt;F272-1,0,1))</f>
        <v>#N/A</v>
      </c>
      <c r="I272" t="e">
        <f>IF(D272&lt;&gt;Lookup!$L$7,0,IF(INDEX(views[name],MATCH(E272,views[object_id order],0))&lt;&gt;"",0,1))</f>
        <v>#N/A</v>
      </c>
      <c r="J272" t="e">
        <f>IF(D272&lt;&gt;Lookup!$L$7,0,IF(INDEX(views[icon],MATCH(E272,views[object_id order],0))&lt;&gt;"",0,1))</f>
        <v>#N/A</v>
      </c>
      <c r="K272" t="e">
        <f>IF($D272=Lookup!$L$6,INDEX(views[object_id],MATCH($E272,views[object_id order],0)),"")</f>
        <v>#N/A</v>
      </c>
      <c r="L272" t="e">
        <f>IF($D272=Lookup!$L$8,INDEX(views[name],MATCH($E272,views[object_id order],0)),"")</f>
        <v>#N/A</v>
      </c>
      <c r="M272" t="e">
        <f>IF($D272=Lookup!$L$9,INDEX(views[icon],MATCH($E272,views[object_id order],0)),"")</f>
        <v>#N/A</v>
      </c>
      <c r="N272" t="e">
        <f>IF(OR(D272=Lookup!$L$11,D272=Lookup!$L$12),INDEX(views[[1]:[25]],MATCH($E272,views[object_id order],0),G272),"")</f>
        <v>#N/A</v>
      </c>
      <c r="O272" t="str">
        <f t="shared" si="13"/>
        <v/>
      </c>
      <c r="P272" s="8" t="e">
        <f>INDEX(Lookup!$M$5:$M$12,MATCH(D272,Lookup!$L$5:$L$12,0))&amp;
K272&amp;L272&amp;M272&amp;N272&amp;
INDEX(Lookup!$N$5:$N$12,MATCH(D272,Lookup!$L$5:$L$12,0))</f>
        <v>#N/A</v>
      </c>
    </row>
    <row r="273" spans="2:16" x14ac:dyDescent="0.45">
      <c r="B273">
        <f t="shared" si="12"/>
        <v>271</v>
      </c>
      <c r="C273" t="e">
        <f t="shared" si="14"/>
        <v>#N/A</v>
      </c>
      <c r="D273" t="e">
        <f>VLOOKUP(C273,Lookup!$K$5:$L$12,2,FALSE)</f>
        <v>#N/A</v>
      </c>
      <c r="E273" t="e">
        <f>IF(D273=Lookup!$L$5,E272+1,E272)</f>
        <v>#N/A</v>
      </c>
      <c r="F273" s="3" t="e">
        <f>INDEX(views[Entities count],MATCH('view-code'!E273,views[object_id order],0))</f>
        <v>#N/A</v>
      </c>
      <c r="G273" t="e">
        <f>IF(D272=Lookup!$L$10,1,IF(D272=Lookup!$L$11,G272+1,""))</f>
        <v>#N/A</v>
      </c>
      <c r="H273" t="e">
        <f>IF(F273=1,IF(D273=Lookup!$L$10,2,1),IF(G273&lt;F273-1,0,1))</f>
        <v>#N/A</v>
      </c>
      <c r="I273" t="e">
        <f>IF(D273&lt;&gt;Lookup!$L$7,0,IF(INDEX(views[name],MATCH(E273,views[object_id order],0))&lt;&gt;"",0,1))</f>
        <v>#N/A</v>
      </c>
      <c r="J273" t="e">
        <f>IF(D273&lt;&gt;Lookup!$L$7,0,IF(INDEX(views[icon],MATCH(E273,views[object_id order],0))&lt;&gt;"",0,1))</f>
        <v>#N/A</v>
      </c>
      <c r="K273" t="e">
        <f>IF($D273=Lookup!$L$6,INDEX(views[object_id],MATCH($E273,views[object_id order],0)),"")</f>
        <v>#N/A</v>
      </c>
      <c r="L273" t="e">
        <f>IF($D273=Lookup!$L$8,INDEX(views[name],MATCH($E273,views[object_id order],0)),"")</f>
        <v>#N/A</v>
      </c>
      <c r="M273" t="e">
        <f>IF($D273=Lookup!$L$9,INDEX(views[icon],MATCH($E273,views[object_id order],0)),"")</f>
        <v>#N/A</v>
      </c>
      <c r="N273" t="e">
        <f>IF(OR(D273=Lookup!$L$11,D273=Lookup!$L$12),INDEX(views[[1]:[25]],MATCH($E273,views[object_id order],0),G273),"")</f>
        <v>#N/A</v>
      </c>
      <c r="O273" t="str">
        <f t="shared" si="13"/>
        <v/>
      </c>
      <c r="P273" s="8" t="e">
        <f>INDEX(Lookup!$M$5:$M$12,MATCH(D273,Lookup!$L$5:$L$12,0))&amp;
K273&amp;L273&amp;M273&amp;N273&amp;
INDEX(Lookup!$N$5:$N$12,MATCH(D273,Lookup!$L$5:$L$12,0))</f>
        <v>#N/A</v>
      </c>
    </row>
    <row r="274" spans="2:16" x14ac:dyDescent="0.45">
      <c r="B274">
        <f t="shared" si="12"/>
        <v>272</v>
      </c>
      <c r="C274" t="e">
        <f t="shared" si="14"/>
        <v>#N/A</v>
      </c>
      <c r="D274" t="e">
        <f>VLOOKUP(C274,Lookup!$K$5:$L$12,2,FALSE)</f>
        <v>#N/A</v>
      </c>
      <c r="E274" t="e">
        <f>IF(D274=Lookup!$L$5,E273+1,E273)</f>
        <v>#N/A</v>
      </c>
      <c r="F274" s="3" t="e">
        <f>INDEX(views[Entities count],MATCH('view-code'!E274,views[object_id order],0))</f>
        <v>#N/A</v>
      </c>
      <c r="G274" t="e">
        <f>IF(D273=Lookup!$L$10,1,IF(D273=Lookup!$L$11,G273+1,""))</f>
        <v>#N/A</v>
      </c>
      <c r="H274" t="e">
        <f>IF(F274=1,IF(D274=Lookup!$L$10,2,1),IF(G274&lt;F274-1,0,1))</f>
        <v>#N/A</v>
      </c>
      <c r="I274" t="e">
        <f>IF(D274&lt;&gt;Lookup!$L$7,0,IF(INDEX(views[name],MATCH(E274,views[object_id order],0))&lt;&gt;"",0,1))</f>
        <v>#N/A</v>
      </c>
      <c r="J274" t="e">
        <f>IF(D274&lt;&gt;Lookup!$L$7,0,IF(INDEX(views[icon],MATCH(E274,views[object_id order],0))&lt;&gt;"",0,1))</f>
        <v>#N/A</v>
      </c>
      <c r="K274" t="e">
        <f>IF($D274=Lookup!$L$6,INDEX(views[object_id],MATCH($E274,views[object_id order],0)),"")</f>
        <v>#N/A</v>
      </c>
      <c r="L274" t="e">
        <f>IF($D274=Lookup!$L$8,INDEX(views[name],MATCH($E274,views[object_id order],0)),"")</f>
        <v>#N/A</v>
      </c>
      <c r="M274" t="e">
        <f>IF($D274=Lookup!$L$9,INDEX(views[icon],MATCH($E274,views[object_id order],0)),"")</f>
        <v>#N/A</v>
      </c>
      <c r="N274" t="e">
        <f>IF(OR(D274=Lookup!$L$11,D274=Lookup!$L$12),INDEX(views[[1]:[25]],MATCH($E274,views[object_id order],0),G274),"")</f>
        <v>#N/A</v>
      </c>
      <c r="O274" t="str">
        <f t="shared" si="13"/>
        <v/>
      </c>
      <c r="P274" s="8" t="e">
        <f>INDEX(Lookup!$M$5:$M$12,MATCH(D274,Lookup!$L$5:$L$12,0))&amp;
K274&amp;L274&amp;M274&amp;N274&amp;
INDEX(Lookup!$N$5:$N$12,MATCH(D274,Lookup!$L$5:$L$12,0))</f>
        <v>#N/A</v>
      </c>
    </row>
    <row r="275" spans="2:16" x14ac:dyDescent="0.45">
      <c r="B275">
        <f t="shared" si="12"/>
        <v>273</v>
      </c>
      <c r="C275" t="e">
        <f t="shared" si="14"/>
        <v>#N/A</v>
      </c>
      <c r="D275" t="e">
        <f>VLOOKUP(C275,Lookup!$K$5:$L$12,2,FALSE)</f>
        <v>#N/A</v>
      </c>
      <c r="E275" t="e">
        <f>IF(D275=Lookup!$L$5,E274+1,E274)</f>
        <v>#N/A</v>
      </c>
      <c r="F275" s="3" t="e">
        <f>INDEX(views[Entities count],MATCH('view-code'!E275,views[object_id order],0))</f>
        <v>#N/A</v>
      </c>
      <c r="G275" t="e">
        <f>IF(D274=Lookup!$L$10,1,IF(D274=Lookup!$L$11,G274+1,""))</f>
        <v>#N/A</v>
      </c>
      <c r="H275" t="e">
        <f>IF(F275=1,IF(D275=Lookup!$L$10,2,1),IF(G275&lt;F275-1,0,1))</f>
        <v>#N/A</v>
      </c>
      <c r="I275" t="e">
        <f>IF(D275&lt;&gt;Lookup!$L$7,0,IF(INDEX(views[name],MATCH(E275,views[object_id order],0))&lt;&gt;"",0,1))</f>
        <v>#N/A</v>
      </c>
      <c r="J275" t="e">
        <f>IF(D275&lt;&gt;Lookup!$L$7,0,IF(INDEX(views[icon],MATCH(E275,views[object_id order],0))&lt;&gt;"",0,1))</f>
        <v>#N/A</v>
      </c>
      <c r="K275" t="e">
        <f>IF($D275=Lookup!$L$6,INDEX(views[object_id],MATCH($E275,views[object_id order],0)),"")</f>
        <v>#N/A</v>
      </c>
      <c r="L275" t="e">
        <f>IF($D275=Lookup!$L$8,INDEX(views[name],MATCH($E275,views[object_id order],0)),"")</f>
        <v>#N/A</v>
      </c>
      <c r="M275" t="e">
        <f>IF($D275=Lookup!$L$9,INDEX(views[icon],MATCH($E275,views[object_id order],0)),"")</f>
        <v>#N/A</v>
      </c>
      <c r="N275" t="e">
        <f>IF(OR(D275=Lookup!$L$11,D275=Lookup!$L$12),INDEX(views[[1]:[25]],MATCH($E275,views[object_id order],0),G275),"")</f>
        <v>#N/A</v>
      </c>
      <c r="O275" t="str">
        <f t="shared" si="13"/>
        <v/>
      </c>
      <c r="P275" s="8" t="e">
        <f>INDEX(Lookup!$M$5:$M$12,MATCH(D275,Lookup!$L$5:$L$12,0))&amp;
K275&amp;L275&amp;M275&amp;N275&amp;
INDEX(Lookup!$N$5:$N$12,MATCH(D275,Lookup!$L$5:$L$12,0))</f>
        <v>#N/A</v>
      </c>
    </row>
    <row r="276" spans="2:16" x14ac:dyDescent="0.45">
      <c r="B276">
        <f t="shared" si="12"/>
        <v>274</v>
      </c>
      <c r="C276" t="e">
        <f t="shared" si="14"/>
        <v>#N/A</v>
      </c>
      <c r="D276" t="e">
        <f>VLOOKUP(C276,Lookup!$K$5:$L$12,2,FALSE)</f>
        <v>#N/A</v>
      </c>
      <c r="E276" t="e">
        <f>IF(D276=Lookup!$L$5,E275+1,E275)</f>
        <v>#N/A</v>
      </c>
      <c r="F276" s="3" t="e">
        <f>INDEX(views[Entities count],MATCH('view-code'!E276,views[object_id order],0))</f>
        <v>#N/A</v>
      </c>
      <c r="G276" t="e">
        <f>IF(D275=Lookup!$L$10,1,IF(D275=Lookup!$L$11,G275+1,""))</f>
        <v>#N/A</v>
      </c>
      <c r="H276" t="e">
        <f>IF(F276=1,IF(D276=Lookup!$L$10,2,1),IF(G276&lt;F276-1,0,1))</f>
        <v>#N/A</v>
      </c>
      <c r="I276" t="e">
        <f>IF(D276&lt;&gt;Lookup!$L$7,0,IF(INDEX(views[name],MATCH(E276,views[object_id order],0))&lt;&gt;"",0,1))</f>
        <v>#N/A</v>
      </c>
      <c r="J276" t="e">
        <f>IF(D276&lt;&gt;Lookup!$L$7,0,IF(INDEX(views[icon],MATCH(E276,views[object_id order],0))&lt;&gt;"",0,1))</f>
        <v>#N/A</v>
      </c>
      <c r="K276" t="e">
        <f>IF($D276=Lookup!$L$6,INDEX(views[object_id],MATCH($E276,views[object_id order],0)),"")</f>
        <v>#N/A</v>
      </c>
      <c r="L276" t="e">
        <f>IF($D276=Lookup!$L$8,INDEX(views[name],MATCH($E276,views[object_id order],0)),"")</f>
        <v>#N/A</v>
      </c>
      <c r="M276" t="e">
        <f>IF($D276=Lookup!$L$9,INDEX(views[icon],MATCH($E276,views[object_id order],0)),"")</f>
        <v>#N/A</v>
      </c>
      <c r="N276" t="e">
        <f>IF(OR(D276=Lookup!$L$11,D276=Lookup!$L$12),INDEX(views[[1]:[25]],MATCH($E276,views[object_id order],0),G276),"")</f>
        <v>#N/A</v>
      </c>
      <c r="O276" t="str">
        <f t="shared" si="13"/>
        <v/>
      </c>
      <c r="P276" s="8" t="e">
        <f>INDEX(Lookup!$M$5:$M$12,MATCH(D276,Lookup!$L$5:$L$12,0))&amp;
K276&amp;L276&amp;M276&amp;N276&amp;
INDEX(Lookup!$N$5:$N$12,MATCH(D276,Lookup!$L$5:$L$12,0))</f>
        <v>#N/A</v>
      </c>
    </row>
    <row r="277" spans="2:16" x14ac:dyDescent="0.45">
      <c r="B277">
        <f t="shared" si="12"/>
        <v>275</v>
      </c>
      <c r="C277" t="e">
        <f t="shared" si="14"/>
        <v>#N/A</v>
      </c>
      <c r="D277" t="e">
        <f>VLOOKUP(C277,Lookup!$K$5:$L$12,2,FALSE)</f>
        <v>#N/A</v>
      </c>
      <c r="E277" t="e">
        <f>IF(D277=Lookup!$L$5,E276+1,E276)</f>
        <v>#N/A</v>
      </c>
      <c r="F277" s="3" t="e">
        <f>INDEX(views[Entities count],MATCH('view-code'!E277,views[object_id order],0))</f>
        <v>#N/A</v>
      </c>
      <c r="G277" t="e">
        <f>IF(D276=Lookup!$L$10,1,IF(D276=Lookup!$L$11,G276+1,""))</f>
        <v>#N/A</v>
      </c>
      <c r="H277" t="e">
        <f>IF(F277=1,IF(D277=Lookup!$L$10,2,1),IF(G277&lt;F277-1,0,1))</f>
        <v>#N/A</v>
      </c>
      <c r="I277" t="e">
        <f>IF(D277&lt;&gt;Lookup!$L$7,0,IF(INDEX(views[name],MATCH(E277,views[object_id order],0))&lt;&gt;"",0,1))</f>
        <v>#N/A</v>
      </c>
      <c r="J277" t="e">
        <f>IF(D277&lt;&gt;Lookup!$L$7,0,IF(INDEX(views[icon],MATCH(E277,views[object_id order],0))&lt;&gt;"",0,1))</f>
        <v>#N/A</v>
      </c>
      <c r="K277" t="e">
        <f>IF($D277=Lookup!$L$6,INDEX(views[object_id],MATCH($E277,views[object_id order],0)),"")</f>
        <v>#N/A</v>
      </c>
      <c r="L277" t="e">
        <f>IF($D277=Lookup!$L$8,INDEX(views[name],MATCH($E277,views[object_id order],0)),"")</f>
        <v>#N/A</v>
      </c>
      <c r="M277" t="e">
        <f>IF($D277=Lookup!$L$9,INDEX(views[icon],MATCH($E277,views[object_id order],0)),"")</f>
        <v>#N/A</v>
      </c>
      <c r="N277" t="e">
        <f>IF(OR(D277=Lookup!$L$11,D277=Lookup!$L$12),INDEX(views[[1]:[25]],MATCH($E277,views[object_id order],0),G277),"")</f>
        <v>#N/A</v>
      </c>
      <c r="O277" t="str">
        <f t="shared" si="13"/>
        <v/>
      </c>
      <c r="P277" s="8" t="e">
        <f>INDEX(Lookup!$M$5:$M$12,MATCH(D277,Lookup!$L$5:$L$12,0))&amp;
K277&amp;L277&amp;M277&amp;N277&amp;
INDEX(Lookup!$N$5:$N$12,MATCH(D277,Lookup!$L$5:$L$12,0))</f>
        <v>#N/A</v>
      </c>
    </row>
    <row r="278" spans="2:16" x14ac:dyDescent="0.45">
      <c r="B278">
        <f t="shared" si="12"/>
        <v>276</v>
      </c>
      <c r="C278" t="e">
        <f t="shared" si="14"/>
        <v>#N/A</v>
      </c>
      <c r="D278" t="e">
        <f>VLOOKUP(C278,Lookup!$K$5:$L$12,2,FALSE)</f>
        <v>#N/A</v>
      </c>
      <c r="E278" t="e">
        <f>IF(D278=Lookup!$L$5,E277+1,E277)</f>
        <v>#N/A</v>
      </c>
      <c r="F278" s="3" t="e">
        <f>INDEX(views[Entities count],MATCH('view-code'!E278,views[object_id order],0))</f>
        <v>#N/A</v>
      </c>
      <c r="G278" t="e">
        <f>IF(D277=Lookup!$L$10,1,IF(D277=Lookup!$L$11,G277+1,""))</f>
        <v>#N/A</v>
      </c>
      <c r="H278" t="e">
        <f>IF(F278=1,IF(D278=Lookup!$L$10,2,1),IF(G278&lt;F278-1,0,1))</f>
        <v>#N/A</v>
      </c>
      <c r="I278" t="e">
        <f>IF(D278&lt;&gt;Lookup!$L$7,0,IF(INDEX(views[name],MATCH(E278,views[object_id order],0))&lt;&gt;"",0,1))</f>
        <v>#N/A</v>
      </c>
      <c r="J278" t="e">
        <f>IF(D278&lt;&gt;Lookup!$L$7,0,IF(INDEX(views[icon],MATCH(E278,views[object_id order],0))&lt;&gt;"",0,1))</f>
        <v>#N/A</v>
      </c>
      <c r="K278" t="e">
        <f>IF($D278=Lookup!$L$6,INDEX(views[object_id],MATCH($E278,views[object_id order],0)),"")</f>
        <v>#N/A</v>
      </c>
      <c r="L278" t="e">
        <f>IF($D278=Lookup!$L$8,INDEX(views[name],MATCH($E278,views[object_id order],0)),"")</f>
        <v>#N/A</v>
      </c>
      <c r="M278" t="e">
        <f>IF($D278=Lookup!$L$9,INDEX(views[icon],MATCH($E278,views[object_id order],0)),"")</f>
        <v>#N/A</v>
      </c>
      <c r="N278" t="e">
        <f>IF(OR(D278=Lookup!$L$11,D278=Lookup!$L$12),INDEX(views[[1]:[25]],MATCH($E278,views[object_id order],0),G278),"")</f>
        <v>#N/A</v>
      </c>
      <c r="O278" t="str">
        <f t="shared" si="13"/>
        <v/>
      </c>
      <c r="P278" s="8" t="e">
        <f>INDEX(Lookup!$M$5:$M$12,MATCH(D278,Lookup!$L$5:$L$12,0))&amp;
K278&amp;L278&amp;M278&amp;N278&amp;
INDEX(Lookup!$N$5:$N$12,MATCH(D278,Lookup!$L$5:$L$12,0))</f>
        <v>#N/A</v>
      </c>
    </row>
    <row r="279" spans="2:16" x14ac:dyDescent="0.45">
      <c r="B279">
        <f t="shared" si="12"/>
        <v>277</v>
      </c>
      <c r="C279" t="e">
        <f t="shared" si="14"/>
        <v>#N/A</v>
      </c>
      <c r="D279" t="e">
        <f>VLOOKUP(C279,Lookup!$K$5:$L$12,2,FALSE)</f>
        <v>#N/A</v>
      </c>
      <c r="E279" t="e">
        <f>IF(D279=Lookup!$L$5,E278+1,E278)</f>
        <v>#N/A</v>
      </c>
      <c r="F279" s="3" t="e">
        <f>INDEX(views[Entities count],MATCH('view-code'!E279,views[object_id order],0))</f>
        <v>#N/A</v>
      </c>
      <c r="G279" t="e">
        <f>IF(D278=Lookup!$L$10,1,IF(D278=Lookup!$L$11,G278+1,""))</f>
        <v>#N/A</v>
      </c>
      <c r="H279" t="e">
        <f>IF(F279=1,IF(D279=Lookup!$L$10,2,1),IF(G279&lt;F279-1,0,1))</f>
        <v>#N/A</v>
      </c>
      <c r="I279" t="e">
        <f>IF(D279&lt;&gt;Lookup!$L$7,0,IF(INDEX(views[name],MATCH(E279,views[object_id order],0))&lt;&gt;"",0,1))</f>
        <v>#N/A</v>
      </c>
      <c r="J279" t="e">
        <f>IF(D279&lt;&gt;Lookup!$L$7,0,IF(INDEX(views[icon],MATCH(E279,views[object_id order],0))&lt;&gt;"",0,1))</f>
        <v>#N/A</v>
      </c>
      <c r="K279" t="e">
        <f>IF($D279=Lookup!$L$6,INDEX(views[object_id],MATCH($E279,views[object_id order],0)),"")</f>
        <v>#N/A</v>
      </c>
      <c r="L279" t="e">
        <f>IF($D279=Lookup!$L$8,INDEX(views[name],MATCH($E279,views[object_id order],0)),"")</f>
        <v>#N/A</v>
      </c>
      <c r="M279" t="e">
        <f>IF($D279=Lookup!$L$9,INDEX(views[icon],MATCH($E279,views[object_id order],0)),"")</f>
        <v>#N/A</v>
      </c>
      <c r="N279" t="e">
        <f>IF(OR(D279=Lookup!$L$11,D279=Lookup!$L$12),INDEX(views[[1]:[25]],MATCH($E279,views[object_id order],0),G279),"")</f>
        <v>#N/A</v>
      </c>
      <c r="O279" t="str">
        <f t="shared" si="13"/>
        <v/>
      </c>
      <c r="P279" s="8" t="e">
        <f>INDEX(Lookup!$M$5:$M$12,MATCH(D279,Lookup!$L$5:$L$12,0))&amp;
K279&amp;L279&amp;M279&amp;N279&amp;
INDEX(Lookup!$N$5:$N$12,MATCH(D279,Lookup!$L$5:$L$12,0))</f>
        <v>#N/A</v>
      </c>
    </row>
    <row r="280" spans="2:16" x14ac:dyDescent="0.45">
      <c r="B280">
        <f t="shared" si="12"/>
        <v>278</v>
      </c>
      <c r="C280" t="e">
        <f t="shared" si="14"/>
        <v>#N/A</v>
      </c>
      <c r="D280" t="e">
        <f>VLOOKUP(C280,Lookup!$K$5:$L$12,2,FALSE)</f>
        <v>#N/A</v>
      </c>
      <c r="E280" t="e">
        <f>IF(D280=Lookup!$L$5,E279+1,E279)</f>
        <v>#N/A</v>
      </c>
      <c r="F280" s="3" t="e">
        <f>INDEX(views[Entities count],MATCH('view-code'!E280,views[object_id order],0))</f>
        <v>#N/A</v>
      </c>
      <c r="G280" t="e">
        <f>IF(D279=Lookup!$L$10,1,IF(D279=Lookup!$L$11,G279+1,""))</f>
        <v>#N/A</v>
      </c>
      <c r="H280" t="e">
        <f>IF(F280=1,IF(D280=Lookup!$L$10,2,1),IF(G280&lt;F280-1,0,1))</f>
        <v>#N/A</v>
      </c>
      <c r="I280" t="e">
        <f>IF(D280&lt;&gt;Lookup!$L$7,0,IF(INDEX(views[name],MATCH(E280,views[object_id order],0))&lt;&gt;"",0,1))</f>
        <v>#N/A</v>
      </c>
      <c r="J280" t="e">
        <f>IF(D280&lt;&gt;Lookup!$L$7,0,IF(INDEX(views[icon],MATCH(E280,views[object_id order],0))&lt;&gt;"",0,1))</f>
        <v>#N/A</v>
      </c>
      <c r="K280" t="e">
        <f>IF($D280=Lookup!$L$6,INDEX(views[object_id],MATCH($E280,views[object_id order],0)),"")</f>
        <v>#N/A</v>
      </c>
      <c r="L280" t="e">
        <f>IF($D280=Lookup!$L$8,INDEX(views[name],MATCH($E280,views[object_id order],0)),"")</f>
        <v>#N/A</v>
      </c>
      <c r="M280" t="e">
        <f>IF($D280=Lookup!$L$9,INDEX(views[icon],MATCH($E280,views[object_id order],0)),"")</f>
        <v>#N/A</v>
      </c>
      <c r="N280" t="e">
        <f>IF(OR(D280=Lookup!$L$11,D280=Lookup!$L$12),INDEX(views[[1]:[25]],MATCH($E280,views[object_id order],0),G280),"")</f>
        <v>#N/A</v>
      </c>
      <c r="O280" t="str">
        <f t="shared" si="13"/>
        <v/>
      </c>
      <c r="P280" s="8" t="e">
        <f>INDEX(Lookup!$M$5:$M$12,MATCH(D280,Lookup!$L$5:$L$12,0))&amp;
K280&amp;L280&amp;M280&amp;N280&amp;
INDEX(Lookup!$N$5:$N$12,MATCH(D280,Lookup!$L$5:$L$12,0))</f>
        <v>#N/A</v>
      </c>
    </row>
    <row r="281" spans="2:16" x14ac:dyDescent="0.45">
      <c r="B281">
        <f t="shared" si="12"/>
        <v>279</v>
      </c>
      <c r="C281" t="e">
        <f t="shared" si="14"/>
        <v>#N/A</v>
      </c>
      <c r="D281" t="e">
        <f>VLOOKUP(C281,Lookup!$K$5:$L$12,2,FALSE)</f>
        <v>#N/A</v>
      </c>
      <c r="E281" t="e">
        <f>IF(D281=Lookup!$L$5,E280+1,E280)</f>
        <v>#N/A</v>
      </c>
      <c r="F281" s="3" t="e">
        <f>INDEX(views[Entities count],MATCH('view-code'!E281,views[object_id order],0))</f>
        <v>#N/A</v>
      </c>
      <c r="G281" t="e">
        <f>IF(D280=Lookup!$L$10,1,IF(D280=Lookup!$L$11,G280+1,""))</f>
        <v>#N/A</v>
      </c>
      <c r="H281" t="e">
        <f>IF(F281=1,IF(D281=Lookup!$L$10,2,1),IF(G281&lt;F281-1,0,1))</f>
        <v>#N/A</v>
      </c>
      <c r="I281" t="e">
        <f>IF(D281&lt;&gt;Lookup!$L$7,0,IF(INDEX(views[name],MATCH(E281,views[object_id order],0))&lt;&gt;"",0,1))</f>
        <v>#N/A</v>
      </c>
      <c r="J281" t="e">
        <f>IF(D281&lt;&gt;Lookup!$L$7,0,IF(INDEX(views[icon],MATCH(E281,views[object_id order],0))&lt;&gt;"",0,1))</f>
        <v>#N/A</v>
      </c>
      <c r="K281" t="e">
        <f>IF($D281=Lookup!$L$6,INDEX(views[object_id],MATCH($E281,views[object_id order],0)),"")</f>
        <v>#N/A</v>
      </c>
      <c r="L281" t="e">
        <f>IF($D281=Lookup!$L$8,INDEX(views[name],MATCH($E281,views[object_id order],0)),"")</f>
        <v>#N/A</v>
      </c>
      <c r="M281" t="e">
        <f>IF($D281=Lookup!$L$9,INDEX(views[icon],MATCH($E281,views[object_id order],0)),"")</f>
        <v>#N/A</v>
      </c>
      <c r="N281" t="e">
        <f>IF(OR(D281=Lookup!$L$11,D281=Lookup!$L$12),INDEX(views[[1]:[25]],MATCH($E281,views[object_id order],0),G281),"")</f>
        <v>#N/A</v>
      </c>
      <c r="O281" t="str">
        <f t="shared" si="13"/>
        <v/>
      </c>
      <c r="P281" s="8" t="e">
        <f>INDEX(Lookup!$M$5:$M$12,MATCH(D281,Lookup!$L$5:$L$12,0))&amp;
K281&amp;L281&amp;M281&amp;N281&amp;
INDEX(Lookup!$N$5:$N$12,MATCH(D281,Lookup!$L$5:$L$12,0))</f>
        <v>#N/A</v>
      </c>
    </row>
    <row r="282" spans="2:16" x14ac:dyDescent="0.45">
      <c r="B282">
        <f t="shared" si="12"/>
        <v>280</v>
      </c>
      <c r="C282" t="e">
        <f t="shared" si="14"/>
        <v>#N/A</v>
      </c>
      <c r="D282" t="e">
        <f>VLOOKUP(C282,Lookup!$K$5:$L$12,2,FALSE)</f>
        <v>#N/A</v>
      </c>
      <c r="E282" t="e">
        <f>IF(D282=Lookup!$L$5,E281+1,E281)</f>
        <v>#N/A</v>
      </c>
      <c r="F282" s="3" t="e">
        <f>INDEX(views[Entities count],MATCH('view-code'!E282,views[object_id order],0))</f>
        <v>#N/A</v>
      </c>
      <c r="G282" t="e">
        <f>IF(D281=Lookup!$L$10,1,IF(D281=Lookup!$L$11,G281+1,""))</f>
        <v>#N/A</v>
      </c>
      <c r="H282" t="e">
        <f>IF(F282=1,IF(D282=Lookup!$L$10,2,1),IF(G282&lt;F282-1,0,1))</f>
        <v>#N/A</v>
      </c>
      <c r="I282" t="e">
        <f>IF(D282&lt;&gt;Lookup!$L$7,0,IF(INDEX(views[name],MATCH(E282,views[object_id order],0))&lt;&gt;"",0,1))</f>
        <v>#N/A</v>
      </c>
      <c r="J282" t="e">
        <f>IF(D282&lt;&gt;Lookup!$L$7,0,IF(INDEX(views[icon],MATCH(E282,views[object_id order],0))&lt;&gt;"",0,1))</f>
        <v>#N/A</v>
      </c>
      <c r="K282" t="e">
        <f>IF($D282=Lookup!$L$6,INDEX(views[object_id],MATCH($E282,views[object_id order],0)),"")</f>
        <v>#N/A</v>
      </c>
      <c r="L282" t="e">
        <f>IF($D282=Lookup!$L$8,INDEX(views[name],MATCH($E282,views[object_id order],0)),"")</f>
        <v>#N/A</v>
      </c>
      <c r="M282" t="e">
        <f>IF($D282=Lookup!$L$9,INDEX(views[icon],MATCH($E282,views[object_id order],0)),"")</f>
        <v>#N/A</v>
      </c>
      <c r="N282" t="e">
        <f>IF(OR(D282=Lookup!$L$11,D282=Lookup!$L$12),INDEX(views[[1]:[25]],MATCH($E282,views[object_id order],0),G282),"")</f>
        <v>#N/A</v>
      </c>
      <c r="O282" t="str">
        <f t="shared" si="13"/>
        <v/>
      </c>
      <c r="P282" s="8" t="e">
        <f>INDEX(Lookup!$M$5:$M$12,MATCH(D282,Lookup!$L$5:$L$12,0))&amp;
K282&amp;L282&amp;M282&amp;N282&amp;
INDEX(Lookup!$N$5:$N$12,MATCH(D282,Lookup!$L$5:$L$12,0))</f>
        <v>#N/A</v>
      </c>
    </row>
    <row r="283" spans="2:16" x14ac:dyDescent="0.45">
      <c r="B283">
        <f t="shared" si="12"/>
        <v>281</v>
      </c>
      <c r="C283" t="e">
        <f t="shared" si="14"/>
        <v>#N/A</v>
      </c>
      <c r="D283" t="e">
        <f>VLOOKUP(C283,Lookup!$K$5:$L$12,2,FALSE)</f>
        <v>#N/A</v>
      </c>
      <c r="E283" t="e">
        <f>IF(D283=Lookup!$L$5,E282+1,E282)</f>
        <v>#N/A</v>
      </c>
      <c r="F283" s="3" t="e">
        <f>INDEX(views[Entities count],MATCH('view-code'!E283,views[object_id order],0))</f>
        <v>#N/A</v>
      </c>
      <c r="G283" t="e">
        <f>IF(D282=Lookup!$L$10,1,IF(D282=Lookup!$L$11,G282+1,""))</f>
        <v>#N/A</v>
      </c>
      <c r="H283" t="e">
        <f>IF(F283=1,IF(D283=Lookup!$L$10,2,1),IF(G283&lt;F283-1,0,1))</f>
        <v>#N/A</v>
      </c>
      <c r="I283" t="e">
        <f>IF(D283&lt;&gt;Lookup!$L$7,0,IF(INDEX(views[name],MATCH(E283,views[object_id order],0))&lt;&gt;"",0,1))</f>
        <v>#N/A</v>
      </c>
      <c r="J283" t="e">
        <f>IF(D283&lt;&gt;Lookup!$L$7,0,IF(INDEX(views[icon],MATCH(E283,views[object_id order],0))&lt;&gt;"",0,1))</f>
        <v>#N/A</v>
      </c>
      <c r="K283" t="e">
        <f>IF($D283=Lookup!$L$6,INDEX(views[object_id],MATCH($E283,views[object_id order],0)),"")</f>
        <v>#N/A</v>
      </c>
      <c r="L283" t="e">
        <f>IF($D283=Lookup!$L$8,INDEX(views[name],MATCH($E283,views[object_id order],0)),"")</f>
        <v>#N/A</v>
      </c>
      <c r="M283" t="e">
        <f>IF($D283=Lookup!$L$9,INDEX(views[icon],MATCH($E283,views[object_id order],0)),"")</f>
        <v>#N/A</v>
      </c>
      <c r="N283" t="e">
        <f>IF(OR(D283=Lookup!$L$11,D283=Lookup!$L$12),INDEX(views[[1]:[25]],MATCH($E283,views[object_id order],0),G283),"")</f>
        <v>#N/A</v>
      </c>
      <c r="O283" t="str">
        <f t="shared" si="13"/>
        <v/>
      </c>
      <c r="P283" s="8" t="e">
        <f>INDEX(Lookup!$M$5:$M$12,MATCH(D283,Lookup!$L$5:$L$12,0))&amp;
K283&amp;L283&amp;M283&amp;N283&amp;
INDEX(Lookup!$N$5:$N$12,MATCH(D283,Lookup!$L$5:$L$12,0))</f>
        <v>#N/A</v>
      </c>
    </row>
    <row r="284" spans="2:16" x14ac:dyDescent="0.45">
      <c r="B284">
        <f t="shared" si="12"/>
        <v>282</v>
      </c>
      <c r="C284" t="e">
        <f t="shared" si="14"/>
        <v>#N/A</v>
      </c>
      <c r="D284" t="e">
        <f>VLOOKUP(C284,Lookup!$K$5:$L$12,2,FALSE)</f>
        <v>#N/A</v>
      </c>
      <c r="E284" t="e">
        <f>IF(D284=Lookup!$L$5,E283+1,E283)</f>
        <v>#N/A</v>
      </c>
      <c r="F284" s="3" t="e">
        <f>INDEX(views[Entities count],MATCH('view-code'!E284,views[object_id order],0))</f>
        <v>#N/A</v>
      </c>
      <c r="G284" t="e">
        <f>IF(D283=Lookup!$L$10,1,IF(D283=Lookup!$L$11,G283+1,""))</f>
        <v>#N/A</v>
      </c>
      <c r="H284" t="e">
        <f>IF(F284=1,IF(D284=Lookup!$L$10,2,1),IF(G284&lt;F284-1,0,1))</f>
        <v>#N/A</v>
      </c>
      <c r="I284" t="e">
        <f>IF(D284&lt;&gt;Lookup!$L$7,0,IF(INDEX(views[name],MATCH(E284,views[object_id order],0))&lt;&gt;"",0,1))</f>
        <v>#N/A</v>
      </c>
      <c r="J284" t="e">
        <f>IF(D284&lt;&gt;Lookup!$L$7,0,IF(INDEX(views[icon],MATCH(E284,views[object_id order],0))&lt;&gt;"",0,1))</f>
        <v>#N/A</v>
      </c>
      <c r="K284" t="e">
        <f>IF($D284=Lookup!$L$6,INDEX(views[object_id],MATCH($E284,views[object_id order],0)),"")</f>
        <v>#N/A</v>
      </c>
      <c r="L284" t="e">
        <f>IF($D284=Lookup!$L$8,INDEX(views[name],MATCH($E284,views[object_id order],0)),"")</f>
        <v>#N/A</v>
      </c>
      <c r="M284" t="e">
        <f>IF($D284=Lookup!$L$9,INDEX(views[icon],MATCH($E284,views[object_id order],0)),"")</f>
        <v>#N/A</v>
      </c>
      <c r="N284" t="e">
        <f>IF(OR(D284=Lookup!$L$11,D284=Lookup!$L$12),INDEX(views[[1]:[25]],MATCH($E284,views[object_id order],0),G284),"")</f>
        <v>#N/A</v>
      </c>
      <c r="O284" t="str">
        <f t="shared" si="13"/>
        <v/>
      </c>
      <c r="P284" s="8" t="e">
        <f>INDEX(Lookup!$M$5:$M$12,MATCH(D284,Lookup!$L$5:$L$12,0))&amp;
K284&amp;L284&amp;M284&amp;N284&amp;
INDEX(Lookup!$N$5:$N$12,MATCH(D284,Lookup!$L$5:$L$12,0))</f>
        <v>#N/A</v>
      </c>
    </row>
    <row r="285" spans="2:16" x14ac:dyDescent="0.45">
      <c r="B285">
        <f t="shared" si="12"/>
        <v>283</v>
      </c>
      <c r="C285" t="e">
        <f t="shared" si="14"/>
        <v>#N/A</v>
      </c>
      <c r="D285" t="e">
        <f>VLOOKUP(C285,Lookup!$K$5:$L$12,2,FALSE)</f>
        <v>#N/A</v>
      </c>
      <c r="E285" t="e">
        <f>IF(D285=Lookup!$L$5,E284+1,E284)</f>
        <v>#N/A</v>
      </c>
      <c r="F285" s="3" t="e">
        <f>INDEX(views[Entities count],MATCH('view-code'!E285,views[object_id order],0))</f>
        <v>#N/A</v>
      </c>
      <c r="G285" t="e">
        <f>IF(D284=Lookup!$L$10,1,IF(D284=Lookup!$L$11,G284+1,""))</f>
        <v>#N/A</v>
      </c>
      <c r="H285" t="e">
        <f>IF(F285=1,IF(D285=Lookup!$L$10,2,1),IF(G285&lt;F285-1,0,1))</f>
        <v>#N/A</v>
      </c>
      <c r="I285" t="e">
        <f>IF(D285&lt;&gt;Lookup!$L$7,0,IF(INDEX(views[name],MATCH(E285,views[object_id order],0))&lt;&gt;"",0,1))</f>
        <v>#N/A</v>
      </c>
      <c r="J285" t="e">
        <f>IF(D285&lt;&gt;Lookup!$L$7,0,IF(INDEX(views[icon],MATCH(E285,views[object_id order],0))&lt;&gt;"",0,1))</f>
        <v>#N/A</v>
      </c>
      <c r="K285" t="e">
        <f>IF($D285=Lookup!$L$6,INDEX(views[object_id],MATCH($E285,views[object_id order],0)),"")</f>
        <v>#N/A</v>
      </c>
      <c r="L285" t="e">
        <f>IF($D285=Lookup!$L$8,INDEX(views[name],MATCH($E285,views[object_id order],0)),"")</f>
        <v>#N/A</v>
      </c>
      <c r="M285" t="e">
        <f>IF($D285=Lookup!$L$9,INDEX(views[icon],MATCH($E285,views[object_id order],0)),"")</f>
        <v>#N/A</v>
      </c>
      <c r="N285" t="e">
        <f>IF(OR(D285=Lookup!$L$11,D285=Lookup!$L$12),INDEX(views[[1]:[25]],MATCH($E285,views[object_id order],0),G285),"")</f>
        <v>#N/A</v>
      </c>
      <c r="O285" t="str">
        <f t="shared" si="13"/>
        <v/>
      </c>
      <c r="P285" s="8" t="e">
        <f>INDEX(Lookup!$M$5:$M$12,MATCH(D285,Lookup!$L$5:$L$12,0))&amp;
K285&amp;L285&amp;M285&amp;N285&amp;
INDEX(Lookup!$N$5:$N$12,MATCH(D285,Lookup!$L$5:$L$12,0))</f>
        <v>#N/A</v>
      </c>
    </row>
    <row r="286" spans="2:16" x14ac:dyDescent="0.45">
      <c r="B286">
        <f t="shared" si="12"/>
        <v>284</v>
      </c>
      <c r="C286" t="e">
        <f t="shared" si="14"/>
        <v>#N/A</v>
      </c>
      <c r="D286" t="e">
        <f>VLOOKUP(C286,Lookup!$K$5:$L$12,2,FALSE)</f>
        <v>#N/A</v>
      </c>
      <c r="E286" t="e">
        <f>IF(D286=Lookup!$L$5,E285+1,E285)</f>
        <v>#N/A</v>
      </c>
      <c r="F286" s="3" t="e">
        <f>INDEX(views[Entities count],MATCH('view-code'!E286,views[object_id order],0))</f>
        <v>#N/A</v>
      </c>
      <c r="G286" t="e">
        <f>IF(D285=Lookup!$L$10,1,IF(D285=Lookup!$L$11,G285+1,""))</f>
        <v>#N/A</v>
      </c>
      <c r="H286" t="e">
        <f>IF(F286=1,IF(D286=Lookup!$L$10,2,1),IF(G286&lt;F286-1,0,1))</f>
        <v>#N/A</v>
      </c>
      <c r="I286" t="e">
        <f>IF(D286&lt;&gt;Lookup!$L$7,0,IF(INDEX(views[name],MATCH(E286,views[object_id order],0))&lt;&gt;"",0,1))</f>
        <v>#N/A</v>
      </c>
      <c r="J286" t="e">
        <f>IF(D286&lt;&gt;Lookup!$L$7,0,IF(INDEX(views[icon],MATCH(E286,views[object_id order],0))&lt;&gt;"",0,1))</f>
        <v>#N/A</v>
      </c>
      <c r="K286" t="e">
        <f>IF($D286=Lookup!$L$6,INDEX(views[object_id],MATCH($E286,views[object_id order],0)),"")</f>
        <v>#N/A</v>
      </c>
      <c r="L286" t="e">
        <f>IF($D286=Lookup!$L$8,INDEX(views[name],MATCH($E286,views[object_id order],0)),"")</f>
        <v>#N/A</v>
      </c>
      <c r="M286" t="e">
        <f>IF($D286=Lookup!$L$9,INDEX(views[icon],MATCH($E286,views[object_id order],0)),"")</f>
        <v>#N/A</v>
      </c>
      <c r="N286" t="e">
        <f>IF(OR(D286=Lookup!$L$11,D286=Lookup!$L$12),INDEX(views[[1]:[25]],MATCH($E286,views[object_id order],0),G286),"")</f>
        <v>#N/A</v>
      </c>
      <c r="O286" t="str">
        <f t="shared" si="13"/>
        <v/>
      </c>
      <c r="P286" s="8" t="e">
        <f>INDEX(Lookup!$M$5:$M$12,MATCH(D286,Lookup!$L$5:$L$12,0))&amp;
K286&amp;L286&amp;M286&amp;N286&amp;
INDEX(Lookup!$N$5:$N$12,MATCH(D286,Lookup!$L$5:$L$12,0))</f>
        <v>#N/A</v>
      </c>
    </row>
    <row r="287" spans="2:16" x14ac:dyDescent="0.45">
      <c r="B287">
        <f t="shared" si="12"/>
        <v>285</v>
      </c>
      <c r="C287" t="e">
        <f t="shared" si="14"/>
        <v>#N/A</v>
      </c>
      <c r="D287" t="e">
        <f>VLOOKUP(C287,Lookup!$K$5:$L$12,2,FALSE)</f>
        <v>#N/A</v>
      </c>
      <c r="E287" t="e">
        <f>IF(D287=Lookup!$L$5,E286+1,E286)</f>
        <v>#N/A</v>
      </c>
      <c r="F287" s="3" t="e">
        <f>INDEX(views[Entities count],MATCH('view-code'!E287,views[object_id order],0))</f>
        <v>#N/A</v>
      </c>
      <c r="G287" t="e">
        <f>IF(D286=Lookup!$L$10,1,IF(D286=Lookup!$L$11,G286+1,""))</f>
        <v>#N/A</v>
      </c>
      <c r="H287" t="e">
        <f>IF(F287=1,IF(D287=Lookup!$L$10,2,1),IF(G287&lt;F287-1,0,1))</f>
        <v>#N/A</v>
      </c>
      <c r="I287" t="e">
        <f>IF(D287&lt;&gt;Lookup!$L$7,0,IF(INDEX(views[name],MATCH(E287,views[object_id order],0))&lt;&gt;"",0,1))</f>
        <v>#N/A</v>
      </c>
      <c r="J287" t="e">
        <f>IF(D287&lt;&gt;Lookup!$L$7,0,IF(INDEX(views[icon],MATCH(E287,views[object_id order],0))&lt;&gt;"",0,1))</f>
        <v>#N/A</v>
      </c>
      <c r="K287" t="e">
        <f>IF($D287=Lookup!$L$6,INDEX(views[object_id],MATCH($E287,views[object_id order],0)),"")</f>
        <v>#N/A</v>
      </c>
      <c r="L287" t="e">
        <f>IF($D287=Lookup!$L$8,INDEX(views[name],MATCH($E287,views[object_id order],0)),"")</f>
        <v>#N/A</v>
      </c>
      <c r="M287" t="e">
        <f>IF($D287=Lookup!$L$9,INDEX(views[icon],MATCH($E287,views[object_id order],0)),"")</f>
        <v>#N/A</v>
      </c>
      <c r="N287" t="e">
        <f>IF(OR(D287=Lookup!$L$11,D287=Lookup!$L$12),INDEX(views[[1]:[25]],MATCH($E287,views[object_id order],0),G287),"")</f>
        <v>#N/A</v>
      </c>
      <c r="O287" t="str">
        <f t="shared" si="13"/>
        <v/>
      </c>
      <c r="P287" s="8" t="e">
        <f>INDEX(Lookup!$M$5:$M$12,MATCH(D287,Lookup!$L$5:$L$12,0))&amp;
K287&amp;L287&amp;M287&amp;N287&amp;
INDEX(Lookup!$N$5:$N$12,MATCH(D287,Lookup!$L$5:$L$12,0))</f>
        <v>#N/A</v>
      </c>
    </row>
    <row r="288" spans="2:16" x14ac:dyDescent="0.45">
      <c r="B288">
        <f t="shared" si="12"/>
        <v>286</v>
      </c>
      <c r="C288" t="e">
        <f t="shared" si="14"/>
        <v>#N/A</v>
      </c>
      <c r="D288" t="e">
        <f>VLOOKUP(C288,Lookup!$K$5:$L$12,2,FALSE)</f>
        <v>#N/A</v>
      </c>
      <c r="E288" t="e">
        <f>IF(D288=Lookup!$L$5,E287+1,E287)</f>
        <v>#N/A</v>
      </c>
      <c r="F288" s="3" t="e">
        <f>INDEX(views[Entities count],MATCH('view-code'!E288,views[object_id order],0))</f>
        <v>#N/A</v>
      </c>
      <c r="G288" t="e">
        <f>IF(D287=Lookup!$L$10,1,IF(D287=Lookup!$L$11,G287+1,""))</f>
        <v>#N/A</v>
      </c>
      <c r="H288" t="e">
        <f>IF(F288=1,IF(D288=Lookup!$L$10,2,1),IF(G288&lt;F288-1,0,1))</f>
        <v>#N/A</v>
      </c>
      <c r="I288" t="e">
        <f>IF(D288&lt;&gt;Lookup!$L$7,0,IF(INDEX(views[name],MATCH(E288,views[object_id order],0))&lt;&gt;"",0,1))</f>
        <v>#N/A</v>
      </c>
      <c r="J288" t="e">
        <f>IF(D288&lt;&gt;Lookup!$L$7,0,IF(INDEX(views[icon],MATCH(E288,views[object_id order],0))&lt;&gt;"",0,1))</f>
        <v>#N/A</v>
      </c>
      <c r="K288" t="e">
        <f>IF($D288=Lookup!$L$6,INDEX(views[object_id],MATCH($E288,views[object_id order],0)),"")</f>
        <v>#N/A</v>
      </c>
      <c r="L288" t="e">
        <f>IF($D288=Lookup!$L$8,INDEX(views[name],MATCH($E288,views[object_id order],0)),"")</f>
        <v>#N/A</v>
      </c>
      <c r="M288" t="e">
        <f>IF($D288=Lookup!$L$9,INDEX(views[icon],MATCH($E288,views[object_id order],0)),"")</f>
        <v>#N/A</v>
      </c>
      <c r="N288" t="e">
        <f>IF(OR(D288=Lookup!$L$11,D288=Lookup!$L$12),INDEX(views[[1]:[25]],MATCH($E288,views[object_id order],0),G288),"")</f>
        <v>#N/A</v>
      </c>
      <c r="O288" t="str">
        <f t="shared" si="13"/>
        <v/>
      </c>
      <c r="P288" s="8" t="e">
        <f>INDEX(Lookup!$M$5:$M$12,MATCH(D288,Lookup!$L$5:$L$12,0))&amp;
K288&amp;L288&amp;M288&amp;N288&amp;
INDEX(Lookup!$N$5:$N$12,MATCH(D288,Lookup!$L$5:$L$12,0))</f>
        <v>#N/A</v>
      </c>
    </row>
    <row r="289" spans="2:16" x14ac:dyDescent="0.45">
      <c r="B289">
        <f t="shared" si="12"/>
        <v>287</v>
      </c>
      <c r="C289" t="e">
        <f t="shared" si="14"/>
        <v>#N/A</v>
      </c>
      <c r="D289" t="e">
        <f>VLOOKUP(C289,Lookup!$K$5:$L$12,2,FALSE)</f>
        <v>#N/A</v>
      </c>
      <c r="E289" t="e">
        <f>IF(D289=Lookup!$L$5,E288+1,E288)</f>
        <v>#N/A</v>
      </c>
      <c r="F289" s="3" t="e">
        <f>INDEX(views[Entities count],MATCH('view-code'!E289,views[object_id order],0))</f>
        <v>#N/A</v>
      </c>
      <c r="G289" t="e">
        <f>IF(D288=Lookup!$L$10,1,IF(D288=Lookup!$L$11,G288+1,""))</f>
        <v>#N/A</v>
      </c>
      <c r="H289" t="e">
        <f>IF(F289=1,IF(D289=Lookup!$L$10,2,1),IF(G289&lt;F289-1,0,1))</f>
        <v>#N/A</v>
      </c>
      <c r="I289" t="e">
        <f>IF(D289&lt;&gt;Lookup!$L$7,0,IF(INDEX(views[name],MATCH(E289,views[object_id order],0))&lt;&gt;"",0,1))</f>
        <v>#N/A</v>
      </c>
      <c r="J289" t="e">
        <f>IF(D289&lt;&gt;Lookup!$L$7,0,IF(INDEX(views[icon],MATCH(E289,views[object_id order],0))&lt;&gt;"",0,1))</f>
        <v>#N/A</v>
      </c>
      <c r="K289" t="e">
        <f>IF($D289=Lookup!$L$6,INDEX(views[object_id],MATCH($E289,views[object_id order],0)),"")</f>
        <v>#N/A</v>
      </c>
      <c r="L289" t="e">
        <f>IF($D289=Lookup!$L$8,INDEX(views[name],MATCH($E289,views[object_id order],0)),"")</f>
        <v>#N/A</v>
      </c>
      <c r="M289" t="e">
        <f>IF($D289=Lookup!$L$9,INDEX(views[icon],MATCH($E289,views[object_id order],0)),"")</f>
        <v>#N/A</v>
      </c>
      <c r="N289" t="e">
        <f>IF(OR(D289=Lookup!$L$11,D289=Lookup!$L$12),INDEX(views[[1]:[25]],MATCH($E289,views[object_id order],0),G289),"")</f>
        <v>#N/A</v>
      </c>
      <c r="O289" t="str">
        <f t="shared" si="13"/>
        <v/>
      </c>
      <c r="P289" s="8" t="e">
        <f>INDEX(Lookup!$M$5:$M$12,MATCH(D289,Lookup!$L$5:$L$12,0))&amp;
K289&amp;L289&amp;M289&amp;N289&amp;
INDEX(Lookup!$N$5:$N$12,MATCH(D289,Lookup!$L$5:$L$12,0))</f>
        <v>#N/A</v>
      </c>
    </row>
    <row r="290" spans="2:16" x14ac:dyDescent="0.45">
      <c r="B290">
        <f t="shared" si="12"/>
        <v>288</v>
      </c>
      <c r="C290" t="e">
        <f t="shared" si="14"/>
        <v>#N/A</v>
      </c>
      <c r="D290" t="e">
        <f>VLOOKUP(C290,Lookup!$K$5:$L$12,2,FALSE)</f>
        <v>#N/A</v>
      </c>
      <c r="E290" t="e">
        <f>IF(D290=Lookup!$L$5,E289+1,E289)</f>
        <v>#N/A</v>
      </c>
      <c r="F290" s="3" t="e">
        <f>INDEX(views[Entities count],MATCH('view-code'!E290,views[object_id order],0))</f>
        <v>#N/A</v>
      </c>
      <c r="G290" t="e">
        <f>IF(D289=Lookup!$L$10,1,IF(D289=Lookup!$L$11,G289+1,""))</f>
        <v>#N/A</v>
      </c>
      <c r="H290" t="e">
        <f>IF(F290=1,IF(D290=Lookup!$L$10,2,1),IF(G290&lt;F290-1,0,1))</f>
        <v>#N/A</v>
      </c>
      <c r="I290" t="e">
        <f>IF(D290&lt;&gt;Lookup!$L$7,0,IF(INDEX(views[name],MATCH(E290,views[object_id order],0))&lt;&gt;"",0,1))</f>
        <v>#N/A</v>
      </c>
      <c r="J290" t="e">
        <f>IF(D290&lt;&gt;Lookup!$L$7,0,IF(INDEX(views[icon],MATCH(E290,views[object_id order],0))&lt;&gt;"",0,1))</f>
        <v>#N/A</v>
      </c>
      <c r="K290" t="e">
        <f>IF($D290=Lookup!$L$6,INDEX(views[object_id],MATCH($E290,views[object_id order],0)),"")</f>
        <v>#N/A</v>
      </c>
      <c r="L290" t="e">
        <f>IF($D290=Lookup!$L$8,INDEX(views[name],MATCH($E290,views[object_id order],0)),"")</f>
        <v>#N/A</v>
      </c>
      <c r="M290" t="e">
        <f>IF($D290=Lookup!$L$9,INDEX(views[icon],MATCH($E290,views[object_id order],0)),"")</f>
        <v>#N/A</v>
      </c>
      <c r="N290" t="e">
        <f>IF(OR(D290=Lookup!$L$11,D290=Lookup!$L$12),INDEX(views[[1]:[25]],MATCH($E290,views[object_id order],0),G290),"")</f>
        <v>#N/A</v>
      </c>
      <c r="O290" t="str">
        <f t="shared" si="13"/>
        <v/>
      </c>
      <c r="P290" s="8" t="e">
        <f>INDEX(Lookup!$M$5:$M$12,MATCH(D290,Lookup!$L$5:$L$12,0))&amp;
K290&amp;L290&amp;M290&amp;N290&amp;
INDEX(Lookup!$N$5:$N$12,MATCH(D290,Lookup!$L$5:$L$12,0))</f>
        <v>#N/A</v>
      </c>
    </row>
    <row r="291" spans="2:16" x14ac:dyDescent="0.45">
      <c r="B291">
        <f t="shared" si="12"/>
        <v>289</v>
      </c>
      <c r="C291" t="e">
        <f t="shared" si="14"/>
        <v>#N/A</v>
      </c>
      <c r="D291" t="e">
        <f>VLOOKUP(C291,Lookup!$K$5:$L$12,2,FALSE)</f>
        <v>#N/A</v>
      </c>
      <c r="E291" t="e">
        <f>IF(D291=Lookup!$L$5,E290+1,E290)</f>
        <v>#N/A</v>
      </c>
      <c r="F291" s="3" t="e">
        <f>INDEX(views[Entities count],MATCH('view-code'!E291,views[object_id order],0))</f>
        <v>#N/A</v>
      </c>
      <c r="G291" t="e">
        <f>IF(D290=Lookup!$L$10,1,IF(D290=Lookup!$L$11,G290+1,""))</f>
        <v>#N/A</v>
      </c>
      <c r="H291" t="e">
        <f>IF(F291=1,IF(D291=Lookup!$L$10,2,1),IF(G291&lt;F291-1,0,1))</f>
        <v>#N/A</v>
      </c>
      <c r="I291" t="e">
        <f>IF(D291&lt;&gt;Lookup!$L$7,0,IF(INDEX(views[name],MATCH(E291,views[object_id order],0))&lt;&gt;"",0,1))</f>
        <v>#N/A</v>
      </c>
      <c r="J291" t="e">
        <f>IF(D291&lt;&gt;Lookup!$L$7,0,IF(INDEX(views[icon],MATCH(E291,views[object_id order],0))&lt;&gt;"",0,1))</f>
        <v>#N/A</v>
      </c>
      <c r="K291" t="e">
        <f>IF($D291=Lookup!$L$6,INDEX(views[object_id],MATCH($E291,views[object_id order],0)),"")</f>
        <v>#N/A</v>
      </c>
      <c r="L291" t="e">
        <f>IF($D291=Lookup!$L$8,INDEX(views[name],MATCH($E291,views[object_id order],0)),"")</f>
        <v>#N/A</v>
      </c>
      <c r="M291" t="e">
        <f>IF($D291=Lookup!$L$9,INDEX(views[icon],MATCH($E291,views[object_id order],0)),"")</f>
        <v>#N/A</v>
      </c>
      <c r="N291" t="e">
        <f>IF(OR(D291=Lookup!$L$11,D291=Lookup!$L$12),INDEX(views[[1]:[25]],MATCH($E291,views[object_id order],0),G291),"")</f>
        <v>#N/A</v>
      </c>
      <c r="O291" t="str">
        <f t="shared" si="13"/>
        <v/>
      </c>
      <c r="P291" s="8" t="e">
        <f>INDEX(Lookup!$M$5:$M$12,MATCH(D291,Lookup!$L$5:$L$12,0))&amp;
K291&amp;L291&amp;M291&amp;N291&amp;
INDEX(Lookup!$N$5:$N$12,MATCH(D291,Lookup!$L$5:$L$12,0))</f>
        <v>#N/A</v>
      </c>
    </row>
    <row r="292" spans="2:16" x14ac:dyDescent="0.45">
      <c r="B292">
        <f t="shared" si="12"/>
        <v>290</v>
      </c>
      <c r="C292" t="e">
        <f t="shared" si="14"/>
        <v>#N/A</v>
      </c>
      <c r="D292" t="e">
        <f>VLOOKUP(C292,Lookup!$K$5:$L$12,2,FALSE)</f>
        <v>#N/A</v>
      </c>
      <c r="E292" t="e">
        <f>IF(D292=Lookup!$L$5,E291+1,E291)</f>
        <v>#N/A</v>
      </c>
      <c r="F292" s="3" t="e">
        <f>INDEX(views[Entities count],MATCH('view-code'!E292,views[object_id order],0))</f>
        <v>#N/A</v>
      </c>
      <c r="G292" t="e">
        <f>IF(D291=Lookup!$L$10,1,IF(D291=Lookup!$L$11,G291+1,""))</f>
        <v>#N/A</v>
      </c>
      <c r="H292" t="e">
        <f>IF(F292=1,IF(D292=Lookup!$L$10,2,1),IF(G292&lt;F292-1,0,1))</f>
        <v>#N/A</v>
      </c>
      <c r="I292" t="e">
        <f>IF(D292&lt;&gt;Lookup!$L$7,0,IF(INDEX(views[name],MATCH(E292,views[object_id order],0))&lt;&gt;"",0,1))</f>
        <v>#N/A</v>
      </c>
      <c r="J292" t="e">
        <f>IF(D292&lt;&gt;Lookup!$L$7,0,IF(INDEX(views[icon],MATCH(E292,views[object_id order],0))&lt;&gt;"",0,1))</f>
        <v>#N/A</v>
      </c>
      <c r="K292" t="e">
        <f>IF($D292=Lookup!$L$6,INDEX(views[object_id],MATCH($E292,views[object_id order],0)),"")</f>
        <v>#N/A</v>
      </c>
      <c r="L292" t="e">
        <f>IF($D292=Lookup!$L$8,INDEX(views[name],MATCH($E292,views[object_id order],0)),"")</f>
        <v>#N/A</v>
      </c>
      <c r="M292" t="e">
        <f>IF($D292=Lookup!$L$9,INDEX(views[icon],MATCH($E292,views[object_id order],0)),"")</f>
        <v>#N/A</v>
      </c>
      <c r="N292" t="e">
        <f>IF(OR(D292=Lookup!$L$11,D292=Lookup!$L$12),INDEX(views[[1]:[25]],MATCH($E292,views[object_id order],0),G292),"")</f>
        <v>#N/A</v>
      </c>
      <c r="O292" t="str">
        <f t="shared" si="13"/>
        <v/>
      </c>
      <c r="P292" s="8" t="e">
        <f>INDEX(Lookup!$M$5:$M$12,MATCH(D292,Lookup!$L$5:$L$12,0))&amp;
K292&amp;L292&amp;M292&amp;N292&amp;
INDEX(Lookup!$N$5:$N$12,MATCH(D292,Lookup!$L$5:$L$12,0))</f>
        <v>#N/A</v>
      </c>
    </row>
    <row r="293" spans="2:16" x14ac:dyDescent="0.45">
      <c r="B293">
        <f t="shared" si="12"/>
        <v>291</v>
      </c>
      <c r="C293" t="e">
        <f t="shared" si="14"/>
        <v>#N/A</v>
      </c>
      <c r="D293" t="e">
        <f>VLOOKUP(C293,Lookup!$K$5:$L$12,2,FALSE)</f>
        <v>#N/A</v>
      </c>
      <c r="E293" t="e">
        <f>IF(D293=Lookup!$L$5,E292+1,E292)</f>
        <v>#N/A</v>
      </c>
      <c r="F293" s="3" t="e">
        <f>INDEX(views[Entities count],MATCH('view-code'!E293,views[object_id order],0))</f>
        <v>#N/A</v>
      </c>
      <c r="G293" t="e">
        <f>IF(D292=Lookup!$L$10,1,IF(D292=Lookup!$L$11,G292+1,""))</f>
        <v>#N/A</v>
      </c>
      <c r="H293" t="e">
        <f>IF(F293=1,IF(D293=Lookup!$L$10,2,1),IF(G293&lt;F293-1,0,1))</f>
        <v>#N/A</v>
      </c>
      <c r="I293" t="e">
        <f>IF(D293&lt;&gt;Lookup!$L$7,0,IF(INDEX(views[name],MATCH(E293,views[object_id order],0))&lt;&gt;"",0,1))</f>
        <v>#N/A</v>
      </c>
      <c r="J293" t="e">
        <f>IF(D293&lt;&gt;Lookup!$L$7,0,IF(INDEX(views[icon],MATCH(E293,views[object_id order],0))&lt;&gt;"",0,1))</f>
        <v>#N/A</v>
      </c>
      <c r="K293" t="e">
        <f>IF($D293=Lookup!$L$6,INDEX(views[object_id],MATCH($E293,views[object_id order],0)),"")</f>
        <v>#N/A</v>
      </c>
      <c r="L293" t="e">
        <f>IF($D293=Lookup!$L$8,INDEX(views[name],MATCH($E293,views[object_id order],0)),"")</f>
        <v>#N/A</v>
      </c>
      <c r="M293" t="e">
        <f>IF($D293=Lookup!$L$9,INDEX(views[icon],MATCH($E293,views[object_id order],0)),"")</f>
        <v>#N/A</v>
      </c>
      <c r="N293" t="e">
        <f>IF(OR(D293=Lookup!$L$11,D293=Lookup!$L$12),INDEX(views[[1]:[25]],MATCH($E293,views[object_id order],0),G293),"")</f>
        <v>#N/A</v>
      </c>
      <c r="O293" t="str">
        <f t="shared" si="13"/>
        <v/>
      </c>
      <c r="P293" s="8" t="e">
        <f>INDEX(Lookup!$M$5:$M$12,MATCH(D293,Lookup!$L$5:$L$12,0))&amp;
K293&amp;L293&amp;M293&amp;N293&amp;
INDEX(Lookup!$N$5:$N$12,MATCH(D293,Lookup!$L$5:$L$12,0))</f>
        <v>#N/A</v>
      </c>
    </row>
    <row r="294" spans="2:16" x14ac:dyDescent="0.45">
      <c r="B294">
        <f t="shared" si="12"/>
        <v>292</v>
      </c>
      <c r="C294" t="e">
        <f t="shared" si="14"/>
        <v>#N/A</v>
      </c>
      <c r="D294" t="e">
        <f>VLOOKUP(C294,Lookup!$K$5:$L$12,2,FALSE)</f>
        <v>#N/A</v>
      </c>
      <c r="E294" t="e">
        <f>IF(D294=Lookup!$L$5,E293+1,E293)</f>
        <v>#N/A</v>
      </c>
      <c r="F294" s="3" t="e">
        <f>INDEX(views[Entities count],MATCH('view-code'!E294,views[object_id order],0))</f>
        <v>#N/A</v>
      </c>
      <c r="G294" t="e">
        <f>IF(D293=Lookup!$L$10,1,IF(D293=Lookup!$L$11,G293+1,""))</f>
        <v>#N/A</v>
      </c>
      <c r="H294" t="e">
        <f>IF(F294=1,IF(D294=Lookup!$L$10,2,1),IF(G294&lt;F294-1,0,1))</f>
        <v>#N/A</v>
      </c>
      <c r="I294" t="e">
        <f>IF(D294&lt;&gt;Lookup!$L$7,0,IF(INDEX(views[name],MATCH(E294,views[object_id order],0))&lt;&gt;"",0,1))</f>
        <v>#N/A</v>
      </c>
      <c r="J294" t="e">
        <f>IF(D294&lt;&gt;Lookup!$L$7,0,IF(INDEX(views[icon],MATCH(E294,views[object_id order],0))&lt;&gt;"",0,1))</f>
        <v>#N/A</v>
      </c>
      <c r="K294" t="e">
        <f>IF($D294=Lookup!$L$6,INDEX(views[object_id],MATCH($E294,views[object_id order],0)),"")</f>
        <v>#N/A</v>
      </c>
      <c r="L294" t="e">
        <f>IF($D294=Lookup!$L$8,INDEX(views[name],MATCH($E294,views[object_id order],0)),"")</f>
        <v>#N/A</v>
      </c>
      <c r="M294" t="e">
        <f>IF($D294=Lookup!$L$9,INDEX(views[icon],MATCH($E294,views[object_id order],0)),"")</f>
        <v>#N/A</v>
      </c>
      <c r="N294" t="e">
        <f>IF(OR(D294=Lookup!$L$11,D294=Lookup!$L$12),INDEX(views[[1]:[25]],MATCH($E294,views[object_id order],0),G294),"")</f>
        <v>#N/A</v>
      </c>
      <c r="O294" t="str">
        <f t="shared" si="13"/>
        <v/>
      </c>
      <c r="P294" s="8" t="e">
        <f>INDEX(Lookup!$M$5:$M$12,MATCH(D294,Lookup!$L$5:$L$12,0))&amp;
K294&amp;L294&amp;M294&amp;N294&amp;
INDEX(Lookup!$N$5:$N$12,MATCH(D294,Lookup!$L$5:$L$12,0))</f>
        <v>#N/A</v>
      </c>
    </row>
    <row r="295" spans="2:16" x14ac:dyDescent="0.45">
      <c r="B295">
        <f t="shared" si="12"/>
        <v>293</v>
      </c>
      <c r="C295" t="e">
        <f t="shared" si="14"/>
        <v>#N/A</v>
      </c>
      <c r="D295" t="e">
        <f>VLOOKUP(C295,Lookup!$K$5:$L$12,2,FALSE)</f>
        <v>#N/A</v>
      </c>
      <c r="E295" t="e">
        <f>IF(D295=Lookup!$L$5,E294+1,E294)</f>
        <v>#N/A</v>
      </c>
      <c r="F295" s="3" t="e">
        <f>INDEX(views[Entities count],MATCH('view-code'!E295,views[object_id order],0))</f>
        <v>#N/A</v>
      </c>
      <c r="G295" t="e">
        <f>IF(D294=Lookup!$L$10,1,IF(D294=Lookup!$L$11,G294+1,""))</f>
        <v>#N/A</v>
      </c>
      <c r="H295" t="e">
        <f>IF(F295=1,IF(D295=Lookup!$L$10,2,1),IF(G295&lt;F295-1,0,1))</f>
        <v>#N/A</v>
      </c>
      <c r="I295" t="e">
        <f>IF(D295&lt;&gt;Lookup!$L$7,0,IF(INDEX(views[name],MATCH(E295,views[object_id order],0))&lt;&gt;"",0,1))</f>
        <v>#N/A</v>
      </c>
      <c r="J295" t="e">
        <f>IF(D295&lt;&gt;Lookup!$L$7,0,IF(INDEX(views[icon],MATCH(E295,views[object_id order],0))&lt;&gt;"",0,1))</f>
        <v>#N/A</v>
      </c>
      <c r="K295" t="e">
        <f>IF($D295=Lookup!$L$6,INDEX(views[object_id],MATCH($E295,views[object_id order],0)),"")</f>
        <v>#N/A</v>
      </c>
      <c r="L295" t="e">
        <f>IF($D295=Lookup!$L$8,INDEX(views[name],MATCH($E295,views[object_id order],0)),"")</f>
        <v>#N/A</v>
      </c>
      <c r="M295" t="e">
        <f>IF($D295=Lookup!$L$9,INDEX(views[icon],MATCH($E295,views[object_id order],0)),"")</f>
        <v>#N/A</v>
      </c>
      <c r="N295" t="e">
        <f>IF(OR(D295=Lookup!$L$11,D295=Lookup!$L$12),INDEX(views[[1]:[25]],MATCH($E295,views[object_id order],0),G295),"")</f>
        <v>#N/A</v>
      </c>
      <c r="O295" t="str">
        <f t="shared" si="13"/>
        <v/>
      </c>
      <c r="P295" s="8" t="e">
        <f>INDEX(Lookup!$M$5:$M$12,MATCH(D295,Lookup!$L$5:$L$12,0))&amp;
K295&amp;L295&amp;M295&amp;N295&amp;
INDEX(Lookup!$N$5:$N$12,MATCH(D295,Lookup!$L$5:$L$12,0))</f>
        <v>#N/A</v>
      </c>
    </row>
    <row r="296" spans="2:16" x14ac:dyDescent="0.45">
      <c r="B296">
        <f t="shared" si="12"/>
        <v>294</v>
      </c>
      <c r="C296" t="e">
        <f t="shared" si="14"/>
        <v>#N/A</v>
      </c>
      <c r="D296" t="e">
        <f>VLOOKUP(C296,Lookup!$K$5:$L$12,2,FALSE)</f>
        <v>#N/A</v>
      </c>
      <c r="E296" t="e">
        <f>IF(D296=Lookup!$L$5,E295+1,E295)</f>
        <v>#N/A</v>
      </c>
      <c r="F296" s="3" t="e">
        <f>INDEX(views[Entities count],MATCH('view-code'!E296,views[object_id order],0))</f>
        <v>#N/A</v>
      </c>
      <c r="G296" t="e">
        <f>IF(D295=Lookup!$L$10,1,IF(D295=Lookup!$L$11,G295+1,""))</f>
        <v>#N/A</v>
      </c>
      <c r="H296" t="e">
        <f>IF(F296=1,IF(D296=Lookup!$L$10,2,1),IF(G296&lt;F296-1,0,1))</f>
        <v>#N/A</v>
      </c>
      <c r="I296" t="e">
        <f>IF(D296&lt;&gt;Lookup!$L$7,0,IF(INDEX(views[name],MATCH(E296,views[object_id order],0))&lt;&gt;"",0,1))</f>
        <v>#N/A</v>
      </c>
      <c r="J296" t="e">
        <f>IF(D296&lt;&gt;Lookup!$L$7,0,IF(INDEX(views[icon],MATCH(E296,views[object_id order],0))&lt;&gt;"",0,1))</f>
        <v>#N/A</v>
      </c>
      <c r="K296" t="e">
        <f>IF($D296=Lookup!$L$6,INDEX(views[object_id],MATCH($E296,views[object_id order],0)),"")</f>
        <v>#N/A</v>
      </c>
      <c r="L296" t="e">
        <f>IF($D296=Lookup!$L$8,INDEX(views[name],MATCH($E296,views[object_id order],0)),"")</f>
        <v>#N/A</v>
      </c>
      <c r="M296" t="e">
        <f>IF($D296=Lookup!$L$9,INDEX(views[icon],MATCH($E296,views[object_id order],0)),"")</f>
        <v>#N/A</v>
      </c>
      <c r="N296" t="e">
        <f>IF(OR(D296=Lookup!$L$11,D296=Lookup!$L$12),INDEX(views[[1]:[25]],MATCH($E296,views[object_id order],0),G296),"")</f>
        <v>#N/A</v>
      </c>
      <c r="O296" t="str">
        <f t="shared" si="13"/>
        <v/>
      </c>
      <c r="P296" s="8" t="e">
        <f>INDEX(Lookup!$M$5:$M$12,MATCH(D296,Lookup!$L$5:$L$12,0))&amp;
K296&amp;L296&amp;M296&amp;N296&amp;
INDEX(Lookup!$N$5:$N$12,MATCH(D296,Lookup!$L$5:$L$12,0))</f>
        <v>#N/A</v>
      </c>
    </row>
    <row r="297" spans="2:16" x14ac:dyDescent="0.45">
      <c r="B297">
        <f t="shared" si="12"/>
        <v>295</v>
      </c>
      <c r="C297" t="e">
        <f t="shared" si="14"/>
        <v>#N/A</v>
      </c>
      <c r="D297" t="e">
        <f>VLOOKUP(C297,Lookup!$K$5:$L$12,2,FALSE)</f>
        <v>#N/A</v>
      </c>
      <c r="E297" t="e">
        <f>IF(D297=Lookup!$L$5,E296+1,E296)</f>
        <v>#N/A</v>
      </c>
      <c r="F297" s="3" t="e">
        <f>INDEX(views[Entities count],MATCH('view-code'!E297,views[object_id order],0))</f>
        <v>#N/A</v>
      </c>
      <c r="G297" t="e">
        <f>IF(D296=Lookup!$L$10,1,IF(D296=Lookup!$L$11,G296+1,""))</f>
        <v>#N/A</v>
      </c>
      <c r="H297" t="e">
        <f>IF(F297=1,IF(D297=Lookup!$L$10,2,1),IF(G297&lt;F297-1,0,1))</f>
        <v>#N/A</v>
      </c>
      <c r="I297" t="e">
        <f>IF(D297&lt;&gt;Lookup!$L$7,0,IF(INDEX(views[name],MATCH(E297,views[object_id order],0))&lt;&gt;"",0,1))</f>
        <v>#N/A</v>
      </c>
      <c r="J297" t="e">
        <f>IF(D297&lt;&gt;Lookup!$L$7,0,IF(INDEX(views[icon],MATCH(E297,views[object_id order],0))&lt;&gt;"",0,1))</f>
        <v>#N/A</v>
      </c>
      <c r="K297" t="e">
        <f>IF($D297=Lookup!$L$6,INDEX(views[object_id],MATCH($E297,views[object_id order],0)),"")</f>
        <v>#N/A</v>
      </c>
      <c r="L297" t="e">
        <f>IF($D297=Lookup!$L$8,INDEX(views[name],MATCH($E297,views[object_id order],0)),"")</f>
        <v>#N/A</v>
      </c>
      <c r="M297" t="e">
        <f>IF($D297=Lookup!$L$9,INDEX(views[icon],MATCH($E297,views[object_id order],0)),"")</f>
        <v>#N/A</v>
      </c>
      <c r="N297" t="e">
        <f>IF(OR(D297=Lookup!$L$11,D297=Lookup!$L$12),INDEX(views[[1]:[25]],MATCH($E297,views[object_id order],0),G297),"")</f>
        <v>#N/A</v>
      </c>
      <c r="O297" t="str">
        <f t="shared" si="13"/>
        <v/>
      </c>
      <c r="P297" s="8" t="e">
        <f>INDEX(Lookup!$M$5:$M$12,MATCH(D297,Lookup!$L$5:$L$12,0))&amp;
K297&amp;L297&amp;M297&amp;N297&amp;
INDEX(Lookup!$N$5:$N$12,MATCH(D297,Lookup!$L$5:$L$12,0))</f>
        <v>#N/A</v>
      </c>
    </row>
    <row r="298" spans="2:16" x14ac:dyDescent="0.45">
      <c r="B298">
        <f t="shared" si="12"/>
        <v>296</v>
      </c>
      <c r="C298" t="e">
        <f t="shared" si="14"/>
        <v>#N/A</v>
      </c>
      <c r="D298" t="e">
        <f>VLOOKUP(C298,Lookup!$K$5:$L$12,2,FALSE)</f>
        <v>#N/A</v>
      </c>
      <c r="E298" t="e">
        <f>IF(D298=Lookup!$L$5,E297+1,E297)</f>
        <v>#N/A</v>
      </c>
      <c r="F298" s="3" t="e">
        <f>INDEX(views[Entities count],MATCH('view-code'!E298,views[object_id order],0))</f>
        <v>#N/A</v>
      </c>
      <c r="G298" t="e">
        <f>IF(D297=Lookup!$L$10,1,IF(D297=Lookup!$L$11,G297+1,""))</f>
        <v>#N/A</v>
      </c>
      <c r="H298" t="e">
        <f>IF(F298=1,IF(D298=Lookup!$L$10,2,1),IF(G298&lt;F298-1,0,1))</f>
        <v>#N/A</v>
      </c>
      <c r="I298" t="e">
        <f>IF(D298&lt;&gt;Lookup!$L$7,0,IF(INDEX(views[name],MATCH(E298,views[object_id order],0))&lt;&gt;"",0,1))</f>
        <v>#N/A</v>
      </c>
      <c r="J298" t="e">
        <f>IF(D298&lt;&gt;Lookup!$L$7,0,IF(INDEX(views[icon],MATCH(E298,views[object_id order],0))&lt;&gt;"",0,1))</f>
        <v>#N/A</v>
      </c>
      <c r="K298" t="e">
        <f>IF($D298=Lookup!$L$6,INDEX(views[object_id],MATCH($E298,views[object_id order],0)),"")</f>
        <v>#N/A</v>
      </c>
      <c r="L298" t="e">
        <f>IF($D298=Lookup!$L$8,INDEX(views[name],MATCH($E298,views[object_id order],0)),"")</f>
        <v>#N/A</v>
      </c>
      <c r="M298" t="e">
        <f>IF($D298=Lookup!$L$9,INDEX(views[icon],MATCH($E298,views[object_id order],0)),"")</f>
        <v>#N/A</v>
      </c>
      <c r="N298" t="e">
        <f>IF(OR(D298=Lookup!$L$11,D298=Lookup!$L$12),INDEX(views[[1]:[25]],MATCH($E298,views[object_id order],0),G298),"")</f>
        <v>#N/A</v>
      </c>
      <c r="O298" t="str">
        <f t="shared" si="13"/>
        <v/>
      </c>
      <c r="P298" s="8" t="e">
        <f>INDEX(Lookup!$M$5:$M$12,MATCH(D298,Lookup!$L$5:$L$12,0))&amp;
K298&amp;L298&amp;M298&amp;N298&amp;
INDEX(Lookup!$N$5:$N$12,MATCH(D298,Lookup!$L$5:$L$12,0))</f>
        <v>#N/A</v>
      </c>
    </row>
    <row r="299" spans="2:16" x14ac:dyDescent="0.45">
      <c r="B299">
        <f t="shared" si="12"/>
        <v>297</v>
      </c>
      <c r="C299" t="e">
        <f t="shared" si="14"/>
        <v>#N/A</v>
      </c>
      <c r="D299" t="e">
        <f>VLOOKUP(C299,Lookup!$K$5:$L$12,2,FALSE)</f>
        <v>#N/A</v>
      </c>
      <c r="E299" t="e">
        <f>IF(D299=Lookup!$L$5,E298+1,E298)</f>
        <v>#N/A</v>
      </c>
      <c r="F299" s="3" t="e">
        <f>INDEX(views[Entities count],MATCH('view-code'!E299,views[object_id order],0))</f>
        <v>#N/A</v>
      </c>
      <c r="G299" t="e">
        <f>IF(D298=Lookup!$L$10,1,IF(D298=Lookup!$L$11,G298+1,""))</f>
        <v>#N/A</v>
      </c>
      <c r="H299" t="e">
        <f>IF(F299=1,IF(D299=Lookup!$L$10,2,1),IF(G299&lt;F299-1,0,1))</f>
        <v>#N/A</v>
      </c>
      <c r="I299" t="e">
        <f>IF(D299&lt;&gt;Lookup!$L$7,0,IF(INDEX(views[name],MATCH(E299,views[object_id order],0))&lt;&gt;"",0,1))</f>
        <v>#N/A</v>
      </c>
      <c r="J299" t="e">
        <f>IF(D299&lt;&gt;Lookup!$L$7,0,IF(INDEX(views[icon],MATCH(E299,views[object_id order],0))&lt;&gt;"",0,1))</f>
        <v>#N/A</v>
      </c>
      <c r="K299" t="e">
        <f>IF($D299=Lookup!$L$6,INDEX(views[object_id],MATCH($E299,views[object_id order],0)),"")</f>
        <v>#N/A</v>
      </c>
      <c r="L299" t="e">
        <f>IF($D299=Lookup!$L$8,INDEX(views[name],MATCH($E299,views[object_id order],0)),"")</f>
        <v>#N/A</v>
      </c>
      <c r="M299" t="e">
        <f>IF($D299=Lookup!$L$9,INDEX(views[icon],MATCH($E299,views[object_id order],0)),"")</f>
        <v>#N/A</v>
      </c>
      <c r="N299" t="e">
        <f>IF(OR(D299=Lookup!$L$11,D299=Lookup!$L$12),INDEX(views[[1]:[25]],MATCH($E299,views[object_id order],0),G299),"")</f>
        <v>#N/A</v>
      </c>
      <c r="O299" t="str">
        <f t="shared" si="13"/>
        <v/>
      </c>
      <c r="P299" s="8" t="e">
        <f>INDEX(Lookup!$M$5:$M$12,MATCH(D299,Lookup!$L$5:$L$12,0))&amp;
K299&amp;L299&amp;M299&amp;N299&amp;
INDEX(Lookup!$N$5:$N$12,MATCH(D299,Lookup!$L$5:$L$12,0))</f>
        <v>#N/A</v>
      </c>
    </row>
    <row r="300" spans="2:16" x14ac:dyDescent="0.45">
      <c r="B300">
        <f t="shared" si="12"/>
        <v>298</v>
      </c>
      <c r="C300" t="e">
        <f t="shared" si="14"/>
        <v>#N/A</v>
      </c>
      <c r="D300" t="e">
        <f>VLOOKUP(C300,Lookup!$K$5:$L$12,2,FALSE)</f>
        <v>#N/A</v>
      </c>
      <c r="E300" t="e">
        <f>IF(D300=Lookup!$L$5,E299+1,E299)</f>
        <v>#N/A</v>
      </c>
      <c r="F300" s="3" t="e">
        <f>INDEX(views[Entities count],MATCH('view-code'!E300,views[object_id order],0))</f>
        <v>#N/A</v>
      </c>
      <c r="G300" t="e">
        <f>IF(D299=Lookup!$L$10,1,IF(D299=Lookup!$L$11,G299+1,""))</f>
        <v>#N/A</v>
      </c>
      <c r="H300" t="e">
        <f>IF(F300=1,IF(D300=Lookup!$L$10,2,1),IF(G300&lt;F300-1,0,1))</f>
        <v>#N/A</v>
      </c>
      <c r="I300" t="e">
        <f>IF(D300&lt;&gt;Lookup!$L$7,0,IF(INDEX(views[name],MATCH(E300,views[object_id order],0))&lt;&gt;"",0,1))</f>
        <v>#N/A</v>
      </c>
      <c r="J300" t="e">
        <f>IF(D300&lt;&gt;Lookup!$L$7,0,IF(INDEX(views[icon],MATCH(E300,views[object_id order],0))&lt;&gt;"",0,1))</f>
        <v>#N/A</v>
      </c>
      <c r="K300" t="e">
        <f>IF($D300=Lookup!$L$6,INDEX(views[object_id],MATCH($E300,views[object_id order],0)),"")</f>
        <v>#N/A</v>
      </c>
      <c r="L300" t="e">
        <f>IF($D300=Lookup!$L$8,INDEX(views[name],MATCH($E300,views[object_id order],0)),"")</f>
        <v>#N/A</v>
      </c>
      <c r="M300" t="e">
        <f>IF($D300=Lookup!$L$9,INDEX(views[icon],MATCH($E300,views[object_id order],0)),"")</f>
        <v>#N/A</v>
      </c>
      <c r="N300" t="e">
        <f>IF(OR(D300=Lookup!$L$11,D300=Lookup!$L$12),INDEX(views[[1]:[25]],MATCH($E300,views[object_id order],0),G300),"")</f>
        <v>#N/A</v>
      </c>
      <c r="O300" t="str">
        <f t="shared" si="13"/>
        <v/>
      </c>
      <c r="P300" s="8" t="e">
        <f>INDEX(Lookup!$M$5:$M$12,MATCH(D300,Lookup!$L$5:$L$12,0))&amp;
K300&amp;L300&amp;M300&amp;N300&amp;
INDEX(Lookup!$N$5:$N$12,MATCH(D300,Lookup!$L$5:$L$12,0))</f>
        <v>#N/A</v>
      </c>
    </row>
    <row r="301" spans="2:16" x14ac:dyDescent="0.45">
      <c r="B301">
        <f t="shared" si="12"/>
        <v>299</v>
      </c>
      <c r="C301" t="e">
        <f t="shared" si="14"/>
        <v>#N/A</v>
      </c>
      <c r="D301" t="e">
        <f>VLOOKUP(C301,Lookup!$K$5:$L$12,2,FALSE)</f>
        <v>#N/A</v>
      </c>
      <c r="E301" t="e">
        <f>IF(D301=Lookup!$L$5,E300+1,E300)</f>
        <v>#N/A</v>
      </c>
      <c r="F301" s="3" t="e">
        <f>INDEX(views[Entities count],MATCH('view-code'!E301,views[object_id order],0))</f>
        <v>#N/A</v>
      </c>
      <c r="G301" t="e">
        <f>IF(D300=Lookup!$L$10,1,IF(D300=Lookup!$L$11,G300+1,""))</f>
        <v>#N/A</v>
      </c>
      <c r="H301" t="e">
        <f>IF(F301=1,IF(D301=Lookup!$L$10,2,1),IF(G301&lt;F301-1,0,1))</f>
        <v>#N/A</v>
      </c>
      <c r="I301" t="e">
        <f>IF(D301&lt;&gt;Lookup!$L$7,0,IF(INDEX(views[name],MATCH(E301,views[object_id order],0))&lt;&gt;"",0,1))</f>
        <v>#N/A</v>
      </c>
      <c r="J301" t="e">
        <f>IF(D301&lt;&gt;Lookup!$L$7,0,IF(INDEX(views[icon],MATCH(E301,views[object_id order],0))&lt;&gt;"",0,1))</f>
        <v>#N/A</v>
      </c>
      <c r="K301" t="e">
        <f>IF($D301=Lookup!$L$6,INDEX(views[object_id],MATCH($E301,views[object_id order],0)),"")</f>
        <v>#N/A</v>
      </c>
      <c r="L301" t="e">
        <f>IF($D301=Lookup!$L$8,INDEX(views[name],MATCH($E301,views[object_id order],0)),"")</f>
        <v>#N/A</v>
      </c>
      <c r="M301" t="e">
        <f>IF($D301=Lookup!$L$9,INDEX(views[icon],MATCH($E301,views[object_id order],0)),"")</f>
        <v>#N/A</v>
      </c>
      <c r="N301" t="e">
        <f>IF(OR(D301=Lookup!$L$11,D301=Lookup!$L$12),INDEX(views[[1]:[25]],MATCH($E301,views[object_id order],0),G301),"")</f>
        <v>#N/A</v>
      </c>
      <c r="O301" t="str">
        <f t="shared" si="13"/>
        <v/>
      </c>
      <c r="P301" s="8" t="e">
        <f>INDEX(Lookup!$M$5:$M$12,MATCH(D301,Lookup!$L$5:$L$12,0))&amp;
K301&amp;L301&amp;M301&amp;N301&amp;
INDEX(Lookup!$N$5:$N$12,MATCH(D301,Lookup!$L$5:$L$12,0))</f>
        <v>#N/A</v>
      </c>
    </row>
    <row r="302" spans="2:16" x14ac:dyDescent="0.45">
      <c r="B302">
        <f t="shared" si="12"/>
        <v>300</v>
      </c>
      <c r="C302" t="e">
        <f t="shared" si="14"/>
        <v>#N/A</v>
      </c>
      <c r="D302" t="e">
        <f>VLOOKUP(C302,Lookup!$K$5:$L$12,2,FALSE)</f>
        <v>#N/A</v>
      </c>
      <c r="E302" t="e">
        <f>IF(D302=Lookup!$L$5,E301+1,E301)</f>
        <v>#N/A</v>
      </c>
      <c r="F302" s="3" t="e">
        <f>INDEX(views[Entities count],MATCH('view-code'!E302,views[object_id order],0))</f>
        <v>#N/A</v>
      </c>
      <c r="G302" t="e">
        <f>IF(D301=Lookup!$L$10,1,IF(D301=Lookup!$L$11,G301+1,""))</f>
        <v>#N/A</v>
      </c>
      <c r="H302" t="e">
        <f>IF(F302=1,IF(D302=Lookup!$L$10,2,1),IF(G302&lt;F302-1,0,1))</f>
        <v>#N/A</v>
      </c>
      <c r="I302" t="e">
        <f>IF(D302&lt;&gt;Lookup!$L$7,0,IF(INDEX(views[name],MATCH(E302,views[object_id order],0))&lt;&gt;"",0,1))</f>
        <v>#N/A</v>
      </c>
      <c r="J302" t="e">
        <f>IF(D302&lt;&gt;Lookup!$L$7,0,IF(INDEX(views[icon],MATCH(E302,views[object_id order],0))&lt;&gt;"",0,1))</f>
        <v>#N/A</v>
      </c>
      <c r="K302" t="e">
        <f>IF($D302=Lookup!$L$6,INDEX(views[object_id],MATCH($E302,views[object_id order],0)),"")</f>
        <v>#N/A</v>
      </c>
      <c r="L302" t="e">
        <f>IF($D302=Lookup!$L$8,INDEX(views[name],MATCH($E302,views[object_id order],0)),"")</f>
        <v>#N/A</v>
      </c>
      <c r="M302" t="e">
        <f>IF($D302=Lookup!$L$9,INDEX(views[icon],MATCH($E302,views[object_id order],0)),"")</f>
        <v>#N/A</v>
      </c>
      <c r="N302" t="e">
        <f>IF(OR(D302=Lookup!$L$11,D302=Lookup!$L$12),INDEX(views[[1]:[25]],MATCH($E302,views[object_id order],0),G302),"")</f>
        <v>#N/A</v>
      </c>
      <c r="O302" t="str">
        <f t="shared" si="13"/>
        <v/>
      </c>
      <c r="P302" s="8" t="e">
        <f>INDEX(Lookup!$M$5:$M$12,MATCH(D302,Lookup!$L$5:$L$12,0))&amp;
K302&amp;L302&amp;M302&amp;N302&amp;
INDEX(Lookup!$N$5:$N$12,MATCH(D302,Lookup!$L$5:$L$12,0))</f>
        <v>#N/A</v>
      </c>
    </row>
    <row r="303" spans="2:16" x14ac:dyDescent="0.45">
      <c r="B303">
        <f t="shared" si="12"/>
        <v>301</v>
      </c>
      <c r="C303" t="e">
        <f t="shared" si="14"/>
        <v>#N/A</v>
      </c>
      <c r="D303" t="e">
        <f>VLOOKUP(C303,Lookup!$K$5:$L$12,2,FALSE)</f>
        <v>#N/A</v>
      </c>
      <c r="E303" t="e">
        <f>IF(D303=Lookup!$L$5,E302+1,E302)</f>
        <v>#N/A</v>
      </c>
      <c r="F303" s="3" t="e">
        <f>INDEX(views[Entities count],MATCH('view-code'!E303,views[object_id order],0))</f>
        <v>#N/A</v>
      </c>
      <c r="G303" t="e">
        <f>IF(D302=Lookup!$L$10,1,IF(D302=Lookup!$L$11,G302+1,""))</f>
        <v>#N/A</v>
      </c>
      <c r="H303" t="e">
        <f>IF(F303=1,IF(D303=Lookup!$L$10,2,1),IF(G303&lt;F303-1,0,1))</f>
        <v>#N/A</v>
      </c>
      <c r="I303" t="e">
        <f>IF(D303&lt;&gt;Lookup!$L$7,0,IF(INDEX(views[name],MATCH(E303,views[object_id order],0))&lt;&gt;"",0,1))</f>
        <v>#N/A</v>
      </c>
      <c r="J303" t="e">
        <f>IF(D303&lt;&gt;Lookup!$L$7,0,IF(INDEX(views[icon],MATCH(E303,views[object_id order],0))&lt;&gt;"",0,1))</f>
        <v>#N/A</v>
      </c>
      <c r="K303" t="e">
        <f>IF($D303=Lookup!$L$6,INDEX(views[object_id],MATCH($E303,views[object_id order],0)),"")</f>
        <v>#N/A</v>
      </c>
      <c r="L303" t="e">
        <f>IF($D303=Lookup!$L$8,INDEX(views[name],MATCH($E303,views[object_id order],0)),"")</f>
        <v>#N/A</v>
      </c>
      <c r="M303" t="e">
        <f>IF($D303=Lookup!$L$9,INDEX(views[icon],MATCH($E303,views[object_id order],0)),"")</f>
        <v>#N/A</v>
      </c>
      <c r="N303" t="e">
        <f>IF(OR(D303=Lookup!$L$11,D303=Lookup!$L$12),INDEX(views[[1]:[25]],MATCH($E303,views[object_id order],0),G303),"")</f>
        <v>#N/A</v>
      </c>
      <c r="O303" t="str">
        <f t="shared" si="13"/>
        <v/>
      </c>
      <c r="P303" s="8" t="e">
        <f>INDEX(Lookup!$M$5:$M$12,MATCH(D303,Lookup!$L$5:$L$12,0))&amp;
K303&amp;L303&amp;M303&amp;N303&amp;
INDEX(Lookup!$N$5:$N$12,MATCH(D303,Lookup!$L$5:$L$12,0))</f>
        <v>#N/A</v>
      </c>
    </row>
    <row r="304" spans="2:16" x14ac:dyDescent="0.45">
      <c r="B304">
        <f t="shared" si="12"/>
        <v>302</v>
      </c>
      <c r="C304" t="e">
        <f t="shared" si="14"/>
        <v>#N/A</v>
      </c>
      <c r="D304" t="e">
        <f>VLOOKUP(C304,Lookup!$K$5:$L$12,2,FALSE)</f>
        <v>#N/A</v>
      </c>
      <c r="E304" t="e">
        <f>IF(D304=Lookup!$L$5,E303+1,E303)</f>
        <v>#N/A</v>
      </c>
      <c r="F304" s="3" t="e">
        <f>INDEX(views[Entities count],MATCH('view-code'!E304,views[object_id order],0))</f>
        <v>#N/A</v>
      </c>
      <c r="G304" t="e">
        <f>IF(D303=Lookup!$L$10,1,IF(D303=Lookup!$L$11,G303+1,""))</f>
        <v>#N/A</v>
      </c>
      <c r="H304" t="e">
        <f>IF(F304=1,IF(D304=Lookup!$L$10,2,1),IF(G304&lt;F304-1,0,1))</f>
        <v>#N/A</v>
      </c>
      <c r="I304" t="e">
        <f>IF(D304&lt;&gt;Lookup!$L$7,0,IF(INDEX(views[name],MATCH(E304,views[object_id order],0))&lt;&gt;"",0,1))</f>
        <v>#N/A</v>
      </c>
      <c r="J304" t="e">
        <f>IF(D304&lt;&gt;Lookup!$L$7,0,IF(INDEX(views[icon],MATCH(E304,views[object_id order],0))&lt;&gt;"",0,1))</f>
        <v>#N/A</v>
      </c>
      <c r="K304" t="e">
        <f>IF($D304=Lookup!$L$6,INDEX(views[object_id],MATCH($E304,views[object_id order],0)),"")</f>
        <v>#N/A</v>
      </c>
      <c r="L304" t="e">
        <f>IF($D304=Lookup!$L$8,INDEX(views[name],MATCH($E304,views[object_id order],0)),"")</f>
        <v>#N/A</v>
      </c>
      <c r="M304" t="e">
        <f>IF($D304=Lookup!$L$9,INDEX(views[icon],MATCH($E304,views[object_id order],0)),"")</f>
        <v>#N/A</v>
      </c>
      <c r="N304" t="e">
        <f>IF(OR(D304=Lookup!$L$11,D304=Lookup!$L$12),INDEX(views[[1]:[25]],MATCH($E304,views[object_id order],0),G304),"")</f>
        <v>#N/A</v>
      </c>
      <c r="O304" t="str">
        <f t="shared" si="13"/>
        <v/>
      </c>
      <c r="P304" s="8" t="e">
        <f>INDEX(Lookup!$M$5:$M$12,MATCH(D304,Lookup!$L$5:$L$12,0))&amp;
K304&amp;L304&amp;M304&amp;N304&amp;
INDEX(Lookup!$N$5:$N$12,MATCH(D304,Lookup!$L$5:$L$12,0))</f>
        <v>#N/A</v>
      </c>
    </row>
    <row r="305" spans="2:16" x14ac:dyDescent="0.45">
      <c r="B305">
        <f t="shared" si="12"/>
        <v>303</v>
      </c>
      <c r="C305" t="e">
        <f t="shared" si="14"/>
        <v>#N/A</v>
      </c>
      <c r="D305" t="e">
        <f>VLOOKUP(C305,Lookup!$K$5:$L$12,2,FALSE)</f>
        <v>#N/A</v>
      </c>
      <c r="E305" t="e">
        <f>IF(D305=Lookup!$L$5,E304+1,E304)</f>
        <v>#N/A</v>
      </c>
      <c r="F305" s="3" t="e">
        <f>INDEX(views[Entities count],MATCH('view-code'!E305,views[object_id order],0))</f>
        <v>#N/A</v>
      </c>
      <c r="G305" t="e">
        <f>IF(D304=Lookup!$L$10,1,IF(D304=Lookup!$L$11,G304+1,""))</f>
        <v>#N/A</v>
      </c>
      <c r="H305" t="e">
        <f>IF(F305=1,IF(D305=Lookup!$L$10,2,1),IF(G305&lt;F305-1,0,1))</f>
        <v>#N/A</v>
      </c>
      <c r="I305" t="e">
        <f>IF(D305&lt;&gt;Lookup!$L$7,0,IF(INDEX(views[name],MATCH(E305,views[object_id order],0))&lt;&gt;"",0,1))</f>
        <v>#N/A</v>
      </c>
      <c r="J305" t="e">
        <f>IF(D305&lt;&gt;Lookup!$L$7,0,IF(INDEX(views[icon],MATCH(E305,views[object_id order],0))&lt;&gt;"",0,1))</f>
        <v>#N/A</v>
      </c>
      <c r="K305" t="e">
        <f>IF($D305=Lookup!$L$6,INDEX(views[object_id],MATCH($E305,views[object_id order],0)),"")</f>
        <v>#N/A</v>
      </c>
      <c r="L305" t="e">
        <f>IF($D305=Lookup!$L$8,INDEX(views[name],MATCH($E305,views[object_id order],0)),"")</f>
        <v>#N/A</v>
      </c>
      <c r="M305" t="e">
        <f>IF($D305=Lookup!$L$9,INDEX(views[icon],MATCH($E305,views[object_id order],0)),"")</f>
        <v>#N/A</v>
      </c>
      <c r="N305" t="e">
        <f>IF(OR(D305=Lookup!$L$11,D305=Lookup!$L$12),INDEX(views[[1]:[25]],MATCH($E305,views[object_id order],0),G305),"")</f>
        <v>#N/A</v>
      </c>
      <c r="O305" t="str">
        <f t="shared" si="13"/>
        <v/>
      </c>
      <c r="P305" s="8" t="e">
        <f>INDEX(Lookup!$M$5:$M$12,MATCH(D305,Lookup!$L$5:$L$12,0))&amp;
K305&amp;L305&amp;M305&amp;N305&amp;
INDEX(Lookup!$N$5:$N$12,MATCH(D305,Lookup!$L$5:$L$12,0))</f>
        <v>#N/A</v>
      </c>
    </row>
    <row r="306" spans="2:16" x14ac:dyDescent="0.45">
      <c r="B306">
        <f t="shared" si="12"/>
        <v>304</v>
      </c>
      <c r="C306" t="e">
        <f t="shared" si="14"/>
        <v>#N/A</v>
      </c>
      <c r="D306" t="e">
        <f>VLOOKUP(C306,Lookup!$K$5:$L$12,2,FALSE)</f>
        <v>#N/A</v>
      </c>
      <c r="E306" t="e">
        <f>IF(D306=Lookup!$L$5,E305+1,E305)</f>
        <v>#N/A</v>
      </c>
      <c r="F306" s="3" t="e">
        <f>INDEX(views[Entities count],MATCH('view-code'!E306,views[object_id order],0))</f>
        <v>#N/A</v>
      </c>
      <c r="G306" t="e">
        <f>IF(D305=Lookup!$L$10,1,IF(D305=Lookup!$L$11,G305+1,""))</f>
        <v>#N/A</v>
      </c>
      <c r="H306" t="e">
        <f>IF(F306=1,IF(D306=Lookup!$L$10,2,1),IF(G306&lt;F306-1,0,1))</f>
        <v>#N/A</v>
      </c>
      <c r="I306" t="e">
        <f>IF(D306&lt;&gt;Lookup!$L$7,0,IF(INDEX(views[name],MATCH(E306,views[object_id order],0))&lt;&gt;"",0,1))</f>
        <v>#N/A</v>
      </c>
      <c r="J306" t="e">
        <f>IF(D306&lt;&gt;Lookup!$L$7,0,IF(INDEX(views[icon],MATCH(E306,views[object_id order],0))&lt;&gt;"",0,1))</f>
        <v>#N/A</v>
      </c>
      <c r="K306" t="e">
        <f>IF($D306=Lookup!$L$6,INDEX(views[object_id],MATCH($E306,views[object_id order],0)),"")</f>
        <v>#N/A</v>
      </c>
      <c r="L306" t="e">
        <f>IF($D306=Lookup!$L$8,INDEX(views[name],MATCH($E306,views[object_id order],0)),"")</f>
        <v>#N/A</v>
      </c>
      <c r="M306" t="e">
        <f>IF($D306=Lookup!$L$9,INDEX(views[icon],MATCH($E306,views[object_id order],0)),"")</f>
        <v>#N/A</v>
      </c>
      <c r="N306" t="e">
        <f>IF(OR(D306=Lookup!$L$11,D306=Lookup!$L$12),INDEX(views[[1]:[25]],MATCH($E306,views[object_id order],0),G306),"")</f>
        <v>#N/A</v>
      </c>
      <c r="O306" t="str">
        <f t="shared" si="13"/>
        <v/>
      </c>
      <c r="P306" s="8" t="e">
        <f>INDEX(Lookup!$M$5:$M$12,MATCH(D306,Lookup!$L$5:$L$12,0))&amp;
K306&amp;L306&amp;M306&amp;N306&amp;
INDEX(Lookup!$N$5:$N$12,MATCH(D306,Lookup!$L$5:$L$12,0))</f>
        <v>#N/A</v>
      </c>
    </row>
    <row r="307" spans="2:16" x14ac:dyDescent="0.45">
      <c r="B307">
        <f t="shared" si="12"/>
        <v>305</v>
      </c>
      <c r="C307" t="e">
        <f t="shared" si="14"/>
        <v>#N/A</v>
      </c>
      <c r="D307" t="e">
        <f>VLOOKUP(C307,Lookup!$K$5:$L$12,2,FALSE)</f>
        <v>#N/A</v>
      </c>
      <c r="E307" t="e">
        <f>IF(D307=Lookup!$L$5,E306+1,E306)</f>
        <v>#N/A</v>
      </c>
      <c r="F307" s="3" t="e">
        <f>INDEX(views[Entities count],MATCH('view-code'!E307,views[object_id order],0))</f>
        <v>#N/A</v>
      </c>
      <c r="G307" t="e">
        <f>IF(D306=Lookup!$L$10,1,IF(D306=Lookup!$L$11,G306+1,""))</f>
        <v>#N/A</v>
      </c>
      <c r="H307" t="e">
        <f>IF(F307=1,IF(D307=Lookup!$L$10,2,1),IF(G307&lt;F307-1,0,1))</f>
        <v>#N/A</v>
      </c>
      <c r="I307" t="e">
        <f>IF(D307&lt;&gt;Lookup!$L$7,0,IF(INDEX(views[name],MATCH(E307,views[object_id order],0))&lt;&gt;"",0,1))</f>
        <v>#N/A</v>
      </c>
      <c r="J307" t="e">
        <f>IF(D307&lt;&gt;Lookup!$L$7,0,IF(INDEX(views[icon],MATCH(E307,views[object_id order],0))&lt;&gt;"",0,1))</f>
        <v>#N/A</v>
      </c>
      <c r="K307" t="e">
        <f>IF($D307=Lookup!$L$6,INDEX(views[object_id],MATCH($E307,views[object_id order],0)),"")</f>
        <v>#N/A</v>
      </c>
      <c r="L307" t="e">
        <f>IF($D307=Lookup!$L$8,INDEX(views[name],MATCH($E307,views[object_id order],0)),"")</f>
        <v>#N/A</v>
      </c>
      <c r="M307" t="e">
        <f>IF($D307=Lookup!$L$9,INDEX(views[icon],MATCH($E307,views[object_id order],0)),"")</f>
        <v>#N/A</v>
      </c>
      <c r="N307" t="e">
        <f>IF(OR(D307=Lookup!$L$11,D307=Lookup!$L$12),INDEX(views[[1]:[25]],MATCH($E307,views[object_id order],0),G307),"")</f>
        <v>#N/A</v>
      </c>
      <c r="O307" t="str">
        <f t="shared" si="13"/>
        <v/>
      </c>
      <c r="P307" s="8" t="e">
        <f>INDEX(Lookup!$M$5:$M$12,MATCH(D307,Lookup!$L$5:$L$12,0))&amp;
K307&amp;L307&amp;M307&amp;N307&amp;
INDEX(Lookup!$N$5:$N$12,MATCH(D307,Lookup!$L$5:$L$12,0))</f>
        <v>#N/A</v>
      </c>
    </row>
    <row r="308" spans="2:16" x14ac:dyDescent="0.45">
      <c r="B308">
        <f t="shared" si="12"/>
        <v>306</v>
      </c>
      <c r="C308" t="e">
        <f t="shared" si="14"/>
        <v>#N/A</v>
      </c>
      <c r="D308" t="e">
        <f>VLOOKUP(C308,Lookup!$K$5:$L$12,2,FALSE)</f>
        <v>#N/A</v>
      </c>
      <c r="E308" t="e">
        <f>IF(D308=Lookup!$L$5,E307+1,E307)</f>
        <v>#N/A</v>
      </c>
      <c r="F308" s="3" t="e">
        <f>INDEX(views[Entities count],MATCH('view-code'!E308,views[object_id order],0))</f>
        <v>#N/A</v>
      </c>
      <c r="G308" t="e">
        <f>IF(D307=Lookup!$L$10,1,IF(D307=Lookup!$L$11,G307+1,""))</f>
        <v>#N/A</v>
      </c>
      <c r="H308" t="e">
        <f>IF(F308=1,IF(D308=Lookup!$L$10,2,1),IF(G308&lt;F308-1,0,1))</f>
        <v>#N/A</v>
      </c>
      <c r="I308" t="e">
        <f>IF(D308&lt;&gt;Lookup!$L$7,0,IF(INDEX(views[name],MATCH(E308,views[object_id order],0))&lt;&gt;"",0,1))</f>
        <v>#N/A</v>
      </c>
      <c r="J308" t="e">
        <f>IF(D308&lt;&gt;Lookup!$L$7,0,IF(INDEX(views[icon],MATCH(E308,views[object_id order],0))&lt;&gt;"",0,1))</f>
        <v>#N/A</v>
      </c>
      <c r="K308" t="e">
        <f>IF($D308=Lookup!$L$6,INDEX(views[object_id],MATCH($E308,views[object_id order],0)),"")</f>
        <v>#N/A</v>
      </c>
      <c r="L308" t="e">
        <f>IF($D308=Lookup!$L$8,INDEX(views[name],MATCH($E308,views[object_id order],0)),"")</f>
        <v>#N/A</v>
      </c>
      <c r="M308" t="e">
        <f>IF($D308=Lookup!$L$9,INDEX(views[icon],MATCH($E308,views[object_id order],0)),"")</f>
        <v>#N/A</v>
      </c>
      <c r="N308" t="e">
        <f>IF(OR(D308=Lookup!$L$11,D308=Lookup!$L$12),INDEX(views[[1]:[25]],MATCH($E308,views[object_id order],0),G308),"")</f>
        <v>#N/A</v>
      </c>
      <c r="O308" t="str">
        <f t="shared" si="13"/>
        <v/>
      </c>
      <c r="P308" s="8" t="e">
        <f>INDEX(Lookup!$M$5:$M$12,MATCH(D308,Lookup!$L$5:$L$12,0))&amp;
K308&amp;L308&amp;M308&amp;N308&amp;
INDEX(Lookup!$N$5:$N$12,MATCH(D308,Lookup!$L$5:$L$12,0))</f>
        <v>#N/A</v>
      </c>
    </row>
    <row r="309" spans="2:16" x14ac:dyDescent="0.45">
      <c r="B309">
        <f t="shared" si="12"/>
        <v>307</v>
      </c>
      <c r="C309" t="e">
        <f t="shared" si="14"/>
        <v>#N/A</v>
      </c>
      <c r="D309" t="e">
        <f>VLOOKUP(C309,Lookup!$K$5:$L$12,2,FALSE)</f>
        <v>#N/A</v>
      </c>
      <c r="E309" t="e">
        <f>IF(D309=Lookup!$L$5,E308+1,E308)</f>
        <v>#N/A</v>
      </c>
      <c r="F309" s="3" t="e">
        <f>INDEX(views[Entities count],MATCH('view-code'!E309,views[object_id order],0))</f>
        <v>#N/A</v>
      </c>
      <c r="G309" t="e">
        <f>IF(D308=Lookup!$L$10,1,IF(D308=Lookup!$L$11,G308+1,""))</f>
        <v>#N/A</v>
      </c>
      <c r="H309" t="e">
        <f>IF(F309=1,IF(D309=Lookup!$L$10,2,1),IF(G309&lt;F309-1,0,1))</f>
        <v>#N/A</v>
      </c>
      <c r="I309" t="e">
        <f>IF(D309&lt;&gt;Lookup!$L$7,0,IF(INDEX(views[name],MATCH(E309,views[object_id order],0))&lt;&gt;"",0,1))</f>
        <v>#N/A</v>
      </c>
      <c r="J309" t="e">
        <f>IF(D309&lt;&gt;Lookup!$L$7,0,IF(INDEX(views[icon],MATCH(E309,views[object_id order],0))&lt;&gt;"",0,1))</f>
        <v>#N/A</v>
      </c>
      <c r="K309" t="e">
        <f>IF($D309=Lookup!$L$6,INDEX(views[object_id],MATCH($E309,views[object_id order],0)),"")</f>
        <v>#N/A</v>
      </c>
      <c r="L309" t="e">
        <f>IF($D309=Lookup!$L$8,INDEX(views[name],MATCH($E309,views[object_id order],0)),"")</f>
        <v>#N/A</v>
      </c>
      <c r="M309" t="e">
        <f>IF($D309=Lookup!$L$9,INDEX(views[icon],MATCH($E309,views[object_id order],0)),"")</f>
        <v>#N/A</v>
      </c>
      <c r="N309" t="e">
        <f>IF(OR(D309=Lookup!$L$11,D309=Lookup!$L$12),INDEX(views[[1]:[25]],MATCH($E309,views[object_id order],0),G309),"")</f>
        <v>#N/A</v>
      </c>
      <c r="O309" t="str">
        <f t="shared" si="13"/>
        <v/>
      </c>
      <c r="P309" s="8" t="e">
        <f>INDEX(Lookup!$M$5:$M$12,MATCH(D309,Lookup!$L$5:$L$12,0))&amp;
K309&amp;L309&amp;M309&amp;N309&amp;
INDEX(Lookup!$N$5:$N$12,MATCH(D309,Lookup!$L$5:$L$12,0))</f>
        <v>#N/A</v>
      </c>
    </row>
    <row r="310" spans="2:16" x14ac:dyDescent="0.45">
      <c r="B310">
        <f t="shared" si="12"/>
        <v>308</v>
      </c>
      <c r="C310" t="e">
        <f t="shared" si="14"/>
        <v>#N/A</v>
      </c>
      <c r="D310" t="e">
        <f>VLOOKUP(C310,Lookup!$K$5:$L$12,2,FALSE)</f>
        <v>#N/A</v>
      </c>
      <c r="E310" t="e">
        <f>IF(D310=Lookup!$L$5,E309+1,E309)</f>
        <v>#N/A</v>
      </c>
      <c r="F310" s="3" t="e">
        <f>INDEX(views[Entities count],MATCH('view-code'!E310,views[object_id order],0))</f>
        <v>#N/A</v>
      </c>
      <c r="G310" t="e">
        <f>IF(D309=Lookup!$L$10,1,IF(D309=Lookup!$L$11,G309+1,""))</f>
        <v>#N/A</v>
      </c>
      <c r="H310" t="e">
        <f>IF(F310=1,IF(D310=Lookup!$L$10,2,1),IF(G310&lt;F310-1,0,1))</f>
        <v>#N/A</v>
      </c>
      <c r="I310" t="e">
        <f>IF(D310&lt;&gt;Lookup!$L$7,0,IF(INDEX(views[name],MATCH(E310,views[object_id order],0))&lt;&gt;"",0,1))</f>
        <v>#N/A</v>
      </c>
      <c r="J310" t="e">
        <f>IF(D310&lt;&gt;Lookup!$L$7,0,IF(INDEX(views[icon],MATCH(E310,views[object_id order],0))&lt;&gt;"",0,1))</f>
        <v>#N/A</v>
      </c>
      <c r="K310" t="e">
        <f>IF($D310=Lookup!$L$6,INDEX(views[object_id],MATCH($E310,views[object_id order],0)),"")</f>
        <v>#N/A</v>
      </c>
      <c r="L310" t="e">
        <f>IF($D310=Lookup!$L$8,INDEX(views[name],MATCH($E310,views[object_id order],0)),"")</f>
        <v>#N/A</v>
      </c>
      <c r="M310" t="e">
        <f>IF($D310=Lookup!$L$9,INDEX(views[icon],MATCH($E310,views[object_id order],0)),"")</f>
        <v>#N/A</v>
      </c>
      <c r="N310" t="e">
        <f>IF(OR(D310=Lookup!$L$11,D310=Lookup!$L$12),INDEX(views[[1]:[25]],MATCH($E310,views[object_id order],0),G310),"")</f>
        <v>#N/A</v>
      </c>
      <c r="O310" t="str">
        <f t="shared" si="13"/>
        <v/>
      </c>
      <c r="P310" s="8" t="e">
        <f>INDEX(Lookup!$M$5:$M$12,MATCH(D310,Lookup!$L$5:$L$12,0))&amp;
K310&amp;L310&amp;M310&amp;N310&amp;
INDEX(Lookup!$N$5:$N$12,MATCH(D310,Lookup!$L$5:$L$12,0))</f>
        <v>#N/A</v>
      </c>
    </row>
    <row r="311" spans="2:16" x14ac:dyDescent="0.45">
      <c r="B311">
        <f t="shared" si="12"/>
        <v>309</v>
      </c>
      <c r="C311" t="e">
        <f t="shared" si="14"/>
        <v>#N/A</v>
      </c>
      <c r="D311" t="e">
        <f>VLOOKUP(C311,Lookup!$K$5:$L$12,2,FALSE)</f>
        <v>#N/A</v>
      </c>
      <c r="E311" t="e">
        <f>IF(D311=Lookup!$L$5,E310+1,E310)</f>
        <v>#N/A</v>
      </c>
      <c r="F311" s="3" t="e">
        <f>INDEX(views[Entities count],MATCH('view-code'!E311,views[object_id order],0))</f>
        <v>#N/A</v>
      </c>
      <c r="G311" t="e">
        <f>IF(D310=Lookup!$L$10,1,IF(D310=Lookup!$L$11,G310+1,""))</f>
        <v>#N/A</v>
      </c>
      <c r="H311" t="e">
        <f>IF(F311=1,IF(D311=Lookup!$L$10,2,1),IF(G311&lt;F311-1,0,1))</f>
        <v>#N/A</v>
      </c>
      <c r="I311" t="e">
        <f>IF(D311&lt;&gt;Lookup!$L$7,0,IF(INDEX(views[name],MATCH(E311,views[object_id order],0))&lt;&gt;"",0,1))</f>
        <v>#N/A</v>
      </c>
      <c r="J311" t="e">
        <f>IF(D311&lt;&gt;Lookup!$L$7,0,IF(INDEX(views[icon],MATCH(E311,views[object_id order],0))&lt;&gt;"",0,1))</f>
        <v>#N/A</v>
      </c>
      <c r="K311" t="e">
        <f>IF($D311=Lookup!$L$6,INDEX(views[object_id],MATCH($E311,views[object_id order],0)),"")</f>
        <v>#N/A</v>
      </c>
      <c r="L311" t="e">
        <f>IF($D311=Lookup!$L$8,INDEX(views[name],MATCH($E311,views[object_id order],0)),"")</f>
        <v>#N/A</v>
      </c>
      <c r="M311" t="e">
        <f>IF($D311=Lookup!$L$9,INDEX(views[icon],MATCH($E311,views[object_id order],0)),"")</f>
        <v>#N/A</v>
      </c>
      <c r="N311" t="e">
        <f>IF(OR(D311=Lookup!$L$11,D311=Lookup!$L$12),INDEX(views[[1]:[25]],MATCH($E311,views[object_id order],0),G311),"")</f>
        <v>#N/A</v>
      </c>
      <c r="O311" t="str">
        <f t="shared" si="13"/>
        <v/>
      </c>
      <c r="P311" s="8" t="e">
        <f>INDEX(Lookup!$M$5:$M$12,MATCH(D311,Lookup!$L$5:$L$12,0))&amp;
K311&amp;L311&amp;M311&amp;N311&amp;
INDEX(Lookup!$N$5:$N$12,MATCH(D311,Lookup!$L$5:$L$12,0))</f>
        <v>#N/A</v>
      </c>
    </row>
    <row r="312" spans="2:16" x14ac:dyDescent="0.45">
      <c r="B312">
        <f t="shared" si="12"/>
        <v>310</v>
      </c>
      <c r="C312" t="e">
        <f t="shared" si="14"/>
        <v>#N/A</v>
      </c>
      <c r="D312" t="e">
        <f>VLOOKUP(C312,Lookup!$K$5:$L$12,2,FALSE)</f>
        <v>#N/A</v>
      </c>
      <c r="E312" t="e">
        <f>IF(D312=Lookup!$L$5,E311+1,E311)</f>
        <v>#N/A</v>
      </c>
      <c r="F312" s="3" t="e">
        <f>INDEX(views[Entities count],MATCH('view-code'!E312,views[object_id order],0))</f>
        <v>#N/A</v>
      </c>
      <c r="G312" t="e">
        <f>IF(D311=Lookup!$L$10,1,IF(D311=Lookup!$L$11,G311+1,""))</f>
        <v>#N/A</v>
      </c>
      <c r="H312" t="e">
        <f>IF(F312=1,IF(D312=Lookup!$L$10,2,1),IF(G312&lt;F312-1,0,1))</f>
        <v>#N/A</v>
      </c>
      <c r="I312" t="e">
        <f>IF(D312&lt;&gt;Lookup!$L$7,0,IF(INDEX(views[name],MATCH(E312,views[object_id order],0))&lt;&gt;"",0,1))</f>
        <v>#N/A</v>
      </c>
      <c r="J312" t="e">
        <f>IF(D312&lt;&gt;Lookup!$L$7,0,IF(INDEX(views[icon],MATCH(E312,views[object_id order],0))&lt;&gt;"",0,1))</f>
        <v>#N/A</v>
      </c>
      <c r="K312" t="e">
        <f>IF($D312=Lookup!$L$6,INDEX(views[object_id],MATCH($E312,views[object_id order],0)),"")</f>
        <v>#N/A</v>
      </c>
      <c r="L312" t="e">
        <f>IF($D312=Lookup!$L$8,INDEX(views[name],MATCH($E312,views[object_id order],0)),"")</f>
        <v>#N/A</v>
      </c>
      <c r="M312" t="e">
        <f>IF($D312=Lookup!$L$9,INDEX(views[icon],MATCH($E312,views[object_id order],0)),"")</f>
        <v>#N/A</v>
      </c>
      <c r="N312" t="e">
        <f>IF(OR(D312=Lookup!$L$11,D312=Lookup!$L$12),INDEX(views[[1]:[25]],MATCH($E312,views[object_id order],0),G312),"")</f>
        <v>#N/A</v>
      </c>
      <c r="O312" t="str">
        <f t="shared" si="13"/>
        <v/>
      </c>
      <c r="P312" s="8" t="e">
        <f>INDEX(Lookup!$M$5:$M$12,MATCH(D312,Lookup!$L$5:$L$12,0))&amp;
K312&amp;L312&amp;M312&amp;N312&amp;
INDEX(Lookup!$N$5:$N$12,MATCH(D312,Lookup!$L$5:$L$12,0))</f>
        <v>#N/A</v>
      </c>
    </row>
    <row r="313" spans="2:16" x14ac:dyDescent="0.45">
      <c r="B313">
        <f t="shared" si="12"/>
        <v>311</v>
      </c>
      <c r="C313" t="e">
        <f t="shared" si="14"/>
        <v>#N/A</v>
      </c>
      <c r="D313" t="e">
        <f>VLOOKUP(C313,Lookup!$K$5:$L$12,2,FALSE)</f>
        <v>#N/A</v>
      </c>
      <c r="E313" t="e">
        <f>IF(D313=Lookup!$L$5,E312+1,E312)</f>
        <v>#N/A</v>
      </c>
      <c r="F313" s="3" t="e">
        <f>INDEX(views[Entities count],MATCH('view-code'!E313,views[object_id order],0))</f>
        <v>#N/A</v>
      </c>
      <c r="G313" t="e">
        <f>IF(D312=Lookup!$L$10,1,IF(D312=Lookup!$L$11,G312+1,""))</f>
        <v>#N/A</v>
      </c>
      <c r="H313" t="e">
        <f>IF(F313=1,IF(D313=Lookup!$L$10,2,1),IF(G313&lt;F313-1,0,1))</f>
        <v>#N/A</v>
      </c>
      <c r="I313" t="e">
        <f>IF(D313&lt;&gt;Lookup!$L$7,0,IF(INDEX(views[name],MATCH(E313,views[object_id order],0))&lt;&gt;"",0,1))</f>
        <v>#N/A</v>
      </c>
      <c r="J313" t="e">
        <f>IF(D313&lt;&gt;Lookup!$L$7,0,IF(INDEX(views[icon],MATCH(E313,views[object_id order],0))&lt;&gt;"",0,1))</f>
        <v>#N/A</v>
      </c>
      <c r="K313" t="e">
        <f>IF($D313=Lookup!$L$6,INDEX(views[object_id],MATCH($E313,views[object_id order],0)),"")</f>
        <v>#N/A</v>
      </c>
      <c r="L313" t="e">
        <f>IF($D313=Lookup!$L$8,INDEX(views[name],MATCH($E313,views[object_id order],0)),"")</f>
        <v>#N/A</v>
      </c>
      <c r="M313" t="e">
        <f>IF($D313=Lookup!$L$9,INDEX(views[icon],MATCH($E313,views[object_id order],0)),"")</f>
        <v>#N/A</v>
      </c>
      <c r="N313" t="e">
        <f>IF(OR(D313=Lookup!$L$11,D313=Lookup!$L$12),INDEX(views[[1]:[25]],MATCH($E313,views[object_id order],0),G313),"")</f>
        <v>#N/A</v>
      </c>
      <c r="O313" t="str">
        <f t="shared" si="13"/>
        <v/>
      </c>
      <c r="P313" s="8" t="e">
        <f>INDEX(Lookup!$M$5:$M$12,MATCH(D313,Lookup!$L$5:$L$12,0))&amp;
K313&amp;L313&amp;M313&amp;N313&amp;
INDEX(Lookup!$N$5:$N$12,MATCH(D313,Lookup!$L$5:$L$12,0))</f>
        <v>#N/A</v>
      </c>
    </row>
    <row r="314" spans="2:16" x14ac:dyDescent="0.45">
      <c r="B314">
        <f t="shared" si="12"/>
        <v>312</v>
      </c>
      <c r="C314" t="e">
        <f t="shared" si="14"/>
        <v>#N/A</v>
      </c>
      <c r="D314" t="e">
        <f>VLOOKUP(C314,Lookup!$K$5:$L$12,2,FALSE)</f>
        <v>#N/A</v>
      </c>
      <c r="E314" t="e">
        <f>IF(D314=Lookup!$L$5,E313+1,E313)</f>
        <v>#N/A</v>
      </c>
      <c r="F314" s="3" t="e">
        <f>INDEX(views[Entities count],MATCH('view-code'!E314,views[object_id order],0))</f>
        <v>#N/A</v>
      </c>
      <c r="G314" t="e">
        <f>IF(D313=Lookup!$L$10,1,IF(D313=Lookup!$L$11,G313+1,""))</f>
        <v>#N/A</v>
      </c>
      <c r="H314" t="e">
        <f>IF(F314=1,IF(D314=Lookup!$L$10,2,1),IF(G314&lt;F314-1,0,1))</f>
        <v>#N/A</v>
      </c>
      <c r="I314" t="e">
        <f>IF(D314&lt;&gt;Lookup!$L$7,0,IF(INDEX(views[name],MATCH(E314,views[object_id order],0))&lt;&gt;"",0,1))</f>
        <v>#N/A</v>
      </c>
      <c r="J314" t="e">
        <f>IF(D314&lt;&gt;Lookup!$L$7,0,IF(INDEX(views[icon],MATCH(E314,views[object_id order],0))&lt;&gt;"",0,1))</f>
        <v>#N/A</v>
      </c>
      <c r="K314" t="e">
        <f>IF($D314=Lookup!$L$6,INDEX(views[object_id],MATCH($E314,views[object_id order],0)),"")</f>
        <v>#N/A</v>
      </c>
      <c r="L314" t="e">
        <f>IF($D314=Lookup!$L$8,INDEX(views[name],MATCH($E314,views[object_id order],0)),"")</f>
        <v>#N/A</v>
      </c>
      <c r="M314" t="e">
        <f>IF($D314=Lookup!$L$9,INDEX(views[icon],MATCH($E314,views[object_id order],0)),"")</f>
        <v>#N/A</v>
      </c>
      <c r="N314" t="e">
        <f>IF(OR(D314=Lookup!$L$11,D314=Lookup!$L$12),INDEX(views[[1]:[25]],MATCH($E314,views[object_id order],0),G314),"")</f>
        <v>#N/A</v>
      </c>
      <c r="O314" t="str">
        <f t="shared" si="13"/>
        <v/>
      </c>
      <c r="P314" s="8" t="e">
        <f>INDEX(Lookup!$M$5:$M$12,MATCH(D314,Lookup!$L$5:$L$12,0))&amp;
K314&amp;L314&amp;M314&amp;N314&amp;
INDEX(Lookup!$N$5:$N$12,MATCH(D314,Lookup!$L$5:$L$12,0))</f>
        <v>#N/A</v>
      </c>
    </row>
    <row r="315" spans="2:16" x14ac:dyDescent="0.45">
      <c r="B315">
        <f t="shared" si="12"/>
        <v>313</v>
      </c>
      <c r="C315" t="e">
        <f t="shared" si="14"/>
        <v>#N/A</v>
      </c>
      <c r="D315" t="e">
        <f>VLOOKUP(C315,Lookup!$K$5:$L$12,2,FALSE)</f>
        <v>#N/A</v>
      </c>
      <c r="E315" t="e">
        <f>IF(D315=Lookup!$L$5,E314+1,E314)</f>
        <v>#N/A</v>
      </c>
      <c r="F315" s="3" t="e">
        <f>INDEX(views[Entities count],MATCH('view-code'!E315,views[object_id order],0))</f>
        <v>#N/A</v>
      </c>
      <c r="G315" t="e">
        <f>IF(D314=Lookup!$L$10,1,IF(D314=Lookup!$L$11,G314+1,""))</f>
        <v>#N/A</v>
      </c>
      <c r="H315" t="e">
        <f>IF(F315=1,IF(D315=Lookup!$L$10,2,1),IF(G315&lt;F315-1,0,1))</f>
        <v>#N/A</v>
      </c>
      <c r="I315" t="e">
        <f>IF(D315&lt;&gt;Lookup!$L$7,0,IF(INDEX(views[name],MATCH(E315,views[object_id order],0))&lt;&gt;"",0,1))</f>
        <v>#N/A</v>
      </c>
      <c r="J315" t="e">
        <f>IF(D315&lt;&gt;Lookup!$L$7,0,IF(INDEX(views[icon],MATCH(E315,views[object_id order],0))&lt;&gt;"",0,1))</f>
        <v>#N/A</v>
      </c>
      <c r="K315" t="e">
        <f>IF($D315=Lookup!$L$6,INDEX(views[object_id],MATCH($E315,views[object_id order],0)),"")</f>
        <v>#N/A</v>
      </c>
      <c r="L315" t="e">
        <f>IF($D315=Lookup!$L$8,INDEX(views[name],MATCH($E315,views[object_id order],0)),"")</f>
        <v>#N/A</v>
      </c>
      <c r="M315" t="e">
        <f>IF($D315=Lookup!$L$9,INDEX(views[icon],MATCH($E315,views[object_id order],0)),"")</f>
        <v>#N/A</v>
      </c>
      <c r="N315" t="e">
        <f>IF(OR(D315=Lookup!$L$11,D315=Lookup!$L$12),INDEX(views[[1]:[25]],MATCH($E315,views[object_id order],0),G315),"")</f>
        <v>#N/A</v>
      </c>
      <c r="O315" t="str">
        <f t="shared" si="13"/>
        <v/>
      </c>
      <c r="P315" s="8" t="e">
        <f>INDEX(Lookup!$M$5:$M$12,MATCH(D315,Lookup!$L$5:$L$12,0))&amp;
K315&amp;L315&amp;M315&amp;N315&amp;
INDEX(Lookup!$N$5:$N$12,MATCH(D315,Lookup!$L$5:$L$12,0))</f>
        <v>#N/A</v>
      </c>
    </row>
    <row r="316" spans="2:16" x14ac:dyDescent="0.45">
      <c r="B316">
        <f t="shared" si="12"/>
        <v>314</v>
      </c>
      <c r="C316" t="e">
        <f t="shared" si="14"/>
        <v>#N/A</v>
      </c>
      <c r="D316" t="e">
        <f>VLOOKUP(C316,Lookup!$K$5:$L$12,2,FALSE)</f>
        <v>#N/A</v>
      </c>
      <c r="E316" t="e">
        <f>IF(D316=Lookup!$L$5,E315+1,E315)</f>
        <v>#N/A</v>
      </c>
      <c r="F316" s="3" t="e">
        <f>INDEX(views[Entities count],MATCH('view-code'!E316,views[object_id order],0))</f>
        <v>#N/A</v>
      </c>
      <c r="G316" t="e">
        <f>IF(D315=Lookup!$L$10,1,IF(D315=Lookup!$L$11,G315+1,""))</f>
        <v>#N/A</v>
      </c>
      <c r="H316" t="e">
        <f>IF(F316=1,IF(D316=Lookup!$L$10,2,1),IF(G316&lt;F316-1,0,1))</f>
        <v>#N/A</v>
      </c>
      <c r="I316" t="e">
        <f>IF(D316&lt;&gt;Lookup!$L$7,0,IF(INDEX(views[name],MATCH(E316,views[object_id order],0))&lt;&gt;"",0,1))</f>
        <v>#N/A</v>
      </c>
      <c r="J316" t="e">
        <f>IF(D316&lt;&gt;Lookup!$L$7,0,IF(INDEX(views[icon],MATCH(E316,views[object_id order],0))&lt;&gt;"",0,1))</f>
        <v>#N/A</v>
      </c>
      <c r="K316" t="e">
        <f>IF($D316=Lookup!$L$6,INDEX(views[object_id],MATCH($E316,views[object_id order],0)),"")</f>
        <v>#N/A</v>
      </c>
      <c r="L316" t="e">
        <f>IF($D316=Lookup!$L$8,INDEX(views[name],MATCH($E316,views[object_id order],0)),"")</f>
        <v>#N/A</v>
      </c>
      <c r="M316" t="e">
        <f>IF($D316=Lookup!$L$9,INDEX(views[icon],MATCH($E316,views[object_id order],0)),"")</f>
        <v>#N/A</v>
      </c>
      <c r="N316" t="e">
        <f>IF(OR(D316=Lookup!$L$11,D316=Lookup!$L$12),INDEX(views[[1]:[25]],MATCH($E316,views[object_id order],0),G316),"")</f>
        <v>#N/A</v>
      </c>
      <c r="O316" t="str">
        <f t="shared" si="13"/>
        <v/>
      </c>
      <c r="P316" s="8" t="e">
        <f>INDEX(Lookup!$M$5:$M$12,MATCH(D316,Lookup!$L$5:$L$12,0))&amp;
K316&amp;L316&amp;M316&amp;N316&amp;
INDEX(Lookup!$N$5:$N$12,MATCH(D316,Lookup!$L$5:$L$12,0))</f>
        <v>#N/A</v>
      </c>
    </row>
    <row r="317" spans="2:16" x14ac:dyDescent="0.45">
      <c r="B317">
        <f t="shared" si="12"/>
        <v>315</v>
      </c>
      <c r="C317" t="e">
        <f t="shared" si="14"/>
        <v>#N/A</v>
      </c>
      <c r="D317" t="e">
        <f>VLOOKUP(C317,Lookup!$K$5:$L$12,2,FALSE)</f>
        <v>#N/A</v>
      </c>
      <c r="E317" t="e">
        <f>IF(D317=Lookup!$L$5,E316+1,E316)</f>
        <v>#N/A</v>
      </c>
      <c r="F317" s="3" t="e">
        <f>INDEX(views[Entities count],MATCH('view-code'!E317,views[object_id order],0))</f>
        <v>#N/A</v>
      </c>
      <c r="G317" t="e">
        <f>IF(D316=Lookup!$L$10,1,IF(D316=Lookup!$L$11,G316+1,""))</f>
        <v>#N/A</v>
      </c>
      <c r="H317" t="e">
        <f>IF(F317=1,IF(D317=Lookup!$L$10,2,1),IF(G317&lt;F317-1,0,1))</f>
        <v>#N/A</v>
      </c>
      <c r="I317" t="e">
        <f>IF(D317&lt;&gt;Lookup!$L$7,0,IF(INDEX(views[name],MATCH(E317,views[object_id order],0))&lt;&gt;"",0,1))</f>
        <v>#N/A</v>
      </c>
      <c r="J317" t="e">
        <f>IF(D317&lt;&gt;Lookup!$L$7,0,IF(INDEX(views[icon],MATCH(E317,views[object_id order],0))&lt;&gt;"",0,1))</f>
        <v>#N/A</v>
      </c>
      <c r="K317" t="e">
        <f>IF($D317=Lookup!$L$6,INDEX(views[object_id],MATCH($E317,views[object_id order],0)),"")</f>
        <v>#N/A</v>
      </c>
      <c r="L317" t="e">
        <f>IF($D317=Lookup!$L$8,INDEX(views[name],MATCH($E317,views[object_id order],0)),"")</f>
        <v>#N/A</v>
      </c>
      <c r="M317" t="e">
        <f>IF($D317=Lookup!$L$9,INDEX(views[icon],MATCH($E317,views[object_id order],0)),"")</f>
        <v>#N/A</v>
      </c>
      <c r="N317" t="e">
        <f>IF(OR(D317=Lookup!$L$11,D317=Lookup!$L$12),INDEX(views[[1]:[25]],MATCH($E317,views[object_id order],0),G317),"")</f>
        <v>#N/A</v>
      </c>
      <c r="O317" t="str">
        <f t="shared" si="13"/>
        <v/>
      </c>
      <c r="P317" s="8" t="e">
        <f>INDEX(Lookup!$M$5:$M$12,MATCH(D317,Lookup!$L$5:$L$12,0))&amp;
K317&amp;L317&amp;M317&amp;N317&amp;
INDEX(Lookup!$N$5:$N$12,MATCH(D317,Lookup!$L$5:$L$12,0))</f>
        <v>#N/A</v>
      </c>
    </row>
    <row r="318" spans="2:16" x14ac:dyDescent="0.45">
      <c r="B318">
        <f t="shared" si="12"/>
        <v>316</v>
      </c>
      <c r="C318" t="e">
        <f t="shared" si="14"/>
        <v>#N/A</v>
      </c>
      <c r="D318" t="e">
        <f>VLOOKUP(C318,Lookup!$K$5:$L$12,2,FALSE)</f>
        <v>#N/A</v>
      </c>
      <c r="E318" t="e">
        <f>IF(D318=Lookup!$L$5,E317+1,E317)</f>
        <v>#N/A</v>
      </c>
      <c r="F318" s="3" t="e">
        <f>INDEX(views[Entities count],MATCH('view-code'!E318,views[object_id order],0))</f>
        <v>#N/A</v>
      </c>
      <c r="G318" t="e">
        <f>IF(D317=Lookup!$L$10,1,IF(D317=Lookup!$L$11,G317+1,""))</f>
        <v>#N/A</v>
      </c>
      <c r="H318" t="e">
        <f>IF(F318=1,IF(D318=Lookup!$L$10,2,1),IF(G318&lt;F318-1,0,1))</f>
        <v>#N/A</v>
      </c>
      <c r="I318" t="e">
        <f>IF(D318&lt;&gt;Lookup!$L$7,0,IF(INDEX(views[name],MATCH(E318,views[object_id order],0))&lt;&gt;"",0,1))</f>
        <v>#N/A</v>
      </c>
      <c r="J318" t="e">
        <f>IF(D318&lt;&gt;Lookup!$L$7,0,IF(INDEX(views[icon],MATCH(E318,views[object_id order],0))&lt;&gt;"",0,1))</f>
        <v>#N/A</v>
      </c>
      <c r="K318" t="e">
        <f>IF($D318=Lookup!$L$6,INDEX(views[object_id],MATCH($E318,views[object_id order],0)),"")</f>
        <v>#N/A</v>
      </c>
      <c r="L318" t="e">
        <f>IF($D318=Lookup!$L$8,INDEX(views[name],MATCH($E318,views[object_id order],0)),"")</f>
        <v>#N/A</v>
      </c>
      <c r="M318" t="e">
        <f>IF($D318=Lookup!$L$9,INDEX(views[icon],MATCH($E318,views[object_id order],0)),"")</f>
        <v>#N/A</v>
      </c>
      <c r="N318" t="e">
        <f>IF(OR(D318=Lookup!$L$11,D318=Lookup!$L$12),INDEX(views[[1]:[25]],MATCH($E318,views[object_id order],0),G318),"")</f>
        <v>#N/A</v>
      </c>
      <c r="O318" t="str">
        <f t="shared" si="13"/>
        <v/>
      </c>
      <c r="P318" s="8" t="e">
        <f>INDEX(Lookup!$M$5:$M$12,MATCH(D318,Lookup!$L$5:$L$12,0))&amp;
K318&amp;L318&amp;M318&amp;N318&amp;
INDEX(Lookup!$N$5:$N$12,MATCH(D318,Lookup!$L$5:$L$12,0))</f>
        <v>#N/A</v>
      </c>
    </row>
    <row r="319" spans="2:16" x14ac:dyDescent="0.45">
      <c r="B319">
        <f t="shared" si="12"/>
        <v>317</v>
      </c>
      <c r="C319" t="e">
        <f t="shared" si="14"/>
        <v>#N/A</v>
      </c>
      <c r="D319" t="e">
        <f>VLOOKUP(C319,Lookup!$K$5:$L$12,2,FALSE)</f>
        <v>#N/A</v>
      </c>
      <c r="E319" t="e">
        <f>IF(D319=Lookup!$L$5,E318+1,E318)</f>
        <v>#N/A</v>
      </c>
      <c r="F319" s="3" t="e">
        <f>INDEX(views[Entities count],MATCH('view-code'!E319,views[object_id order],0))</f>
        <v>#N/A</v>
      </c>
      <c r="G319" t="e">
        <f>IF(D318=Lookup!$L$10,1,IF(D318=Lookup!$L$11,G318+1,""))</f>
        <v>#N/A</v>
      </c>
      <c r="H319" t="e">
        <f>IF(F319=1,IF(D319=Lookup!$L$10,2,1),IF(G319&lt;F319-1,0,1))</f>
        <v>#N/A</v>
      </c>
      <c r="I319" t="e">
        <f>IF(D319&lt;&gt;Lookup!$L$7,0,IF(INDEX(views[name],MATCH(E319,views[object_id order],0))&lt;&gt;"",0,1))</f>
        <v>#N/A</v>
      </c>
      <c r="J319" t="e">
        <f>IF(D319&lt;&gt;Lookup!$L$7,0,IF(INDEX(views[icon],MATCH(E319,views[object_id order],0))&lt;&gt;"",0,1))</f>
        <v>#N/A</v>
      </c>
      <c r="K319" t="e">
        <f>IF($D319=Lookup!$L$6,INDEX(views[object_id],MATCH($E319,views[object_id order],0)),"")</f>
        <v>#N/A</v>
      </c>
      <c r="L319" t="e">
        <f>IF($D319=Lookup!$L$8,INDEX(views[name],MATCH($E319,views[object_id order],0)),"")</f>
        <v>#N/A</v>
      </c>
      <c r="M319" t="e">
        <f>IF($D319=Lookup!$L$9,INDEX(views[icon],MATCH($E319,views[object_id order],0)),"")</f>
        <v>#N/A</v>
      </c>
      <c r="N319" t="e">
        <f>IF(OR(D319=Lookup!$L$11,D319=Lookup!$L$12),INDEX(views[[1]:[25]],MATCH($E319,views[object_id order],0),G319),"")</f>
        <v>#N/A</v>
      </c>
      <c r="O319" t="str">
        <f t="shared" si="13"/>
        <v/>
      </c>
      <c r="P319" s="8" t="e">
        <f>INDEX(Lookup!$M$5:$M$12,MATCH(D319,Lookup!$L$5:$L$12,0))&amp;
K319&amp;L319&amp;M319&amp;N319&amp;
INDEX(Lookup!$N$5:$N$12,MATCH(D319,Lookup!$L$5:$L$12,0))</f>
        <v>#N/A</v>
      </c>
    </row>
    <row r="320" spans="2:16" x14ac:dyDescent="0.45">
      <c r="B320">
        <f t="shared" si="12"/>
        <v>318</v>
      </c>
      <c r="C320" t="e">
        <f t="shared" si="14"/>
        <v>#N/A</v>
      </c>
      <c r="D320" t="e">
        <f>VLOOKUP(C320,Lookup!$K$5:$L$12,2,FALSE)</f>
        <v>#N/A</v>
      </c>
      <c r="E320" t="e">
        <f>IF(D320=Lookup!$L$5,E319+1,E319)</f>
        <v>#N/A</v>
      </c>
      <c r="F320" s="3" t="e">
        <f>INDEX(views[Entities count],MATCH('view-code'!E320,views[object_id order],0))</f>
        <v>#N/A</v>
      </c>
      <c r="G320" t="e">
        <f>IF(D319=Lookup!$L$10,1,IF(D319=Lookup!$L$11,G319+1,""))</f>
        <v>#N/A</v>
      </c>
      <c r="H320" t="e">
        <f>IF(F320=1,IF(D320=Lookup!$L$10,2,1),IF(G320&lt;F320-1,0,1))</f>
        <v>#N/A</v>
      </c>
      <c r="I320" t="e">
        <f>IF(D320&lt;&gt;Lookup!$L$7,0,IF(INDEX(views[name],MATCH(E320,views[object_id order],0))&lt;&gt;"",0,1))</f>
        <v>#N/A</v>
      </c>
      <c r="J320" t="e">
        <f>IF(D320&lt;&gt;Lookup!$L$7,0,IF(INDEX(views[icon],MATCH(E320,views[object_id order],0))&lt;&gt;"",0,1))</f>
        <v>#N/A</v>
      </c>
      <c r="K320" t="e">
        <f>IF($D320=Lookup!$L$6,INDEX(views[object_id],MATCH($E320,views[object_id order],0)),"")</f>
        <v>#N/A</v>
      </c>
      <c r="L320" t="e">
        <f>IF($D320=Lookup!$L$8,INDEX(views[name],MATCH($E320,views[object_id order],0)),"")</f>
        <v>#N/A</v>
      </c>
      <c r="M320" t="e">
        <f>IF($D320=Lookup!$L$9,INDEX(views[icon],MATCH($E320,views[object_id order],0)),"")</f>
        <v>#N/A</v>
      </c>
      <c r="N320" t="e">
        <f>IF(OR(D320=Lookup!$L$11,D320=Lookup!$L$12),INDEX(views[[1]:[25]],MATCH($E320,views[object_id order],0),G320),"")</f>
        <v>#N/A</v>
      </c>
      <c r="O320" t="str">
        <f t="shared" si="13"/>
        <v/>
      </c>
      <c r="P320" s="8" t="e">
        <f>INDEX(Lookup!$M$5:$M$12,MATCH(D320,Lookup!$L$5:$L$12,0))&amp;
K320&amp;L320&amp;M320&amp;N320&amp;
INDEX(Lookup!$N$5:$N$12,MATCH(D320,Lookup!$L$5:$L$12,0))</f>
        <v>#N/A</v>
      </c>
    </row>
    <row r="321" spans="2:16" x14ac:dyDescent="0.45">
      <c r="B321">
        <f t="shared" si="12"/>
        <v>319</v>
      </c>
      <c r="C321" t="e">
        <f t="shared" si="14"/>
        <v>#N/A</v>
      </c>
      <c r="D321" t="e">
        <f>VLOOKUP(C321,Lookup!$K$5:$L$12,2,FALSE)</f>
        <v>#N/A</v>
      </c>
      <c r="E321" t="e">
        <f>IF(D321=Lookup!$L$5,E320+1,E320)</f>
        <v>#N/A</v>
      </c>
      <c r="F321" s="3" t="e">
        <f>INDEX(views[Entities count],MATCH('view-code'!E321,views[object_id order],0))</f>
        <v>#N/A</v>
      </c>
      <c r="G321" t="e">
        <f>IF(D320=Lookup!$L$10,1,IF(D320=Lookup!$L$11,G320+1,""))</f>
        <v>#N/A</v>
      </c>
      <c r="H321" t="e">
        <f>IF(F321=1,IF(D321=Lookup!$L$10,2,1),IF(G321&lt;F321-1,0,1))</f>
        <v>#N/A</v>
      </c>
      <c r="I321" t="e">
        <f>IF(D321&lt;&gt;Lookup!$L$7,0,IF(INDEX(views[name],MATCH(E321,views[object_id order],0))&lt;&gt;"",0,1))</f>
        <v>#N/A</v>
      </c>
      <c r="J321" t="e">
        <f>IF(D321&lt;&gt;Lookup!$L$7,0,IF(INDEX(views[icon],MATCH(E321,views[object_id order],0))&lt;&gt;"",0,1))</f>
        <v>#N/A</v>
      </c>
      <c r="K321" t="e">
        <f>IF($D321=Lookup!$L$6,INDEX(views[object_id],MATCH($E321,views[object_id order],0)),"")</f>
        <v>#N/A</v>
      </c>
      <c r="L321" t="e">
        <f>IF($D321=Lookup!$L$8,INDEX(views[name],MATCH($E321,views[object_id order],0)),"")</f>
        <v>#N/A</v>
      </c>
      <c r="M321" t="e">
        <f>IF($D321=Lookup!$L$9,INDEX(views[icon],MATCH($E321,views[object_id order],0)),"")</f>
        <v>#N/A</v>
      </c>
      <c r="N321" t="e">
        <f>IF(OR(D321=Lookup!$L$11,D321=Lookup!$L$12),INDEX(views[[1]:[25]],MATCH($E321,views[object_id order],0),G321),"")</f>
        <v>#N/A</v>
      </c>
      <c r="O321" t="str">
        <f t="shared" si="13"/>
        <v/>
      </c>
      <c r="P321" s="8" t="e">
        <f>INDEX(Lookup!$M$5:$M$12,MATCH(D321,Lookup!$L$5:$L$12,0))&amp;
K321&amp;L321&amp;M321&amp;N321&amp;
INDEX(Lookup!$N$5:$N$12,MATCH(D321,Lookup!$L$5:$L$12,0))</f>
        <v>#N/A</v>
      </c>
    </row>
    <row r="322" spans="2:16" x14ac:dyDescent="0.45">
      <c r="B322">
        <f t="shared" si="12"/>
        <v>320</v>
      </c>
      <c r="C322" t="e">
        <f t="shared" si="14"/>
        <v>#N/A</v>
      </c>
      <c r="D322" t="e">
        <f>VLOOKUP(C322,Lookup!$K$5:$L$12,2,FALSE)</f>
        <v>#N/A</v>
      </c>
      <c r="E322" t="e">
        <f>IF(D322=Lookup!$L$5,E321+1,E321)</f>
        <v>#N/A</v>
      </c>
      <c r="F322" s="3" t="e">
        <f>INDEX(views[Entities count],MATCH('view-code'!E322,views[object_id order],0))</f>
        <v>#N/A</v>
      </c>
      <c r="G322" t="e">
        <f>IF(D321=Lookup!$L$10,1,IF(D321=Lookup!$L$11,G321+1,""))</f>
        <v>#N/A</v>
      </c>
      <c r="H322" t="e">
        <f>IF(F322=1,IF(D322=Lookup!$L$10,2,1),IF(G322&lt;F322-1,0,1))</f>
        <v>#N/A</v>
      </c>
      <c r="I322" t="e">
        <f>IF(D322&lt;&gt;Lookup!$L$7,0,IF(INDEX(views[name],MATCH(E322,views[object_id order],0))&lt;&gt;"",0,1))</f>
        <v>#N/A</v>
      </c>
      <c r="J322" t="e">
        <f>IF(D322&lt;&gt;Lookup!$L$7,0,IF(INDEX(views[icon],MATCH(E322,views[object_id order],0))&lt;&gt;"",0,1))</f>
        <v>#N/A</v>
      </c>
      <c r="K322" t="e">
        <f>IF($D322=Lookup!$L$6,INDEX(views[object_id],MATCH($E322,views[object_id order],0)),"")</f>
        <v>#N/A</v>
      </c>
      <c r="L322" t="e">
        <f>IF($D322=Lookup!$L$8,INDEX(views[name],MATCH($E322,views[object_id order],0)),"")</f>
        <v>#N/A</v>
      </c>
      <c r="M322" t="e">
        <f>IF($D322=Lookup!$L$9,INDEX(views[icon],MATCH($E322,views[object_id order],0)),"")</f>
        <v>#N/A</v>
      </c>
      <c r="N322" t="e">
        <f>IF(OR(D322=Lookup!$L$11,D322=Lookup!$L$12),INDEX(views[[1]:[25]],MATCH($E322,views[object_id order],0),G322),"")</f>
        <v>#N/A</v>
      </c>
      <c r="O322" t="str">
        <f t="shared" si="13"/>
        <v/>
      </c>
      <c r="P322" s="8" t="e">
        <f>INDEX(Lookup!$M$5:$M$12,MATCH(D322,Lookup!$L$5:$L$12,0))&amp;
K322&amp;L322&amp;M322&amp;N322&amp;
INDEX(Lookup!$N$5:$N$12,MATCH(D322,Lookup!$L$5:$L$12,0))</f>
        <v>#N/A</v>
      </c>
    </row>
    <row r="323" spans="2:16" x14ac:dyDescent="0.45">
      <c r="B323">
        <f t="shared" si="12"/>
        <v>321</v>
      </c>
      <c r="C323" t="e">
        <f t="shared" si="14"/>
        <v>#N/A</v>
      </c>
      <c r="D323" t="e">
        <f>VLOOKUP(C323,Lookup!$K$5:$L$12,2,FALSE)</f>
        <v>#N/A</v>
      </c>
      <c r="E323" t="e">
        <f>IF(D323=Lookup!$L$5,E322+1,E322)</f>
        <v>#N/A</v>
      </c>
      <c r="F323" s="3" t="e">
        <f>INDEX(views[Entities count],MATCH('view-code'!E323,views[object_id order],0))</f>
        <v>#N/A</v>
      </c>
      <c r="G323" t="e">
        <f>IF(D322=Lookup!$L$10,1,IF(D322=Lookup!$L$11,G322+1,""))</f>
        <v>#N/A</v>
      </c>
      <c r="H323" t="e">
        <f>IF(F323=1,IF(D323=Lookup!$L$10,2,1),IF(G323&lt;F323-1,0,1))</f>
        <v>#N/A</v>
      </c>
      <c r="I323" t="e">
        <f>IF(D323&lt;&gt;Lookup!$L$7,0,IF(INDEX(views[name],MATCH(E323,views[object_id order],0))&lt;&gt;"",0,1))</f>
        <v>#N/A</v>
      </c>
      <c r="J323" t="e">
        <f>IF(D323&lt;&gt;Lookup!$L$7,0,IF(INDEX(views[icon],MATCH(E323,views[object_id order],0))&lt;&gt;"",0,1))</f>
        <v>#N/A</v>
      </c>
      <c r="K323" t="e">
        <f>IF($D323=Lookup!$L$6,INDEX(views[object_id],MATCH($E323,views[object_id order],0)),"")</f>
        <v>#N/A</v>
      </c>
      <c r="L323" t="e">
        <f>IF($D323=Lookup!$L$8,INDEX(views[name],MATCH($E323,views[object_id order],0)),"")</f>
        <v>#N/A</v>
      </c>
      <c r="M323" t="e">
        <f>IF($D323=Lookup!$L$9,INDEX(views[icon],MATCH($E323,views[object_id order],0)),"")</f>
        <v>#N/A</v>
      </c>
      <c r="N323" t="e">
        <f>IF(OR(D323=Lookup!$L$11,D323=Lookup!$L$12),INDEX(views[[1]:[25]],MATCH($E323,views[object_id order],0),G323),"")</f>
        <v>#N/A</v>
      </c>
      <c r="O323" t="str">
        <f t="shared" si="13"/>
        <v/>
      </c>
      <c r="P323" s="8" t="e">
        <f>INDEX(Lookup!$M$5:$M$12,MATCH(D323,Lookup!$L$5:$L$12,0))&amp;
K323&amp;L323&amp;M323&amp;N323&amp;
INDEX(Lookup!$N$5:$N$12,MATCH(D323,Lookup!$L$5:$L$12,0))</f>
        <v>#N/A</v>
      </c>
    </row>
    <row r="324" spans="2:16" x14ac:dyDescent="0.45">
      <c r="B324">
        <f t="shared" si="12"/>
        <v>322</v>
      </c>
      <c r="C324" t="e">
        <f t="shared" si="14"/>
        <v>#N/A</v>
      </c>
      <c r="D324" t="e">
        <f>VLOOKUP(C324,Lookup!$K$5:$L$12,2,FALSE)</f>
        <v>#N/A</v>
      </c>
      <c r="E324" t="e">
        <f>IF(D324=Lookup!$L$5,E323+1,E323)</f>
        <v>#N/A</v>
      </c>
      <c r="F324" s="3" t="e">
        <f>INDEX(views[Entities count],MATCH('view-code'!E324,views[object_id order],0))</f>
        <v>#N/A</v>
      </c>
      <c r="G324" t="e">
        <f>IF(D323=Lookup!$L$10,1,IF(D323=Lookup!$L$11,G323+1,""))</f>
        <v>#N/A</v>
      </c>
      <c r="H324" t="e">
        <f>IF(F324=1,IF(D324=Lookup!$L$10,2,1),IF(G324&lt;F324-1,0,1))</f>
        <v>#N/A</v>
      </c>
      <c r="I324" t="e">
        <f>IF(D324&lt;&gt;Lookup!$L$7,0,IF(INDEX(views[name],MATCH(E324,views[object_id order],0))&lt;&gt;"",0,1))</f>
        <v>#N/A</v>
      </c>
      <c r="J324" t="e">
        <f>IF(D324&lt;&gt;Lookup!$L$7,0,IF(INDEX(views[icon],MATCH(E324,views[object_id order],0))&lt;&gt;"",0,1))</f>
        <v>#N/A</v>
      </c>
      <c r="K324" t="e">
        <f>IF($D324=Lookup!$L$6,INDEX(views[object_id],MATCH($E324,views[object_id order],0)),"")</f>
        <v>#N/A</v>
      </c>
      <c r="L324" t="e">
        <f>IF($D324=Lookup!$L$8,INDEX(views[name],MATCH($E324,views[object_id order],0)),"")</f>
        <v>#N/A</v>
      </c>
      <c r="M324" t="e">
        <f>IF($D324=Lookup!$L$9,INDEX(views[icon],MATCH($E324,views[object_id order],0)),"")</f>
        <v>#N/A</v>
      </c>
      <c r="N324" t="e">
        <f>IF(OR(D324=Lookup!$L$11,D324=Lookup!$L$12),INDEX(views[[1]:[25]],MATCH($E324,views[object_id order],0),G324),"")</f>
        <v>#N/A</v>
      </c>
      <c r="O324" t="str">
        <f t="shared" si="13"/>
        <v/>
      </c>
      <c r="P324" s="8" t="e">
        <f>INDEX(Lookup!$M$5:$M$12,MATCH(D324,Lookup!$L$5:$L$12,0))&amp;
K324&amp;L324&amp;M324&amp;N324&amp;
INDEX(Lookup!$N$5:$N$12,MATCH(D324,Lookup!$L$5:$L$12,0))</f>
        <v>#N/A</v>
      </c>
    </row>
    <row r="325" spans="2:16" x14ac:dyDescent="0.45">
      <c r="B325">
        <f t="shared" ref="B325:B388" si="15">B324+1</f>
        <v>323</v>
      </c>
      <c r="C325" t="e">
        <f t="shared" si="14"/>
        <v>#N/A</v>
      </c>
      <c r="D325" t="e">
        <f>VLOOKUP(C325,Lookup!$K$5:$L$12,2,FALSE)</f>
        <v>#N/A</v>
      </c>
      <c r="E325" t="e">
        <f>IF(D325=Lookup!$L$5,E324+1,E324)</f>
        <v>#N/A</v>
      </c>
      <c r="F325" s="3" t="e">
        <f>INDEX(views[Entities count],MATCH('view-code'!E325,views[object_id order],0))</f>
        <v>#N/A</v>
      </c>
      <c r="G325" t="e">
        <f>IF(D324=Lookup!$L$10,1,IF(D324=Lookup!$L$11,G324+1,""))</f>
        <v>#N/A</v>
      </c>
      <c r="H325" t="e">
        <f>IF(F325=1,IF(D325=Lookup!$L$10,2,1),IF(G325&lt;F325-1,0,1))</f>
        <v>#N/A</v>
      </c>
      <c r="I325" t="e">
        <f>IF(D325&lt;&gt;Lookup!$L$7,0,IF(INDEX(views[name],MATCH(E325,views[object_id order],0))&lt;&gt;"",0,1))</f>
        <v>#N/A</v>
      </c>
      <c r="J325" t="e">
        <f>IF(D325&lt;&gt;Lookup!$L$7,0,IF(INDEX(views[icon],MATCH(E325,views[object_id order],0))&lt;&gt;"",0,1))</f>
        <v>#N/A</v>
      </c>
      <c r="K325" t="e">
        <f>IF($D325=Lookup!$L$6,INDEX(views[object_id],MATCH($E325,views[object_id order],0)),"")</f>
        <v>#N/A</v>
      </c>
      <c r="L325" t="e">
        <f>IF($D325=Lookup!$L$8,INDEX(views[name],MATCH($E325,views[object_id order],0)),"")</f>
        <v>#N/A</v>
      </c>
      <c r="M325" t="e">
        <f>IF($D325=Lookup!$L$9,INDEX(views[icon],MATCH($E325,views[object_id order],0)),"")</f>
        <v>#N/A</v>
      </c>
      <c r="N325" t="e">
        <f>IF(OR(D325=Lookup!$L$11,D325=Lookup!$L$12),INDEX(views[[1]:[25]],MATCH($E325,views[object_id order],0),G325),"")</f>
        <v>#N/A</v>
      </c>
      <c r="O325" t="str">
        <f t="shared" ref="O325:O388" si="16">IF(AND(NOT(ISNA(F324)),ISNA(F325)),"END","")</f>
        <v/>
      </c>
      <c r="P325" s="8" t="e">
        <f>INDEX(Lookup!$M$5:$M$12,MATCH(D325,Lookup!$L$5:$L$12,0))&amp;
K325&amp;L325&amp;M325&amp;N325&amp;
INDEX(Lookup!$N$5:$N$12,MATCH(D325,Lookup!$L$5:$L$12,0))</f>
        <v>#N/A</v>
      </c>
    </row>
    <row r="326" spans="2:16" x14ac:dyDescent="0.45">
      <c r="B326">
        <f t="shared" si="15"/>
        <v>324</v>
      </c>
      <c r="C326" t="e">
        <f t="shared" si="14"/>
        <v>#N/A</v>
      </c>
      <c r="D326" t="e">
        <f>VLOOKUP(C326,Lookup!$K$5:$L$12,2,FALSE)</f>
        <v>#N/A</v>
      </c>
      <c r="E326" t="e">
        <f>IF(D326=Lookup!$L$5,E325+1,E325)</f>
        <v>#N/A</v>
      </c>
      <c r="F326" s="3" t="e">
        <f>INDEX(views[Entities count],MATCH('view-code'!E326,views[object_id order],0))</f>
        <v>#N/A</v>
      </c>
      <c r="G326" t="e">
        <f>IF(D325=Lookup!$L$10,1,IF(D325=Lookup!$L$11,G325+1,""))</f>
        <v>#N/A</v>
      </c>
      <c r="H326" t="e">
        <f>IF(F326=1,IF(D326=Lookup!$L$10,2,1),IF(G326&lt;F326-1,0,1))</f>
        <v>#N/A</v>
      </c>
      <c r="I326" t="e">
        <f>IF(D326&lt;&gt;Lookup!$L$7,0,IF(INDEX(views[name],MATCH(E326,views[object_id order],0))&lt;&gt;"",0,1))</f>
        <v>#N/A</v>
      </c>
      <c r="J326" t="e">
        <f>IF(D326&lt;&gt;Lookup!$L$7,0,IF(INDEX(views[icon],MATCH(E326,views[object_id order],0))&lt;&gt;"",0,1))</f>
        <v>#N/A</v>
      </c>
      <c r="K326" t="e">
        <f>IF($D326=Lookup!$L$6,INDEX(views[object_id],MATCH($E326,views[object_id order],0)),"")</f>
        <v>#N/A</v>
      </c>
      <c r="L326" t="e">
        <f>IF($D326=Lookup!$L$8,INDEX(views[name],MATCH($E326,views[object_id order],0)),"")</f>
        <v>#N/A</v>
      </c>
      <c r="M326" t="e">
        <f>IF($D326=Lookup!$L$9,INDEX(views[icon],MATCH($E326,views[object_id order],0)),"")</f>
        <v>#N/A</v>
      </c>
      <c r="N326" t="e">
        <f>IF(OR(D326=Lookup!$L$11,D326=Lookup!$L$12),INDEX(views[[1]:[25]],MATCH($E326,views[object_id order],0),G326),"")</f>
        <v>#N/A</v>
      </c>
      <c r="O326" t="str">
        <f t="shared" si="16"/>
        <v/>
      </c>
      <c r="P326" s="8" t="e">
        <f>INDEX(Lookup!$M$5:$M$12,MATCH(D326,Lookup!$L$5:$L$12,0))&amp;
K326&amp;L326&amp;M326&amp;N326&amp;
INDEX(Lookup!$N$5:$N$12,MATCH(D326,Lookup!$L$5:$L$12,0))</f>
        <v>#N/A</v>
      </c>
    </row>
    <row r="327" spans="2:16" x14ac:dyDescent="0.45">
      <c r="B327">
        <f t="shared" si="15"/>
        <v>325</v>
      </c>
      <c r="C327" t="e">
        <f t="shared" ref="C327:C390" si="17">IF(C326=8,  1,  C326+SUM(H326:J326)  )</f>
        <v>#N/A</v>
      </c>
      <c r="D327" t="e">
        <f>VLOOKUP(C327,Lookup!$K$5:$L$12,2,FALSE)</f>
        <v>#N/A</v>
      </c>
      <c r="E327" t="e">
        <f>IF(D327=Lookup!$L$5,E326+1,E326)</f>
        <v>#N/A</v>
      </c>
      <c r="F327" s="3" t="e">
        <f>INDEX(views[Entities count],MATCH('view-code'!E327,views[object_id order],0))</f>
        <v>#N/A</v>
      </c>
      <c r="G327" t="e">
        <f>IF(D326=Lookup!$L$10,1,IF(D326=Lookup!$L$11,G326+1,""))</f>
        <v>#N/A</v>
      </c>
      <c r="H327" t="e">
        <f>IF(F327=1,IF(D327=Lookup!$L$10,2,1),IF(G327&lt;F327-1,0,1))</f>
        <v>#N/A</v>
      </c>
      <c r="I327" t="e">
        <f>IF(D327&lt;&gt;Lookup!$L$7,0,IF(INDEX(views[name],MATCH(E327,views[object_id order],0))&lt;&gt;"",0,1))</f>
        <v>#N/A</v>
      </c>
      <c r="J327" t="e">
        <f>IF(D327&lt;&gt;Lookup!$L$7,0,IF(INDEX(views[icon],MATCH(E327,views[object_id order],0))&lt;&gt;"",0,1))</f>
        <v>#N/A</v>
      </c>
      <c r="K327" t="e">
        <f>IF($D327=Lookup!$L$6,INDEX(views[object_id],MATCH($E327,views[object_id order],0)),"")</f>
        <v>#N/A</v>
      </c>
      <c r="L327" t="e">
        <f>IF($D327=Lookup!$L$8,INDEX(views[name],MATCH($E327,views[object_id order],0)),"")</f>
        <v>#N/A</v>
      </c>
      <c r="M327" t="e">
        <f>IF($D327=Lookup!$L$9,INDEX(views[icon],MATCH($E327,views[object_id order],0)),"")</f>
        <v>#N/A</v>
      </c>
      <c r="N327" t="e">
        <f>IF(OR(D327=Lookup!$L$11,D327=Lookup!$L$12),INDEX(views[[1]:[25]],MATCH($E327,views[object_id order],0),G327),"")</f>
        <v>#N/A</v>
      </c>
      <c r="O327" t="str">
        <f t="shared" si="16"/>
        <v/>
      </c>
      <c r="P327" s="8" t="e">
        <f>INDEX(Lookup!$M$5:$M$12,MATCH(D327,Lookup!$L$5:$L$12,0))&amp;
K327&amp;L327&amp;M327&amp;N327&amp;
INDEX(Lookup!$N$5:$N$12,MATCH(D327,Lookup!$L$5:$L$12,0))</f>
        <v>#N/A</v>
      </c>
    </row>
    <row r="328" spans="2:16" x14ac:dyDescent="0.45">
      <c r="B328">
        <f t="shared" si="15"/>
        <v>326</v>
      </c>
      <c r="C328" t="e">
        <f t="shared" si="17"/>
        <v>#N/A</v>
      </c>
      <c r="D328" t="e">
        <f>VLOOKUP(C328,Lookup!$K$5:$L$12,2,FALSE)</f>
        <v>#N/A</v>
      </c>
      <c r="E328" t="e">
        <f>IF(D328=Lookup!$L$5,E327+1,E327)</f>
        <v>#N/A</v>
      </c>
      <c r="F328" s="3" t="e">
        <f>INDEX(views[Entities count],MATCH('view-code'!E328,views[object_id order],0))</f>
        <v>#N/A</v>
      </c>
      <c r="G328" t="e">
        <f>IF(D327=Lookup!$L$10,1,IF(D327=Lookup!$L$11,G327+1,""))</f>
        <v>#N/A</v>
      </c>
      <c r="H328" t="e">
        <f>IF(F328=1,IF(D328=Lookup!$L$10,2,1),IF(G328&lt;F328-1,0,1))</f>
        <v>#N/A</v>
      </c>
      <c r="I328" t="e">
        <f>IF(D328&lt;&gt;Lookup!$L$7,0,IF(INDEX(views[name],MATCH(E328,views[object_id order],0))&lt;&gt;"",0,1))</f>
        <v>#N/A</v>
      </c>
      <c r="J328" t="e">
        <f>IF(D328&lt;&gt;Lookup!$L$7,0,IF(INDEX(views[icon],MATCH(E328,views[object_id order],0))&lt;&gt;"",0,1))</f>
        <v>#N/A</v>
      </c>
      <c r="K328" t="e">
        <f>IF($D328=Lookup!$L$6,INDEX(views[object_id],MATCH($E328,views[object_id order],0)),"")</f>
        <v>#N/A</v>
      </c>
      <c r="L328" t="e">
        <f>IF($D328=Lookup!$L$8,INDEX(views[name],MATCH($E328,views[object_id order],0)),"")</f>
        <v>#N/A</v>
      </c>
      <c r="M328" t="e">
        <f>IF($D328=Lookup!$L$9,INDEX(views[icon],MATCH($E328,views[object_id order],0)),"")</f>
        <v>#N/A</v>
      </c>
      <c r="N328" t="e">
        <f>IF(OR(D328=Lookup!$L$11,D328=Lookup!$L$12),INDEX(views[[1]:[25]],MATCH($E328,views[object_id order],0),G328),"")</f>
        <v>#N/A</v>
      </c>
      <c r="O328" t="str">
        <f t="shared" si="16"/>
        <v/>
      </c>
      <c r="P328" s="8" t="e">
        <f>INDEX(Lookup!$M$5:$M$12,MATCH(D328,Lookup!$L$5:$L$12,0))&amp;
K328&amp;L328&amp;M328&amp;N328&amp;
INDEX(Lookup!$N$5:$N$12,MATCH(D328,Lookup!$L$5:$L$12,0))</f>
        <v>#N/A</v>
      </c>
    </row>
    <row r="329" spans="2:16" x14ac:dyDescent="0.45">
      <c r="B329">
        <f t="shared" si="15"/>
        <v>327</v>
      </c>
      <c r="C329" t="e">
        <f t="shared" si="17"/>
        <v>#N/A</v>
      </c>
      <c r="D329" t="e">
        <f>VLOOKUP(C329,Lookup!$K$5:$L$12,2,FALSE)</f>
        <v>#N/A</v>
      </c>
      <c r="E329" t="e">
        <f>IF(D329=Lookup!$L$5,E328+1,E328)</f>
        <v>#N/A</v>
      </c>
      <c r="F329" s="3" t="e">
        <f>INDEX(views[Entities count],MATCH('view-code'!E329,views[object_id order],0))</f>
        <v>#N/A</v>
      </c>
      <c r="G329" t="e">
        <f>IF(D328=Lookup!$L$10,1,IF(D328=Lookup!$L$11,G328+1,""))</f>
        <v>#N/A</v>
      </c>
      <c r="H329" t="e">
        <f>IF(F329=1,IF(D329=Lookup!$L$10,2,1),IF(G329&lt;F329-1,0,1))</f>
        <v>#N/A</v>
      </c>
      <c r="I329" t="e">
        <f>IF(D329&lt;&gt;Lookup!$L$7,0,IF(INDEX(views[name],MATCH(E329,views[object_id order],0))&lt;&gt;"",0,1))</f>
        <v>#N/A</v>
      </c>
      <c r="J329" t="e">
        <f>IF(D329&lt;&gt;Lookup!$L$7,0,IF(INDEX(views[icon],MATCH(E329,views[object_id order],0))&lt;&gt;"",0,1))</f>
        <v>#N/A</v>
      </c>
      <c r="K329" t="e">
        <f>IF($D329=Lookup!$L$6,INDEX(views[object_id],MATCH($E329,views[object_id order],0)),"")</f>
        <v>#N/A</v>
      </c>
      <c r="L329" t="e">
        <f>IF($D329=Lookup!$L$8,INDEX(views[name],MATCH($E329,views[object_id order],0)),"")</f>
        <v>#N/A</v>
      </c>
      <c r="M329" t="e">
        <f>IF($D329=Lookup!$L$9,INDEX(views[icon],MATCH($E329,views[object_id order],0)),"")</f>
        <v>#N/A</v>
      </c>
      <c r="N329" t="e">
        <f>IF(OR(D329=Lookup!$L$11,D329=Lookup!$L$12),INDEX(views[[1]:[25]],MATCH($E329,views[object_id order],0),G329),"")</f>
        <v>#N/A</v>
      </c>
      <c r="O329" t="str">
        <f t="shared" si="16"/>
        <v/>
      </c>
      <c r="P329" s="8" t="e">
        <f>INDEX(Lookup!$M$5:$M$12,MATCH(D329,Lookup!$L$5:$L$12,0))&amp;
K329&amp;L329&amp;M329&amp;N329&amp;
INDEX(Lookup!$N$5:$N$12,MATCH(D329,Lookup!$L$5:$L$12,0))</f>
        <v>#N/A</v>
      </c>
    </row>
    <row r="330" spans="2:16" x14ac:dyDescent="0.45">
      <c r="B330">
        <f t="shared" si="15"/>
        <v>328</v>
      </c>
      <c r="C330" t="e">
        <f t="shared" si="17"/>
        <v>#N/A</v>
      </c>
      <c r="D330" t="e">
        <f>VLOOKUP(C330,Lookup!$K$5:$L$12,2,FALSE)</f>
        <v>#N/A</v>
      </c>
      <c r="E330" t="e">
        <f>IF(D330=Lookup!$L$5,E329+1,E329)</f>
        <v>#N/A</v>
      </c>
      <c r="F330" s="3" t="e">
        <f>INDEX(views[Entities count],MATCH('view-code'!E330,views[object_id order],0))</f>
        <v>#N/A</v>
      </c>
      <c r="G330" t="e">
        <f>IF(D329=Lookup!$L$10,1,IF(D329=Lookup!$L$11,G329+1,""))</f>
        <v>#N/A</v>
      </c>
      <c r="H330" t="e">
        <f>IF(F330=1,IF(D330=Lookup!$L$10,2,1),IF(G330&lt;F330-1,0,1))</f>
        <v>#N/A</v>
      </c>
      <c r="I330" t="e">
        <f>IF(D330&lt;&gt;Lookup!$L$7,0,IF(INDEX(views[name],MATCH(E330,views[object_id order],0))&lt;&gt;"",0,1))</f>
        <v>#N/A</v>
      </c>
      <c r="J330" t="e">
        <f>IF(D330&lt;&gt;Lookup!$L$7,0,IF(INDEX(views[icon],MATCH(E330,views[object_id order],0))&lt;&gt;"",0,1))</f>
        <v>#N/A</v>
      </c>
      <c r="K330" t="e">
        <f>IF($D330=Lookup!$L$6,INDEX(views[object_id],MATCH($E330,views[object_id order],0)),"")</f>
        <v>#N/A</v>
      </c>
      <c r="L330" t="e">
        <f>IF($D330=Lookup!$L$8,INDEX(views[name],MATCH($E330,views[object_id order],0)),"")</f>
        <v>#N/A</v>
      </c>
      <c r="M330" t="e">
        <f>IF($D330=Lookup!$L$9,INDEX(views[icon],MATCH($E330,views[object_id order],0)),"")</f>
        <v>#N/A</v>
      </c>
      <c r="N330" t="e">
        <f>IF(OR(D330=Lookup!$L$11,D330=Lookup!$L$12),INDEX(views[[1]:[25]],MATCH($E330,views[object_id order],0),G330),"")</f>
        <v>#N/A</v>
      </c>
      <c r="O330" t="str">
        <f t="shared" si="16"/>
        <v/>
      </c>
      <c r="P330" s="8" t="e">
        <f>INDEX(Lookup!$M$5:$M$12,MATCH(D330,Lookup!$L$5:$L$12,0))&amp;
K330&amp;L330&amp;M330&amp;N330&amp;
INDEX(Lookup!$N$5:$N$12,MATCH(D330,Lookup!$L$5:$L$12,0))</f>
        <v>#N/A</v>
      </c>
    </row>
    <row r="331" spans="2:16" x14ac:dyDescent="0.45">
      <c r="B331">
        <f t="shared" si="15"/>
        <v>329</v>
      </c>
      <c r="C331" t="e">
        <f t="shared" si="17"/>
        <v>#N/A</v>
      </c>
      <c r="D331" t="e">
        <f>VLOOKUP(C331,Lookup!$K$5:$L$12,2,FALSE)</f>
        <v>#N/A</v>
      </c>
      <c r="E331" t="e">
        <f>IF(D331=Lookup!$L$5,E330+1,E330)</f>
        <v>#N/A</v>
      </c>
      <c r="F331" s="3" t="e">
        <f>INDEX(views[Entities count],MATCH('view-code'!E331,views[object_id order],0))</f>
        <v>#N/A</v>
      </c>
      <c r="G331" t="e">
        <f>IF(D330=Lookup!$L$10,1,IF(D330=Lookup!$L$11,G330+1,""))</f>
        <v>#N/A</v>
      </c>
      <c r="H331" t="e">
        <f>IF(F331=1,IF(D331=Lookup!$L$10,2,1),IF(G331&lt;F331-1,0,1))</f>
        <v>#N/A</v>
      </c>
      <c r="I331" t="e">
        <f>IF(D331&lt;&gt;Lookup!$L$7,0,IF(INDEX(views[name],MATCH(E331,views[object_id order],0))&lt;&gt;"",0,1))</f>
        <v>#N/A</v>
      </c>
      <c r="J331" t="e">
        <f>IF(D331&lt;&gt;Lookup!$L$7,0,IF(INDEX(views[icon],MATCH(E331,views[object_id order],0))&lt;&gt;"",0,1))</f>
        <v>#N/A</v>
      </c>
      <c r="K331" t="e">
        <f>IF($D331=Lookup!$L$6,INDEX(views[object_id],MATCH($E331,views[object_id order],0)),"")</f>
        <v>#N/A</v>
      </c>
      <c r="L331" t="e">
        <f>IF($D331=Lookup!$L$8,INDEX(views[name],MATCH($E331,views[object_id order],0)),"")</f>
        <v>#N/A</v>
      </c>
      <c r="M331" t="e">
        <f>IF($D331=Lookup!$L$9,INDEX(views[icon],MATCH($E331,views[object_id order],0)),"")</f>
        <v>#N/A</v>
      </c>
      <c r="N331" t="e">
        <f>IF(OR(D331=Lookup!$L$11,D331=Lookup!$L$12),INDEX(views[[1]:[25]],MATCH($E331,views[object_id order],0),G331),"")</f>
        <v>#N/A</v>
      </c>
      <c r="O331" t="str">
        <f t="shared" si="16"/>
        <v/>
      </c>
      <c r="P331" s="8" t="e">
        <f>INDEX(Lookup!$M$5:$M$12,MATCH(D331,Lookup!$L$5:$L$12,0))&amp;
K331&amp;L331&amp;M331&amp;N331&amp;
INDEX(Lookup!$N$5:$N$12,MATCH(D331,Lookup!$L$5:$L$12,0))</f>
        <v>#N/A</v>
      </c>
    </row>
    <row r="332" spans="2:16" x14ac:dyDescent="0.45">
      <c r="B332">
        <f t="shared" si="15"/>
        <v>330</v>
      </c>
      <c r="C332" t="e">
        <f t="shared" si="17"/>
        <v>#N/A</v>
      </c>
      <c r="D332" t="e">
        <f>VLOOKUP(C332,Lookup!$K$5:$L$12,2,FALSE)</f>
        <v>#N/A</v>
      </c>
      <c r="E332" t="e">
        <f>IF(D332=Lookup!$L$5,E331+1,E331)</f>
        <v>#N/A</v>
      </c>
      <c r="F332" s="3" t="e">
        <f>INDEX(views[Entities count],MATCH('view-code'!E332,views[object_id order],0))</f>
        <v>#N/A</v>
      </c>
      <c r="G332" t="e">
        <f>IF(D331=Lookup!$L$10,1,IF(D331=Lookup!$L$11,G331+1,""))</f>
        <v>#N/A</v>
      </c>
      <c r="H332" t="e">
        <f>IF(F332=1,IF(D332=Lookup!$L$10,2,1),IF(G332&lt;F332-1,0,1))</f>
        <v>#N/A</v>
      </c>
      <c r="I332" t="e">
        <f>IF(D332&lt;&gt;Lookup!$L$7,0,IF(INDEX(views[name],MATCH(E332,views[object_id order],0))&lt;&gt;"",0,1))</f>
        <v>#N/A</v>
      </c>
      <c r="J332" t="e">
        <f>IF(D332&lt;&gt;Lookup!$L$7,0,IF(INDEX(views[icon],MATCH(E332,views[object_id order],0))&lt;&gt;"",0,1))</f>
        <v>#N/A</v>
      </c>
      <c r="K332" t="e">
        <f>IF($D332=Lookup!$L$6,INDEX(views[object_id],MATCH($E332,views[object_id order],0)),"")</f>
        <v>#N/A</v>
      </c>
      <c r="L332" t="e">
        <f>IF($D332=Lookup!$L$8,INDEX(views[name],MATCH($E332,views[object_id order],0)),"")</f>
        <v>#N/A</v>
      </c>
      <c r="M332" t="e">
        <f>IF($D332=Lookup!$L$9,INDEX(views[icon],MATCH($E332,views[object_id order],0)),"")</f>
        <v>#N/A</v>
      </c>
      <c r="N332" t="e">
        <f>IF(OR(D332=Lookup!$L$11,D332=Lookup!$L$12),INDEX(views[[1]:[25]],MATCH($E332,views[object_id order],0),G332),"")</f>
        <v>#N/A</v>
      </c>
      <c r="O332" t="str">
        <f t="shared" si="16"/>
        <v/>
      </c>
      <c r="P332" s="8" t="e">
        <f>INDEX(Lookup!$M$5:$M$12,MATCH(D332,Lookup!$L$5:$L$12,0))&amp;
K332&amp;L332&amp;M332&amp;N332&amp;
INDEX(Lookup!$N$5:$N$12,MATCH(D332,Lookup!$L$5:$L$12,0))</f>
        <v>#N/A</v>
      </c>
    </row>
    <row r="333" spans="2:16" x14ac:dyDescent="0.45">
      <c r="B333">
        <f t="shared" si="15"/>
        <v>331</v>
      </c>
      <c r="C333" t="e">
        <f t="shared" si="17"/>
        <v>#N/A</v>
      </c>
      <c r="D333" t="e">
        <f>VLOOKUP(C333,Lookup!$K$5:$L$12,2,FALSE)</f>
        <v>#N/A</v>
      </c>
      <c r="E333" t="e">
        <f>IF(D333=Lookup!$L$5,E332+1,E332)</f>
        <v>#N/A</v>
      </c>
      <c r="F333" s="3" t="e">
        <f>INDEX(views[Entities count],MATCH('view-code'!E333,views[object_id order],0))</f>
        <v>#N/A</v>
      </c>
      <c r="G333" t="e">
        <f>IF(D332=Lookup!$L$10,1,IF(D332=Lookup!$L$11,G332+1,""))</f>
        <v>#N/A</v>
      </c>
      <c r="H333" t="e">
        <f>IF(F333=1,IF(D333=Lookup!$L$10,2,1),IF(G333&lt;F333-1,0,1))</f>
        <v>#N/A</v>
      </c>
      <c r="I333" t="e">
        <f>IF(D333&lt;&gt;Lookup!$L$7,0,IF(INDEX(views[name],MATCH(E333,views[object_id order],0))&lt;&gt;"",0,1))</f>
        <v>#N/A</v>
      </c>
      <c r="J333" t="e">
        <f>IF(D333&lt;&gt;Lookup!$L$7,0,IF(INDEX(views[icon],MATCH(E333,views[object_id order],0))&lt;&gt;"",0,1))</f>
        <v>#N/A</v>
      </c>
      <c r="K333" t="e">
        <f>IF($D333=Lookup!$L$6,INDEX(views[object_id],MATCH($E333,views[object_id order],0)),"")</f>
        <v>#N/A</v>
      </c>
      <c r="L333" t="e">
        <f>IF($D333=Lookup!$L$8,INDEX(views[name],MATCH($E333,views[object_id order],0)),"")</f>
        <v>#N/A</v>
      </c>
      <c r="M333" t="e">
        <f>IF($D333=Lookup!$L$9,INDEX(views[icon],MATCH($E333,views[object_id order],0)),"")</f>
        <v>#N/A</v>
      </c>
      <c r="N333" t="e">
        <f>IF(OR(D333=Lookup!$L$11,D333=Lookup!$L$12),INDEX(views[[1]:[25]],MATCH($E333,views[object_id order],0),G333),"")</f>
        <v>#N/A</v>
      </c>
      <c r="O333" t="str">
        <f t="shared" si="16"/>
        <v/>
      </c>
      <c r="P333" s="8" t="e">
        <f>INDEX(Lookup!$M$5:$M$12,MATCH(D333,Lookup!$L$5:$L$12,0))&amp;
K333&amp;L333&amp;M333&amp;N333&amp;
INDEX(Lookup!$N$5:$N$12,MATCH(D333,Lookup!$L$5:$L$12,0))</f>
        <v>#N/A</v>
      </c>
    </row>
    <row r="334" spans="2:16" x14ac:dyDescent="0.45">
      <c r="B334">
        <f t="shared" si="15"/>
        <v>332</v>
      </c>
      <c r="C334" t="e">
        <f t="shared" si="17"/>
        <v>#N/A</v>
      </c>
      <c r="D334" t="e">
        <f>VLOOKUP(C334,Lookup!$K$5:$L$12,2,FALSE)</f>
        <v>#N/A</v>
      </c>
      <c r="E334" t="e">
        <f>IF(D334=Lookup!$L$5,E333+1,E333)</f>
        <v>#N/A</v>
      </c>
      <c r="F334" s="3" t="e">
        <f>INDEX(views[Entities count],MATCH('view-code'!E334,views[object_id order],0))</f>
        <v>#N/A</v>
      </c>
      <c r="G334" t="e">
        <f>IF(D333=Lookup!$L$10,1,IF(D333=Lookup!$L$11,G333+1,""))</f>
        <v>#N/A</v>
      </c>
      <c r="H334" t="e">
        <f>IF(F334=1,IF(D334=Lookup!$L$10,2,1),IF(G334&lt;F334-1,0,1))</f>
        <v>#N/A</v>
      </c>
      <c r="I334" t="e">
        <f>IF(D334&lt;&gt;Lookup!$L$7,0,IF(INDEX(views[name],MATCH(E334,views[object_id order],0))&lt;&gt;"",0,1))</f>
        <v>#N/A</v>
      </c>
      <c r="J334" t="e">
        <f>IF(D334&lt;&gt;Lookup!$L$7,0,IF(INDEX(views[icon],MATCH(E334,views[object_id order],0))&lt;&gt;"",0,1))</f>
        <v>#N/A</v>
      </c>
      <c r="K334" t="e">
        <f>IF($D334=Lookup!$L$6,INDEX(views[object_id],MATCH($E334,views[object_id order],0)),"")</f>
        <v>#N/A</v>
      </c>
      <c r="L334" t="e">
        <f>IF($D334=Lookup!$L$8,INDEX(views[name],MATCH($E334,views[object_id order],0)),"")</f>
        <v>#N/A</v>
      </c>
      <c r="M334" t="e">
        <f>IF($D334=Lookup!$L$9,INDEX(views[icon],MATCH($E334,views[object_id order],0)),"")</f>
        <v>#N/A</v>
      </c>
      <c r="N334" t="e">
        <f>IF(OR(D334=Lookup!$L$11,D334=Lookup!$L$12),INDEX(views[[1]:[25]],MATCH($E334,views[object_id order],0),G334),"")</f>
        <v>#N/A</v>
      </c>
      <c r="O334" t="str">
        <f t="shared" si="16"/>
        <v/>
      </c>
      <c r="P334" s="8" t="e">
        <f>INDEX(Lookup!$M$5:$M$12,MATCH(D334,Lookup!$L$5:$L$12,0))&amp;
K334&amp;L334&amp;M334&amp;N334&amp;
INDEX(Lookup!$N$5:$N$12,MATCH(D334,Lookup!$L$5:$L$12,0))</f>
        <v>#N/A</v>
      </c>
    </row>
    <row r="335" spans="2:16" x14ac:dyDescent="0.45">
      <c r="B335">
        <f t="shared" si="15"/>
        <v>333</v>
      </c>
      <c r="C335" t="e">
        <f t="shared" si="17"/>
        <v>#N/A</v>
      </c>
      <c r="D335" t="e">
        <f>VLOOKUP(C335,Lookup!$K$5:$L$12,2,FALSE)</f>
        <v>#N/A</v>
      </c>
      <c r="E335" t="e">
        <f>IF(D335=Lookup!$L$5,E334+1,E334)</f>
        <v>#N/A</v>
      </c>
      <c r="F335" s="3" t="e">
        <f>INDEX(views[Entities count],MATCH('view-code'!E335,views[object_id order],0))</f>
        <v>#N/A</v>
      </c>
      <c r="G335" t="e">
        <f>IF(D334=Lookup!$L$10,1,IF(D334=Lookup!$L$11,G334+1,""))</f>
        <v>#N/A</v>
      </c>
      <c r="H335" t="e">
        <f>IF(F335=1,IF(D335=Lookup!$L$10,2,1),IF(G335&lt;F335-1,0,1))</f>
        <v>#N/A</v>
      </c>
      <c r="I335" t="e">
        <f>IF(D335&lt;&gt;Lookup!$L$7,0,IF(INDEX(views[name],MATCH(E335,views[object_id order],0))&lt;&gt;"",0,1))</f>
        <v>#N/A</v>
      </c>
      <c r="J335" t="e">
        <f>IF(D335&lt;&gt;Lookup!$L$7,0,IF(INDEX(views[icon],MATCH(E335,views[object_id order],0))&lt;&gt;"",0,1))</f>
        <v>#N/A</v>
      </c>
      <c r="K335" t="e">
        <f>IF($D335=Lookup!$L$6,INDEX(views[object_id],MATCH($E335,views[object_id order],0)),"")</f>
        <v>#N/A</v>
      </c>
      <c r="L335" t="e">
        <f>IF($D335=Lookup!$L$8,INDEX(views[name],MATCH($E335,views[object_id order],0)),"")</f>
        <v>#N/A</v>
      </c>
      <c r="M335" t="e">
        <f>IF($D335=Lookup!$L$9,INDEX(views[icon],MATCH($E335,views[object_id order],0)),"")</f>
        <v>#N/A</v>
      </c>
      <c r="N335" t="e">
        <f>IF(OR(D335=Lookup!$L$11,D335=Lookup!$L$12),INDEX(views[[1]:[25]],MATCH($E335,views[object_id order],0),G335),"")</f>
        <v>#N/A</v>
      </c>
      <c r="O335" t="str">
        <f t="shared" si="16"/>
        <v/>
      </c>
      <c r="P335" s="8" t="e">
        <f>INDEX(Lookup!$M$5:$M$12,MATCH(D335,Lookup!$L$5:$L$12,0))&amp;
K335&amp;L335&amp;M335&amp;N335&amp;
INDEX(Lookup!$N$5:$N$12,MATCH(D335,Lookup!$L$5:$L$12,0))</f>
        <v>#N/A</v>
      </c>
    </row>
    <row r="336" spans="2:16" x14ac:dyDescent="0.45">
      <c r="B336">
        <f t="shared" si="15"/>
        <v>334</v>
      </c>
      <c r="C336" t="e">
        <f t="shared" si="17"/>
        <v>#N/A</v>
      </c>
      <c r="D336" t="e">
        <f>VLOOKUP(C336,Lookup!$K$5:$L$12,2,FALSE)</f>
        <v>#N/A</v>
      </c>
      <c r="E336" t="e">
        <f>IF(D336=Lookup!$L$5,E335+1,E335)</f>
        <v>#N/A</v>
      </c>
      <c r="F336" s="3" t="e">
        <f>INDEX(views[Entities count],MATCH('view-code'!E336,views[object_id order],0))</f>
        <v>#N/A</v>
      </c>
      <c r="G336" t="e">
        <f>IF(D335=Lookup!$L$10,1,IF(D335=Lookup!$L$11,G335+1,""))</f>
        <v>#N/A</v>
      </c>
      <c r="H336" t="e">
        <f>IF(F336=1,IF(D336=Lookup!$L$10,2,1),IF(G336&lt;F336-1,0,1))</f>
        <v>#N/A</v>
      </c>
      <c r="I336" t="e">
        <f>IF(D336&lt;&gt;Lookup!$L$7,0,IF(INDEX(views[name],MATCH(E336,views[object_id order],0))&lt;&gt;"",0,1))</f>
        <v>#N/A</v>
      </c>
      <c r="J336" t="e">
        <f>IF(D336&lt;&gt;Lookup!$L$7,0,IF(INDEX(views[icon],MATCH(E336,views[object_id order],0))&lt;&gt;"",0,1))</f>
        <v>#N/A</v>
      </c>
      <c r="K336" t="e">
        <f>IF($D336=Lookup!$L$6,INDEX(views[object_id],MATCH($E336,views[object_id order],0)),"")</f>
        <v>#N/A</v>
      </c>
      <c r="L336" t="e">
        <f>IF($D336=Lookup!$L$8,INDEX(views[name],MATCH($E336,views[object_id order],0)),"")</f>
        <v>#N/A</v>
      </c>
      <c r="M336" t="e">
        <f>IF($D336=Lookup!$L$9,INDEX(views[icon],MATCH($E336,views[object_id order],0)),"")</f>
        <v>#N/A</v>
      </c>
      <c r="N336" t="e">
        <f>IF(OR(D336=Lookup!$L$11,D336=Lookup!$L$12),INDEX(views[[1]:[25]],MATCH($E336,views[object_id order],0),G336),"")</f>
        <v>#N/A</v>
      </c>
      <c r="O336" t="str">
        <f t="shared" si="16"/>
        <v/>
      </c>
      <c r="P336" s="8" t="e">
        <f>INDEX(Lookup!$M$5:$M$12,MATCH(D336,Lookup!$L$5:$L$12,0))&amp;
K336&amp;L336&amp;M336&amp;N336&amp;
INDEX(Lookup!$N$5:$N$12,MATCH(D336,Lookup!$L$5:$L$12,0))</f>
        <v>#N/A</v>
      </c>
    </row>
    <row r="337" spans="2:16" x14ac:dyDescent="0.45">
      <c r="B337">
        <f t="shared" si="15"/>
        <v>335</v>
      </c>
      <c r="C337" t="e">
        <f t="shared" si="17"/>
        <v>#N/A</v>
      </c>
      <c r="D337" t="e">
        <f>VLOOKUP(C337,Lookup!$K$5:$L$12,2,FALSE)</f>
        <v>#N/A</v>
      </c>
      <c r="E337" t="e">
        <f>IF(D337=Lookup!$L$5,E336+1,E336)</f>
        <v>#N/A</v>
      </c>
      <c r="F337" s="3" t="e">
        <f>INDEX(views[Entities count],MATCH('view-code'!E337,views[object_id order],0))</f>
        <v>#N/A</v>
      </c>
      <c r="G337" t="e">
        <f>IF(D336=Lookup!$L$10,1,IF(D336=Lookup!$L$11,G336+1,""))</f>
        <v>#N/A</v>
      </c>
      <c r="H337" t="e">
        <f>IF(F337=1,IF(D337=Lookup!$L$10,2,1),IF(G337&lt;F337-1,0,1))</f>
        <v>#N/A</v>
      </c>
      <c r="I337" t="e">
        <f>IF(D337&lt;&gt;Lookup!$L$7,0,IF(INDEX(views[name],MATCH(E337,views[object_id order],0))&lt;&gt;"",0,1))</f>
        <v>#N/A</v>
      </c>
      <c r="J337" t="e">
        <f>IF(D337&lt;&gt;Lookup!$L$7,0,IF(INDEX(views[icon],MATCH(E337,views[object_id order],0))&lt;&gt;"",0,1))</f>
        <v>#N/A</v>
      </c>
      <c r="K337" t="e">
        <f>IF($D337=Lookup!$L$6,INDEX(views[object_id],MATCH($E337,views[object_id order],0)),"")</f>
        <v>#N/A</v>
      </c>
      <c r="L337" t="e">
        <f>IF($D337=Lookup!$L$8,INDEX(views[name],MATCH($E337,views[object_id order],0)),"")</f>
        <v>#N/A</v>
      </c>
      <c r="M337" t="e">
        <f>IF($D337=Lookup!$L$9,INDEX(views[icon],MATCH($E337,views[object_id order],0)),"")</f>
        <v>#N/A</v>
      </c>
      <c r="N337" t="e">
        <f>IF(OR(D337=Lookup!$L$11,D337=Lookup!$L$12),INDEX(views[[1]:[25]],MATCH($E337,views[object_id order],0),G337),"")</f>
        <v>#N/A</v>
      </c>
      <c r="O337" t="str">
        <f t="shared" si="16"/>
        <v/>
      </c>
      <c r="P337" s="8" t="e">
        <f>INDEX(Lookup!$M$5:$M$12,MATCH(D337,Lookup!$L$5:$L$12,0))&amp;
K337&amp;L337&amp;M337&amp;N337&amp;
INDEX(Lookup!$N$5:$N$12,MATCH(D337,Lookup!$L$5:$L$12,0))</f>
        <v>#N/A</v>
      </c>
    </row>
    <row r="338" spans="2:16" x14ac:dyDescent="0.45">
      <c r="B338">
        <f t="shared" si="15"/>
        <v>336</v>
      </c>
      <c r="C338" t="e">
        <f t="shared" si="17"/>
        <v>#N/A</v>
      </c>
      <c r="D338" t="e">
        <f>VLOOKUP(C338,Lookup!$K$5:$L$12,2,FALSE)</f>
        <v>#N/A</v>
      </c>
      <c r="E338" t="e">
        <f>IF(D338=Lookup!$L$5,E337+1,E337)</f>
        <v>#N/A</v>
      </c>
      <c r="F338" s="3" t="e">
        <f>INDEX(views[Entities count],MATCH('view-code'!E338,views[object_id order],0))</f>
        <v>#N/A</v>
      </c>
      <c r="G338" t="e">
        <f>IF(D337=Lookup!$L$10,1,IF(D337=Lookup!$L$11,G337+1,""))</f>
        <v>#N/A</v>
      </c>
      <c r="H338" t="e">
        <f>IF(F338=1,IF(D338=Lookup!$L$10,2,1),IF(G338&lt;F338-1,0,1))</f>
        <v>#N/A</v>
      </c>
      <c r="I338" t="e">
        <f>IF(D338&lt;&gt;Lookup!$L$7,0,IF(INDEX(views[name],MATCH(E338,views[object_id order],0))&lt;&gt;"",0,1))</f>
        <v>#N/A</v>
      </c>
      <c r="J338" t="e">
        <f>IF(D338&lt;&gt;Lookup!$L$7,0,IF(INDEX(views[icon],MATCH(E338,views[object_id order],0))&lt;&gt;"",0,1))</f>
        <v>#N/A</v>
      </c>
      <c r="K338" t="e">
        <f>IF($D338=Lookup!$L$6,INDEX(views[object_id],MATCH($E338,views[object_id order],0)),"")</f>
        <v>#N/A</v>
      </c>
      <c r="L338" t="e">
        <f>IF($D338=Lookup!$L$8,INDEX(views[name],MATCH($E338,views[object_id order],0)),"")</f>
        <v>#N/A</v>
      </c>
      <c r="M338" t="e">
        <f>IF($D338=Lookup!$L$9,INDEX(views[icon],MATCH($E338,views[object_id order],0)),"")</f>
        <v>#N/A</v>
      </c>
      <c r="N338" t="e">
        <f>IF(OR(D338=Lookup!$L$11,D338=Lookup!$L$12),INDEX(views[[1]:[25]],MATCH($E338,views[object_id order],0),G338),"")</f>
        <v>#N/A</v>
      </c>
      <c r="O338" t="str">
        <f t="shared" si="16"/>
        <v/>
      </c>
      <c r="P338" s="8" t="e">
        <f>INDEX(Lookup!$M$5:$M$12,MATCH(D338,Lookup!$L$5:$L$12,0))&amp;
K338&amp;L338&amp;M338&amp;N338&amp;
INDEX(Lookup!$N$5:$N$12,MATCH(D338,Lookup!$L$5:$L$12,0))</f>
        <v>#N/A</v>
      </c>
    </row>
    <row r="339" spans="2:16" x14ac:dyDescent="0.45">
      <c r="B339">
        <f t="shared" si="15"/>
        <v>337</v>
      </c>
      <c r="C339" t="e">
        <f t="shared" si="17"/>
        <v>#N/A</v>
      </c>
      <c r="D339" t="e">
        <f>VLOOKUP(C339,Lookup!$K$5:$L$12,2,FALSE)</f>
        <v>#N/A</v>
      </c>
      <c r="E339" t="e">
        <f>IF(D339=Lookup!$L$5,E338+1,E338)</f>
        <v>#N/A</v>
      </c>
      <c r="F339" s="3" t="e">
        <f>INDEX(views[Entities count],MATCH('view-code'!E339,views[object_id order],0))</f>
        <v>#N/A</v>
      </c>
      <c r="G339" t="e">
        <f>IF(D338=Lookup!$L$10,1,IF(D338=Lookup!$L$11,G338+1,""))</f>
        <v>#N/A</v>
      </c>
      <c r="H339" t="e">
        <f>IF(F339=1,IF(D339=Lookup!$L$10,2,1),IF(G339&lt;F339-1,0,1))</f>
        <v>#N/A</v>
      </c>
      <c r="I339" t="e">
        <f>IF(D339&lt;&gt;Lookup!$L$7,0,IF(INDEX(views[name],MATCH(E339,views[object_id order],0))&lt;&gt;"",0,1))</f>
        <v>#N/A</v>
      </c>
      <c r="J339" t="e">
        <f>IF(D339&lt;&gt;Lookup!$L$7,0,IF(INDEX(views[icon],MATCH(E339,views[object_id order],0))&lt;&gt;"",0,1))</f>
        <v>#N/A</v>
      </c>
      <c r="K339" t="e">
        <f>IF($D339=Lookup!$L$6,INDEX(views[object_id],MATCH($E339,views[object_id order],0)),"")</f>
        <v>#N/A</v>
      </c>
      <c r="L339" t="e">
        <f>IF($D339=Lookup!$L$8,INDEX(views[name],MATCH($E339,views[object_id order],0)),"")</f>
        <v>#N/A</v>
      </c>
      <c r="M339" t="e">
        <f>IF($D339=Lookup!$L$9,INDEX(views[icon],MATCH($E339,views[object_id order],0)),"")</f>
        <v>#N/A</v>
      </c>
      <c r="N339" t="e">
        <f>IF(OR(D339=Lookup!$L$11,D339=Lookup!$L$12),INDEX(views[[1]:[25]],MATCH($E339,views[object_id order],0),G339),"")</f>
        <v>#N/A</v>
      </c>
      <c r="O339" t="str">
        <f t="shared" si="16"/>
        <v/>
      </c>
      <c r="P339" s="8" t="e">
        <f>INDEX(Lookup!$M$5:$M$12,MATCH(D339,Lookup!$L$5:$L$12,0))&amp;
K339&amp;L339&amp;M339&amp;N339&amp;
INDEX(Lookup!$N$5:$N$12,MATCH(D339,Lookup!$L$5:$L$12,0))</f>
        <v>#N/A</v>
      </c>
    </row>
    <row r="340" spans="2:16" x14ac:dyDescent="0.45">
      <c r="B340">
        <f t="shared" si="15"/>
        <v>338</v>
      </c>
      <c r="C340" t="e">
        <f t="shared" si="17"/>
        <v>#N/A</v>
      </c>
      <c r="D340" t="e">
        <f>VLOOKUP(C340,Lookup!$K$5:$L$12,2,FALSE)</f>
        <v>#N/A</v>
      </c>
      <c r="E340" t="e">
        <f>IF(D340=Lookup!$L$5,E339+1,E339)</f>
        <v>#N/A</v>
      </c>
      <c r="F340" s="3" t="e">
        <f>INDEX(views[Entities count],MATCH('view-code'!E340,views[object_id order],0))</f>
        <v>#N/A</v>
      </c>
      <c r="G340" t="e">
        <f>IF(D339=Lookup!$L$10,1,IF(D339=Lookup!$L$11,G339+1,""))</f>
        <v>#N/A</v>
      </c>
      <c r="H340" t="e">
        <f>IF(F340=1,IF(D340=Lookup!$L$10,2,1),IF(G340&lt;F340-1,0,1))</f>
        <v>#N/A</v>
      </c>
      <c r="I340" t="e">
        <f>IF(D340&lt;&gt;Lookup!$L$7,0,IF(INDEX(views[name],MATCH(E340,views[object_id order],0))&lt;&gt;"",0,1))</f>
        <v>#N/A</v>
      </c>
      <c r="J340" t="e">
        <f>IF(D340&lt;&gt;Lookup!$L$7,0,IF(INDEX(views[icon],MATCH(E340,views[object_id order],0))&lt;&gt;"",0,1))</f>
        <v>#N/A</v>
      </c>
      <c r="K340" t="e">
        <f>IF($D340=Lookup!$L$6,INDEX(views[object_id],MATCH($E340,views[object_id order],0)),"")</f>
        <v>#N/A</v>
      </c>
      <c r="L340" t="e">
        <f>IF($D340=Lookup!$L$8,INDEX(views[name],MATCH($E340,views[object_id order],0)),"")</f>
        <v>#N/A</v>
      </c>
      <c r="M340" t="e">
        <f>IF($D340=Lookup!$L$9,INDEX(views[icon],MATCH($E340,views[object_id order],0)),"")</f>
        <v>#N/A</v>
      </c>
      <c r="N340" t="e">
        <f>IF(OR(D340=Lookup!$L$11,D340=Lookup!$L$12),INDEX(views[[1]:[25]],MATCH($E340,views[object_id order],0),G340),"")</f>
        <v>#N/A</v>
      </c>
      <c r="O340" t="str">
        <f t="shared" si="16"/>
        <v/>
      </c>
      <c r="P340" s="8" t="e">
        <f>INDEX(Lookup!$M$5:$M$12,MATCH(D340,Lookup!$L$5:$L$12,0))&amp;
K340&amp;L340&amp;M340&amp;N340&amp;
INDEX(Lookup!$N$5:$N$12,MATCH(D340,Lookup!$L$5:$L$12,0))</f>
        <v>#N/A</v>
      </c>
    </row>
    <row r="341" spans="2:16" x14ac:dyDescent="0.45">
      <c r="B341">
        <f t="shared" si="15"/>
        <v>339</v>
      </c>
      <c r="C341" t="e">
        <f t="shared" si="17"/>
        <v>#N/A</v>
      </c>
      <c r="D341" t="e">
        <f>VLOOKUP(C341,Lookup!$K$5:$L$12,2,FALSE)</f>
        <v>#N/A</v>
      </c>
      <c r="E341" t="e">
        <f>IF(D341=Lookup!$L$5,E340+1,E340)</f>
        <v>#N/A</v>
      </c>
      <c r="F341" s="3" t="e">
        <f>INDEX(views[Entities count],MATCH('view-code'!E341,views[object_id order],0))</f>
        <v>#N/A</v>
      </c>
      <c r="G341" t="e">
        <f>IF(D340=Lookup!$L$10,1,IF(D340=Lookup!$L$11,G340+1,""))</f>
        <v>#N/A</v>
      </c>
      <c r="H341" t="e">
        <f>IF(F341=1,IF(D341=Lookup!$L$10,2,1),IF(G341&lt;F341-1,0,1))</f>
        <v>#N/A</v>
      </c>
      <c r="I341" t="e">
        <f>IF(D341&lt;&gt;Lookup!$L$7,0,IF(INDEX(views[name],MATCH(E341,views[object_id order],0))&lt;&gt;"",0,1))</f>
        <v>#N/A</v>
      </c>
      <c r="J341" t="e">
        <f>IF(D341&lt;&gt;Lookup!$L$7,0,IF(INDEX(views[icon],MATCH(E341,views[object_id order],0))&lt;&gt;"",0,1))</f>
        <v>#N/A</v>
      </c>
      <c r="K341" t="e">
        <f>IF($D341=Lookup!$L$6,INDEX(views[object_id],MATCH($E341,views[object_id order],0)),"")</f>
        <v>#N/A</v>
      </c>
      <c r="L341" t="e">
        <f>IF($D341=Lookup!$L$8,INDEX(views[name],MATCH($E341,views[object_id order],0)),"")</f>
        <v>#N/A</v>
      </c>
      <c r="M341" t="e">
        <f>IF($D341=Lookup!$L$9,INDEX(views[icon],MATCH($E341,views[object_id order],0)),"")</f>
        <v>#N/A</v>
      </c>
      <c r="N341" t="e">
        <f>IF(OR(D341=Lookup!$L$11,D341=Lookup!$L$12),INDEX(views[[1]:[25]],MATCH($E341,views[object_id order],0),G341),"")</f>
        <v>#N/A</v>
      </c>
      <c r="O341" t="str">
        <f t="shared" si="16"/>
        <v/>
      </c>
      <c r="P341" s="8" t="e">
        <f>INDEX(Lookup!$M$5:$M$12,MATCH(D341,Lookup!$L$5:$L$12,0))&amp;
K341&amp;L341&amp;M341&amp;N341&amp;
INDEX(Lookup!$N$5:$N$12,MATCH(D341,Lookup!$L$5:$L$12,0))</f>
        <v>#N/A</v>
      </c>
    </row>
    <row r="342" spans="2:16" x14ac:dyDescent="0.45">
      <c r="B342">
        <f t="shared" si="15"/>
        <v>340</v>
      </c>
      <c r="C342" t="e">
        <f t="shared" si="17"/>
        <v>#N/A</v>
      </c>
      <c r="D342" t="e">
        <f>VLOOKUP(C342,Lookup!$K$5:$L$12,2,FALSE)</f>
        <v>#N/A</v>
      </c>
      <c r="E342" t="e">
        <f>IF(D342=Lookup!$L$5,E341+1,E341)</f>
        <v>#N/A</v>
      </c>
      <c r="F342" s="3" t="e">
        <f>INDEX(views[Entities count],MATCH('view-code'!E342,views[object_id order],0))</f>
        <v>#N/A</v>
      </c>
      <c r="G342" t="e">
        <f>IF(D341=Lookup!$L$10,1,IF(D341=Lookup!$L$11,G341+1,""))</f>
        <v>#N/A</v>
      </c>
      <c r="H342" t="e">
        <f>IF(F342=1,IF(D342=Lookup!$L$10,2,1),IF(G342&lt;F342-1,0,1))</f>
        <v>#N/A</v>
      </c>
      <c r="I342" t="e">
        <f>IF(D342&lt;&gt;Lookup!$L$7,0,IF(INDEX(views[name],MATCH(E342,views[object_id order],0))&lt;&gt;"",0,1))</f>
        <v>#N/A</v>
      </c>
      <c r="J342" t="e">
        <f>IF(D342&lt;&gt;Lookup!$L$7,0,IF(INDEX(views[icon],MATCH(E342,views[object_id order],0))&lt;&gt;"",0,1))</f>
        <v>#N/A</v>
      </c>
      <c r="K342" t="e">
        <f>IF($D342=Lookup!$L$6,INDEX(views[object_id],MATCH($E342,views[object_id order],0)),"")</f>
        <v>#N/A</v>
      </c>
      <c r="L342" t="e">
        <f>IF($D342=Lookup!$L$8,INDEX(views[name],MATCH($E342,views[object_id order],0)),"")</f>
        <v>#N/A</v>
      </c>
      <c r="M342" t="e">
        <f>IF($D342=Lookup!$L$9,INDEX(views[icon],MATCH($E342,views[object_id order],0)),"")</f>
        <v>#N/A</v>
      </c>
      <c r="N342" t="e">
        <f>IF(OR(D342=Lookup!$L$11,D342=Lookup!$L$12),INDEX(views[[1]:[25]],MATCH($E342,views[object_id order],0),G342),"")</f>
        <v>#N/A</v>
      </c>
      <c r="O342" t="str">
        <f t="shared" si="16"/>
        <v/>
      </c>
      <c r="P342" s="8" t="e">
        <f>INDEX(Lookup!$M$5:$M$12,MATCH(D342,Lookup!$L$5:$L$12,0))&amp;
K342&amp;L342&amp;M342&amp;N342&amp;
INDEX(Lookup!$N$5:$N$12,MATCH(D342,Lookup!$L$5:$L$12,0))</f>
        <v>#N/A</v>
      </c>
    </row>
    <row r="343" spans="2:16" x14ac:dyDescent="0.45">
      <c r="B343">
        <f t="shared" si="15"/>
        <v>341</v>
      </c>
      <c r="C343" t="e">
        <f t="shared" si="17"/>
        <v>#N/A</v>
      </c>
      <c r="D343" t="e">
        <f>VLOOKUP(C343,Lookup!$K$5:$L$12,2,FALSE)</f>
        <v>#N/A</v>
      </c>
      <c r="E343" t="e">
        <f>IF(D343=Lookup!$L$5,E342+1,E342)</f>
        <v>#N/A</v>
      </c>
      <c r="F343" s="3" t="e">
        <f>INDEX(views[Entities count],MATCH('view-code'!E343,views[object_id order],0))</f>
        <v>#N/A</v>
      </c>
      <c r="G343" t="e">
        <f>IF(D342=Lookup!$L$10,1,IF(D342=Lookup!$L$11,G342+1,""))</f>
        <v>#N/A</v>
      </c>
      <c r="H343" t="e">
        <f>IF(F343=1,IF(D343=Lookup!$L$10,2,1),IF(G343&lt;F343-1,0,1))</f>
        <v>#N/A</v>
      </c>
      <c r="I343" t="e">
        <f>IF(D343&lt;&gt;Lookup!$L$7,0,IF(INDEX(views[name],MATCH(E343,views[object_id order],0))&lt;&gt;"",0,1))</f>
        <v>#N/A</v>
      </c>
      <c r="J343" t="e">
        <f>IF(D343&lt;&gt;Lookup!$L$7,0,IF(INDEX(views[icon],MATCH(E343,views[object_id order],0))&lt;&gt;"",0,1))</f>
        <v>#N/A</v>
      </c>
      <c r="K343" t="e">
        <f>IF($D343=Lookup!$L$6,INDEX(views[object_id],MATCH($E343,views[object_id order],0)),"")</f>
        <v>#N/A</v>
      </c>
      <c r="L343" t="e">
        <f>IF($D343=Lookup!$L$8,INDEX(views[name],MATCH($E343,views[object_id order],0)),"")</f>
        <v>#N/A</v>
      </c>
      <c r="M343" t="e">
        <f>IF($D343=Lookup!$L$9,INDEX(views[icon],MATCH($E343,views[object_id order],0)),"")</f>
        <v>#N/A</v>
      </c>
      <c r="N343" t="e">
        <f>IF(OR(D343=Lookup!$L$11,D343=Lookup!$L$12),INDEX(views[[1]:[25]],MATCH($E343,views[object_id order],0),G343),"")</f>
        <v>#N/A</v>
      </c>
      <c r="O343" t="str">
        <f t="shared" si="16"/>
        <v/>
      </c>
      <c r="P343" s="8" t="e">
        <f>INDEX(Lookup!$M$5:$M$12,MATCH(D343,Lookup!$L$5:$L$12,0))&amp;
K343&amp;L343&amp;M343&amp;N343&amp;
INDEX(Lookup!$N$5:$N$12,MATCH(D343,Lookup!$L$5:$L$12,0))</f>
        <v>#N/A</v>
      </c>
    </row>
    <row r="344" spans="2:16" x14ac:dyDescent="0.45">
      <c r="B344">
        <f t="shared" si="15"/>
        <v>342</v>
      </c>
      <c r="C344" t="e">
        <f t="shared" si="17"/>
        <v>#N/A</v>
      </c>
      <c r="D344" t="e">
        <f>VLOOKUP(C344,Lookup!$K$5:$L$12,2,FALSE)</f>
        <v>#N/A</v>
      </c>
      <c r="E344" t="e">
        <f>IF(D344=Lookup!$L$5,E343+1,E343)</f>
        <v>#N/A</v>
      </c>
      <c r="F344" s="3" t="e">
        <f>INDEX(views[Entities count],MATCH('view-code'!E344,views[object_id order],0))</f>
        <v>#N/A</v>
      </c>
      <c r="G344" t="e">
        <f>IF(D343=Lookup!$L$10,1,IF(D343=Lookup!$L$11,G343+1,""))</f>
        <v>#N/A</v>
      </c>
      <c r="H344" t="e">
        <f>IF(F344=1,IF(D344=Lookup!$L$10,2,1),IF(G344&lt;F344-1,0,1))</f>
        <v>#N/A</v>
      </c>
      <c r="I344" t="e">
        <f>IF(D344&lt;&gt;Lookup!$L$7,0,IF(INDEX(views[name],MATCH(E344,views[object_id order],0))&lt;&gt;"",0,1))</f>
        <v>#N/A</v>
      </c>
      <c r="J344" t="e">
        <f>IF(D344&lt;&gt;Lookup!$L$7,0,IF(INDEX(views[icon],MATCH(E344,views[object_id order],0))&lt;&gt;"",0,1))</f>
        <v>#N/A</v>
      </c>
      <c r="K344" t="e">
        <f>IF($D344=Lookup!$L$6,INDEX(views[object_id],MATCH($E344,views[object_id order],0)),"")</f>
        <v>#N/A</v>
      </c>
      <c r="L344" t="e">
        <f>IF($D344=Lookup!$L$8,INDEX(views[name],MATCH($E344,views[object_id order],0)),"")</f>
        <v>#N/A</v>
      </c>
      <c r="M344" t="e">
        <f>IF($D344=Lookup!$L$9,INDEX(views[icon],MATCH($E344,views[object_id order],0)),"")</f>
        <v>#N/A</v>
      </c>
      <c r="N344" t="e">
        <f>IF(OR(D344=Lookup!$L$11,D344=Lookup!$L$12),INDEX(views[[1]:[25]],MATCH($E344,views[object_id order],0),G344),"")</f>
        <v>#N/A</v>
      </c>
      <c r="O344" t="str">
        <f t="shared" si="16"/>
        <v/>
      </c>
      <c r="P344" s="8" t="e">
        <f>INDEX(Lookup!$M$5:$M$12,MATCH(D344,Lookup!$L$5:$L$12,0))&amp;
K344&amp;L344&amp;M344&amp;N344&amp;
INDEX(Lookup!$N$5:$N$12,MATCH(D344,Lookup!$L$5:$L$12,0))</f>
        <v>#N/A</v>
      </c>
    </row>
    <row r="345" spans="2:16" x14ac:dyDescent="0.45">
      <c r="B345">
        <f t="shared" si="15"/>
        <v>343</v>
      </c>
      <c r="C345" t="e">
        <f t="shared" si="17"/>
        <v>#N/A</v>
      </c>
      <c r="D345" t="e">
        <f>VLOOKUP(C345,Lookup!$K$5:$L$12,2,FALSE)</f>
        <v>#N/A</v>
      </c>
      <c r="E345" t="e">
        <f>IF(D345=Lookup!$L$5,E344+1,E344)</f>
        <v>#N/A</v>
      </c>
      <c r="F345" s="3" t="e">
        <f>INDEX(views[Entities count],MATCH('view-code'!E345,views[object_id order],0))</f>
        <v>#N/A</v>
      </c>
      <c r="G345" t="e">
        <f>IF(D344=Lookup!$L$10,1,IF(D344=Lookup!$L$11,G344+1,""))</f>
        <v>#N/A</v>
      </c>
      <c r="H345" t="e">
        <f>IF(F345=1,IF(D345=Lookup!$L$10,2,1),IF(G345&lt;F345-1,0,1))</f>
        <v>#N/A</v>
      </c>
      <c r="I345" t="e">
        <f>IF(D345&lt;&gt;Lookup!$L$7,0,IF(INDEX(views[name],MATCH(E345,views[object_id order],0))&lt;&gt;"",0,1))</f>
        <v>#N/A</v>
      </c>
      <c r="J345" t="e">
        <f>IF(D345&lt;&gt;Lookup!$L$7,0,IF(INDEX(views[icon],MATCH(E345,views[object_id order],0))&lt;&gt;"",0,1))</f>
        <v>#N/A</v>
      </c>
      <c r="K345" t="e">
        <f>IF($D345=Lookup!$L$6,INDEX(views[object_id],MATCH($E345,views[object_id order],0)),"")</f>
        <v>#N/A</v>
      </c>
      <c r="L345" t="e">
        <f>IF($D345=Lookup!$L$8,INDEX(views[name],MATCH($E345,views[object_id order],0)),"")</f>
        <v>#N/A</v>
      </c>
      <c r="M345" t="e">
        <f>IF($D345=Lookup!$L$9,INDEX(views[icon],MATCH($E345,views[object_id order],0)),"")</f>
        <v>#N/A</v>
      </c>
      <c r="N345" t="e">
        <f>IF(OR(D345=Lookup!$L$11,D345=Lookup!$L$12),INDEX(views[[1]:[25]],MATCH($E345,views[object_id order],0),G345),"")</f>
        <v>#N/A</v>
      </c>
      <c r="O345" t="str">
        <f t="shared" si="16"/>
        <v/>
      </c>
      <c r="P345" s="8" t="e">
        <f>INDEX(Lookup!$M$5:$M$12,MATCH(D345,Lookup!$L$5:$L$12,0))&amp;
K345&amp;L345&amp;M345&amp;N345&amp;
INDEX(Lookup!$N$5:$N$12,MATCH(D345,Lookup!$L$5:$L$12,0))</f>
        <v>#N/A</v>
      </c>
    </row>
    <row r="346" spans="2:16" x14ac:dyDescent="0.45">
      <c r="B346">
        <f t="shared" si="15"/>
        <v>344</v>
      </c>
      <c r="C346" t="e">
        <f t="shared" si="17"/>
        <v>#N/A</v>
      </c>
      <c r="D346" t="e">
        <f>VLOOKUP(C346,Lookup!$K$5:$L$12,2,FALSE)</f>
        <v>#N/A</v>
      </c>
      <c r="E346" t="e">
        <f>IF(D346=Lookup!$L$5,E345+1,E345)</f>
        <v>#N/A</v>
      </c>
      <c r="F346" s="3" t="e">
        <f>INDEX(views[Entities count],MATCH('view-code'!E346,views[object_id order],0))</f>
        <v>#N/A</v>
      </c>
      <c r="G346" t="e">
        <f>IF(D345=Lookup!$L$10,1,IF(D345=Lookup!$L$11,G345+1,""))</f>
        <v>#N/A</v>
      </c>
      <c r="H346" t="e">
        <f>IF(F346=1,IF(D346=Lookup!$L$10,2,1),IF(G346&lt;F346-1,0,1))</f>
        <v>#N/A</v>
      </c>
      <c r="I346" t="e">
        <f>IF(D346&lt;&gt;Lookup!$L$7,0,IF(INDEX(views[name],MATCH(E346,views[object_id order],0))&lt;&gt;"",0,1))</f>
        <v>#N/A</v>
      </c>
      <c r="J346" t="e">
        <f>IF(D346&lt;&gt;Lookup!$L$7,0,IF(INDEX(views[icon],MATCH(E346,views[object_id order],0))&lt;&gt;"",0,1))</f>
        <v>#N/A</v>
      </c>
      <c r="K346" t="e">
        <f>IF($D346=Lookup!$L$6,INDEX(views[object_id],MATCH($E346,views[object_id order],0)),"")</f>
        <v>#N/A</v>
      </c>
      <c r="L346" t="e">
        <f>IF($D346=Lookup!$L$8,INDEX(views[name],MATCH($E346,views[object_id order],0)),"")</f>
        <v>#N/A</v>
      </c>
      <c r="M346" t="e">
        <f>IF($D346=Lookup!$L$9,INDEX(views[icon],MATCH($E346,views[object_id order],0)),"")</f>
        <v>#N/A</v>
      </c>
      <c r="N346" t="e">
        <f>IF(OR(D346=Lookup!$L$11,D346=Lookup!$L$12),INDEX(views[[1]:[25]],MATCH($E346,views[object_id order],0),G346),"")</f>
        <v>#N/A</v>
      </c>
      <c r="O346" t="str">
        <f t="shared" si="16"/>
        <v/>
      </c>
      <c r="P346" s="8" t="e">
        <f>INDEX(Lookup!$M$5:$M$12,MATCH(D346,Lookup!$L$5:$L$12,0))&amp;
K346&amp;L346&amp;M346&amp;N346&amp;
INDEX(Lookup!$N$5:$N$12,MATCH(D346,Lookup!$L$5:$L$12,0))</f>
        <v>#N/A</v>
      </c>
    </row>
    <row r="347" spans="2:16" x14ac:dyDescent="0.45">
      <c r="B347">
        <f t="shared" si="15"/>
        <v>345</v>
      </c>
      <c r="C347" t="e">
        <f t="shared" si="17"/>
        <v>#N/A</v>
      </c>
      <c r="D347" t="e">
        <f>VLOOKUP(C347,Lookup!$K$5:$L$12,2,FALSE)</f>
        <v>#N/A</v>
      </c>
      <c r="E347" t="e">
        <f>IF(D347=Lookup!$L$5,E346+1,E346)</f>
        <v>#N/A</v>
      </c>
      <c r="F347" s="3" t="e">
        <f>INDEX(views[Entities count],MATCH('view-code'!E347,views[object_id order],0))</f>
        <v>#N/A</v>
      </c>
      <c r="G347" t="e">
        <f>IF(D346=Lookup!$L$10,1,IF(D346=Lookup!$L$11,G346+1,""))</f>
        <v>#N/A</v>
      </c>
      <c r="H347" t="e">
        <f>IF(F347=1,IF(D347=Lookup!$L$10,2,1),IF(G347&lt;F347-1,0,1))</f>
        <v>#N/A</v>
      </c>
      <c r="I347" t="e">
        <f>IF(D347&lt;&gt;Lookup!$L$7,0,IF(INDEX(views[name],MATCH(E347,views[object_id order],0))&lt;&gt;"",0,1))</f>
        <v>#N/A</v>
      </c>
      <c r="J347" t="e">
        <f>IF(D347&lt;&gt;Lookup!$L$7,0,IF(INDEX(views[icon],MATCH(E347,views[object_id order],0))&lt;&gt;"",0,1))</f>
        <v>#N/A</v>
      </c>
      <c r="K347" t="e">
        <f>IF($D347=Lookup!$L$6,INDEX(views[object_id],MATCH($E347,views[object_id order],0)),"")</f>
        <v>#N/A</v>
      </c>
      <c r="L347" t="e">
        <f>IF($D347=Lookup!$L$8,INDEX(views[name],MATCH($E347,views[object_id order],0)),"")</f>
        <v>#N/A</v>
      </c>
      <c r="M347" t="e">
        <f>IF($D347=Lookup!$L$9,INDEX(views[icon],MATCH($E347,views[object_id order],0)),"")</f>
        <v>#N/A</v>
      </c>
      <c r="N347" t="e">
        <f>IF(OR(D347=Lookup!$L$11,D347=Lookup!$L$12),INDEX(views[[1]:[25]],MATCH($E347,views[object_id order],0),G347),"")</f>
        <v>#N/A</v>
      </c>
      <c r="O347" t="str">
        <f t="shared" si="16"/>
        <v/>
      </c>
      <c r="P347" s="8" t="e">
        <f>INDEX(Lookup!$M$5:$M$12,MATCH(D347,Lookup!$L$5:$L$12,0))&amp;
K347&amp;L347&amp;M347&amp;N347&amp;
INDEX(Lookup!$N$5:$N$12,MATCH(D347,Lookup!$L$5:$L$12,0))</f>
        <v>#N/A</v>
      </c>
    </row>
    <row r="348" spans="2:16" x14ac:dyDescent="0.45">
      <c r="B348">
        <f t="shared" si="15"/>
        <v>346</v>
      </c>
      <c r="C348" t="e">
        <f t="shared" si="17"/>
        <v>#N/A</v>
      </c>
      <c r="D348" t="e">
        <f>VLOOKUP(C348,Lookup!$K$5:$L$12,2,FALSE)</f>
        <v>#N/A</v>
      </c>
      <c r="E348" t="e">
        <f>IF(D348=Lookup!$L$5,E347+1,E347)</f>
        <v>#N/A</v>
      </c>
      <c r="F348" s="3" t="e">
        <f>INDEX(views[Entities count],MATCH('view-code'!E348,views[object_id order],0))</f>
        <v>#N/A</v>
      </c>
      <c r="G348" t="e">
        <f>IF(D347=Lookup!$L$10,1,IF(D347=Lookup!$L$11,G347+1,""))</f>
        <v>#N/A</v>
      </c>
      <c r="H348" t="e">
        <f>IF(F348=1,IF(D348=Lookup!$L$10,2,1),IF(G348&lt;F348-1,0,1))</f>
        <v>#N/A</v>
      </c>
      <c r="I348" t="e">
        <f>IF(D348&lt;&gt;Lookup!$L$7,0,IF(INDEX(views[name],MATCH(E348,views[object_id order],0))&lt;&gt;"",0,1))</f>
        <v>#N/A</v>
      </c>
      <c r="J348" t="e">
        <f>IF(D348&lt;&gt;Lookup!$L$7,0,IF(INDEX(views[icon],MATCH(E348,views[object_id order],0))&lt;&gt;"",0,1))</f>
        <v>#N/A</v>
      </c>
      <c r="K348" t="e">
        <f>IF($D348=Lookup!$L$6,INDEX(views[object_id],MATCH($E348,views[object_id order],0)),"")</f>
        <v>#N/A</v>
      </c>
      <c r="L348" t="e">
        <f>IF($D348=Lookup!$L$8,INDEX(views[name],MATCH($E348,views[object_id order],0)),"")</f>
        <v>#N/A</v>
      </c>
      <c r="M348" t="e">
        <f>IF($D348=Lookup!$L$9,INDEX(views[icon],MATCH($E348,views[object_id order],0)),"")</f>
        <v>#N/A</v>
      </c>
      <c r="N348" t="e">
        <f>IF(OR(D348=Lookup!$L$11,D348=Lookup!$L$12),INDEX(views[[1]:[25]],MATCH($E348,views[object_id order],0),G348),"")</f>
        <v>#N/A</v>
      </c>
      <c r="O348" t="str">
        <f t="shared" si="16"/>
        <v/>
      </c>
      <c r="P348" s="8" t="e">
        <f>INDEX(Lookup!$M$5:$M$12,MATCH(D348,Lookup!$L$5:$L$12,0))&amp;
K348&amp;L348&amp;M348&amp;N348&amp;
INDEX(Lookup!$N$5:$N$12,MATCH(D348,Lookup!$L$5:$L$12,0))</f>
        <v>#N/A</v>
      </c>
    </row>
    <row r="349" spans="2:16" x14ac:dyDescent="0.45">
      <c r="B349">
        <f t="shared" si="15"/>
        <v>347</v>
      </c>
      <c r="C349" t="e">
        <f t="shared" si="17"/>
        <v>#N/A</v>
      </c>
      <c r="D349" t="e">
        <f>VLOOKUP(C349,Lookup!$K$5:$L$12,2,FALSE)</f>
        <v>#N/A</v>
      </c>
      <c r="E349" t="e">
        <f>IF(D349=Lookup!$L$5,E348+1,E348)</f>
        <v>#N/A</v>
      </c>
      <c r="F349" s="3" t="e">
        <f>INDEX(views[Entities count],MATCH('view-code'!E349,views[object_id order],0))</f>
        <v>#N/A</v>
      </c>
      <c r="G349" t="e">
        <f>IF(D348=Lookup!$L$10,1,IF(D348=Lookup!$L$11,G348+1,""))</f>
        <v>#N/A</v>
      </c>
      <c r="H349" t="e">
        <f>IF(F349=1,IF(D349=Lookup!$L$10,2,1),IF(G349&lt;F349-1,0,1))</f>
        <v>#N/A</v>
      </c>
      <c r="I349" t="e">
        <f>IF(D349&lt;&gt;Lookup!$L$7,0,IF(INDEX(views[name],MATCH(E349,views[object_id order],0))&lt;&gt;"",0,1))</f>
        <v>#N/A</v>
      </c>
      <c r="J349" t="e">
        <f>IF(D349&lt;&gt;Lookup!$L$7,0,IF(INDEX(views[icon],MATCH(E349,views[object_id order],0))&lt;&gt;"",0,1))</f>
        <v>#N/A</v>
      </c>
      <c r="K349" t="e">
        <f>IF($D349=Lookup!$L$6,INDEX(views[object_id],MATCH($E349,views[object_id order],0)),"")</f>
        <v>#N/A</v>
      </c>
      <c r="L349" t="e">
        <f>IF($D349=Lookup!$L$8,INDEX(views[name],MATCH($E349,views[object_id order],0)),"")</f>
        <v>#N/A</v>
      </c>
      <c r="M349" t="e">
        <f>IF($D349=Lookup!$L$9,INDEX(views[icon],MATCH($E349,views[object_id order],0)),"")</f>
        <v>#N/A</v>
      </c>
      <c r="N349" t="e">
        <f>IF(OR(D349=Lookup!$L$11,D349=Lookup!$L$12),INDEX(views[[1]:[25]],MATCH($E349,views[object_id order],0),G349),"")</f>
        <v>#N/A</v>
      </c>
      <c r="O349" t="str">
        <f t="shared" si="16"/>
        <v/>
      </c>
      <c r="P349" s="8" t="e">
        <f>INDEX(Lookup!$M$5:$M$12,MATCH(D349,Lookup!$L$5:$L$12,0))&amp;
K349&amp;L349&amp;M349&amp;N349&amp;
INDEX(Lookup!$N$5:$N$12,MATCH(D349,Lookup!$L$5:$L$12,0))</f>
        <v>#N/A</v>
      </c>
    </row>
    <row r="350" spans="2:16" x14ac:dyDescent="0.45">
      <c r="B350">
        <f t="shared" si="15"/>
        <v>348</v>
      </c>
      <c r="C350" t="e">
        <f t="shared" si="17"/>
        <v>#N/A</v>
      </c>
      <c r="D350" t="e">
        <f>VLOOKUP(C350,Lookup!$K$5:$L$12,2,FALSE)</f>
        <v>#N/A</v>
      </c>
      <c r="E350" t="e">
        <f>IF(D350=Lookup!$L$5,E349+1,E349)</f>
        <v>#N/A</v>
      </c>
      <c r="F350" s="3" t="e">
        <f>INDEX(views[Entities count],MATCH('view-code'!E350,views[object_id order],0))</f>
        <v>#N/A</v>
      </c>
      <c r="G350" t="e">
        <f>IF(D349=Lookup!$L$10,1,IF(D349=Lookup!$L$11,G349+1,""))</f>
        <v>#N/A</v>
      </c>
      <c r="H350" t="e">
        <f>IF(F350=1,IF(D350=Lookup!$L$10,2,1),IF(G350&lt;F350-1,0,1))</f>
        <v>#N/A</v>
      </c>
      <c r="I350" t="e">
        <f>IF(D350&lt;&gt;Lookup!$L$7,0,IF(INDEX(views[name],MATCH(E350,views[object_id order],0))&lt;&gt;"",0,1))</f>
        <v>#N/A</v>
      </c>
      <c r="J350" t="e">
        <f>IF(D350&lt;&gt;Lookup!$L$7,0,IF(INDEX(views[icon],MATCH(E350,views[object_id order],0))&lt;&gt;"",0,1))</f>
        <v>#N/A</v>
      </c>
      <c r="K350" t="e">
        <f>IF($D350=Lookup!$L$6,INDEX(views[object_id],MATCH($E350,views[object_id order],0)),"")</f>
        <v>#N/A</v>
      </c>
      <c r="L350" t="e">
        <f>IF($D350=Lookup!$L$8,INDEX(views[name],MATCH($E350,views[object_id order],0)),"")</f>
        <v>#N/A</v>
      </c>
      <c r="M350" t="e">
        <f>IF($D350=Lookup!$L$9,INDEX(views[icon],MATCH($E350,views[object_id order],0)),"")</f>
        <v>#N/A</v>
      </c>
      <c r="N350" t="e">
        <f>IF(OR(D350=Lookup!$L$11,D350=Lookup!$L$12),INDEX(views[[1]:[25]],MATCH($E350,views[object_id order],0),G350),"")</f>
        <v>#N/A</v>
      </c>
      <c r="O350" t="str">
        <f t="shared" si="16"/>
        <v/>
      </c>
      <c r="P350" s="8" t="e">
        <f>INDEX(Lookup!$M$5:$M$12,MATCH(D350,Lookup!$L$5:$L$12,0))&amp;
K350&amp;L350&amp;M350&amp;N350&amp;
INDEX(Lookup!$N$5:$N$12,MATCH(D350,Lookup!$L$5:$L$12,0))</f>
        <v>#N/A</v>
      </c>
    </row>
    <row r="351" spans="2:16" x14ac:dyDescent="0.45">
      <c r="B351">
        <f t="shared" si="15"/>
        <v>349</v>
      </c>
      <c r="C351" t="e">
        <f t="shared" si="17"/>
        <v>#N/A</v>
      </c>
      <c r="D351" t="e">
        <f>VLOOKUP(C351,Lookup!$K$5:$L$12,2,FALSE)</f>
        <v>#N/A</v>
      </c>
      <c r="E351" t="e">
        <f>IF(D351=Lookup!$L$5,E350+1,E350)</f>
        <v>#N/A</v>
      </c>
      <c r="F351" s="3" t="e">
        <f>INDEX(views[Entities count],MATCH('view-code'!E351,views[object_id order],0))</f>
        <v>#N/A</v>
      </c>
      <c r="G351" t="e">
        <f>IF(D350=Lookup!$L$10,1,IF(D350=Lookup!$L$11,G350+1,""))</f>
        <v>#N/A</v>
      </c>
      <c r="H351" t="e">
        <f>IF(F351=1,IF(D351=Lookup!$L$10,2,1),IF(G351&lt;F351-1,0,1))</f>
        <v>#N/A</v>
      </c>
      <c r="I351" t="e">
        <f>IF(D351&lt;&gt;Lookup!$L$7,0,IF(INDEX(views[name],MATCH(E351,views[object_id order],0))&lt;&gt;"",0,1))</f>
        <v>#N/A</v>
      </c>
      <c r="J351" t="e">
        <f>IF(D351&lt;&gt;Lookup!$L$7,0,IF(INDEX(views[icon],MATCH(E351,views[object_id order],0))&lt;&gt;"",0,1))</f>
        <v>#N/A</v>
      </c>
      <c r="K351" t="e">
        <f>IF($D351=Lookup!$L$6,INDEX(views[object_id],MATCH($E351,views[object_id order],0)),"")</f>
        <v>#N/A</v>
      </c>
      <c r="L351" t="e">
        <f>IF($D351=Lookup!$L$8,INDEX(views[name],MATCH($E351,views[object_id order],0)),"")</f>
        <v>#N/A</v>
      </c>
      <c r="M351" t="e">
        <f>IF($D351=Lookup!$L$9,INDEX(views[icon],MATCH($E351,views[object_id order],0)),"")</f>
        <v>#N/A</v>
      </c>
      <c r="N351" t="e">
        <f>IF(OR(D351=Lookup!$L$11,D351=Lookup!$L$12),INDEX(views[[1]:[25]],MATCH($E351,views[object_id order],0),G351),"")</f>
        <v>#N/A</v>
      </c>
      <c r="O351" t="str">
        <f t="shared" si="16"/>
        <v/>
      </c>
      <c r="P351" s="8" t="e">
        <f>INDEX(Lookup!$M$5:$M$12,MATCH(D351,Lookup!$L$5:$L$12,0))&amp;
K351&amp;L351&amp;M351&amp;N351&amp;
INDEX(Lookup!$N$5:$N$12,MATCH(D351,Lookup!$L$5:$L$12,0))</f>
        <v>#N/A</v>
      </c>
    </row>
    <row r="352" spans="2:16" x14ac:dyDescent="0.45">
      <c r="B352">
        <f t="shared" si="15"/>
        <v>350</v>
      </c>
      <c r="C352" t="e">
        <f t="shared" si="17"/>
        <v>#N/A</v>
      </c>
      <c r="D352" t="e">
        <f>VLOOKUP(C352,Lookup!$K$5:$L$12,2,FALSE)</f>
        <v>#N/A</v>
      </c>
      <c r="E352" t="e">
        <f>IF(D352=Lookup!$L$5,E351+1,E351)</f>
        <v>#N/A</v>
      </c>
      <c r="F352" s="3" t="e">
        <f>INDEX(views[Entities count],MATCH('view-code'!E352,views[object_id order],0))</f>
        <v>#N/A</v>
      </c>
      <c r="G352" t="e">
        <f>IF(D351=Lookup!$L$10,1,IF(D351=Lookup!$L$11,G351+1,""))</f>
        <v>#N/A</v>
      </c>
      <c r="H352" t="e">
        <f>IF(F352=1,IF(D352=Lookup!$L$10,2,1),IF(G352&lt;F352-1,0,1))</f>
        <v>#N/A</v>
      </c>
      <c r="I352" t="e">
        <f>IF(D352&lt;&gt;Lookup!$L$7,0,IF(INDEX(views[name],MATCH(E352,views[object_id order],0))&lt;&gt;"",0,1))</f>
        <v>#N/A</v>
      </c>
      <c r="J352" t="e">
        <f>IF(D352&lt;&gt;Lookup!$L$7,0,IF(INDEX(views[icon],MATCH(E352,views[object_id order],0))&lt;&gt;"",0,1))</f>
        <v>#N/A</v>
      </c>
      <c r="K352" t="e">
        <f>IF($D352=Lookup!$L$6,INDEX(views[object_id],MATCH($E352,views[object_id order],0)),"")</f>
        <v>#N/A</v>
      </c>
      <c r="L352" t="e">
        <f>IF($D352=Lookup!$L$8,INDEX(views[name],MATCH($E352,views[object_id order],0)),"")</f>
        <v>#N/A</v>
      </c>
      <c r="M352" t="e">
        <f>IF($D352=Lookup!$L$9,INDEX(views[icon],MATCH($E352,views[object_id order],0)),"")</f>
        <v>#N/A</v>
      </c>
      <c r="N352" t="e">
        <f>IF(OR(D352=Lookup!$L$11,D352=Lookup!$L$12),INDEX(views[[1]:[25]],MATCH($E352,views[object_id order],0),G352),"")</f>
        <v>#N/A</v>
      </c>
      <c r="O352" t="str">
        <f t="shared" si="16"/>
        <v/>
      </c>
      <c r="P352" s="8" t="e">
        <f>INDEX(Lookup!$M$5:$M$12,MATCH(D352,Lookup!$L$5:$L$12,0))&amp;
K352&amp;L352&amp;M352&amp;N352&amp;
INDEX(Lookup!$N$5:$N$12,MATCH(D352,Lookup!$L$5:$L$12,0))</f>
        <v>#N/A</v>
      </c>
    </row>
    <row r="353" spans="2:16" x14ac:dyDescent="0.45">
      <c r="B353">
        <f t="shared" si="15"/>
        <v>351</v>
      </c>
      <c r="C353" t="e">
        <f t="shared" si="17"/>
        <v>#N/A</v>
      </c>
      <c r="D353" t="e">
        <f>VLOOKUP(C353,Lookup!$K$5:$L$12,2,FALSE)</f>
        <v>#N/A</v>
      </c>
      <c r="E353" t="e">
        <f>IF(D353=Lookup!$L$5,E352+1,E352)</f>
        <v>#N/A</v>
      </c>
      <c r="F353" s="3" t="e">
        <f>INDEX(views[Entities count],MATCH('view-code'!E353,views[object_id order],0))</f>
        <v>#N/A</v>
      </c>
      <c r="G353" t="e">
        <f>IF(D352=Lookup!$L$10,1,IF(D352=Lookup!$L$11,G352+1,""))</f>
        <v>#N/A</v>
      </c>
      <c r="H353" t="e">
        <f>IF(F353=1,IF(D353=Lookup!$L$10,2,1),IF(G353&lt;F353-1,0,1))</f>
        <v>#N/A</v>
      </c>
      <c r="I353" t="e">
        <f>IF(D353&lt;&gt;Lookup!$L$7,0,IF(INDEX(views[name],MATCH(E353,views[object_id order],0))&lt;&gt;"",0,1))</f>
        <v>#N/A</v>
      </c>
      <c r="J353" t="e">
        <f>IF(D353&lt;&gt;Lookup!$L$7,0,IF(INDEX(views[icon],MATCH(E353,views[object_id order],0))&lt;&gt;"",0,1))</f>
        <v>#N/A</v>
      </c>
      <c r="K353" t="e">
        <f>IF($D353=Lookup!$L$6,INDEX(views[object_id],MATCH($E353,views[object_id order],0)),"")</f>
        <v>#N/A</v>
      </c>
      <c r="L353" t="e">
        <f>IF($D353=Lookup!$L$8,INDEX(views[name],MATCH($E353,views[object_id order],0)),"")</f>
        <v>#N/A</v>
      </c>
      <c r="M353" t="e">
        <f>IF($D353=Lookup!$L$9,INDEX(views[icon],MATCH($E353,views[object_id order],0)),"")</f>
        <v>#N/A</v>
      </c>
      <c r="N353" t="e">
        <f>IF(OR(D353=Lookup!$L$11,D353=Lookup!$L$12),INDEX(views[[1]:[25]],MATCH($E353,views[object_id order],0),G353),"")</f>
        <v>#N/A</v>
      </c>
      <c r="O353" t="str">
        <f t="shared" si="16"/>
        <v/>
      </c>
      <c r="P353" s="8" t="e">
        <f>INDEX(Lookup!$M$5:$M$12,MATCH(D353,Lookup!$L$5:$L$12,0))&amp;
K353&amp;L353&amp;M353&amp;N353&amp;
INDEX(Lookup!$N$5:$N$12,MATCH(D353,Lookup!$L$5:$L$12,0))</f>
        <v>#N/A</v>
      </c>
    </row>
    <row r="354" spans="2:16" x14ac:dyDescent="0.45">
      <c r="B354">
        <f t="shared" si="15"/>
        <v>352</v>
      </c>
      <c r="C354" t="e">
        <f t="shared" si="17"/>
        <v>#N/A</v>
      </c>
      <c r="D354" t="e">
        <f>VLOOKUP(C354,Lookup!$K$5:$L$12,2,FALSE)</f>
        <v>#N/A</v>
      </c>
      <c r="E354" t="e">
        <f>IF(D354=Lookup!$L$5,E353+1,E353)</f>
        <v>#N/A</v>
      </c>
      <c r="F354" s="3" t="e">
        <f>INDEX(views[Entities count],MATCH('view-code'!E354,views[object_id order],0))</f>
        <v>#N/A</v>
      </c>
      <c r="G354" t="e">
        <f>IF(D353=Lookup!$L$10,1,IF(D353=Lookup!$L$11,G353+1,""))</f>
        <v>#N/A</v>
      </c>
      <c r="H354" t="e">
        <f>IF(F354=1,IF(D354=Lookup!$L$10,2,1),IF(G354&lt;F354-1,0,1))</f>
        <v>#N/A</v>
      </c>
      <c r="I354" t="e">
        <f>IF(D354&lt;&gt;Lookup!$L$7,0,IF(INDEX(views[name],MATCH(E354,views[object_id order],0))&lt;&gt;"",0,1))</f>
        <v>#N/A</v>
      </c>
      <c r="J354" t="e">
        <f>IF(D354&lt;&gt;Lookup!$L$7,0,IF(INDEX(views[icon],MATCH(E354,views[object_id order],0))&lt;&gt;"",0,1))</f>
        <v>#N/A</v>
      </c>
      <c r="K354" t="e">
        <f>IF($D354=Lookup!$L$6,INDEX(views[object_id],MATCH($E354,views[object_id order],0)),"")</f>
        <v>#N/A</v>
      </c>
      <c r="L354" t="e">
        <f>IF($D354=Lookup!$L$8,INDEX(views[name],MATCH($E354,views[object_id order],0)),"")</f>
        <v>#N/A</v>
      </c>
      <c r="M354" t="e">
        <f>IF($D354=Lookup!$L$9,INDEX(views[icon],MATCH($E354,views[object_id order],0)),"")</f>
        <v>#N/A</v>
      </c>
      <c r="N354" t="e">
        <f>IF(OR(D354=Lookup!$L$11,D354=Lookup!$L$12),INDEX(views[[1]:[25]],MATCH($E354,views[object_id order],0),G354),"")</f>
        <v>#N/A</v>
      </c>
      <c r="O354" t="str">
        <f t="shared" si="16"/>
        <v/>
      </c>
      <c r="P354" s="8" t="e">
        <f>INDEX(Lookup!$M$5:$M$12,MATCH(D354,Lookup!$L$5:$L$12,0))&amp;
K354&amp;L354&amp;M354&amp;N354&amp;
INDEX(Lookup!$N$5:$N$12,MATCH(D354,Lookup!$L$5:$L$12,0))</f>
        <v>#N/A</v>
      </c>
    </row>
    <row r="355" spans="2:16" x14ac:dyDescent="0.45">
      <c r="B355">
        <f t="shared" si="15"/>
        <v>353</v>
      </c>
      <c r="C355" t="e">
        <f t="shared" si="17"/>
        <v>#N/A</v>
      </c>
      <c r="D355" t="e">
        <f>VLOOKUP(C355,Lookup!$K$5:$L$12,2,FALSE)</f>
        <v>#N/A</v>
      </c>
      <c r="E355" t="e">
        <f>IF(D355=Lookup!$L$5,E354+1,E354)</f>
        <v>#N/A</v>
      </c>
      <c r="F355" s="3" t="e">
        <f>INDEX(views[Entities count],MATCH('view-code'!E355,views[object_id order],0))</f>
        <v>#N/A</v>
      </c>
      <c r="G355" t="e">
        <f>IF(D354=Lookup!$L$10,1,IF(D354=Lookup!$L$11,G354+1,""))</f>
        <v>#N/A</v>
      </c>
      <c r="H355" t="e">
        <f>IF(F355=1,IF(D355=Lookup!$L$10,2,1),IF(G355&lt;F355-1,0,1))</f>
        <v>#N/A</v>
      </c>
      <c r="I355" t="e">
        <f>IF(D355&lt;&gt;Lookup!$L$7,0,IF(INDEX(views[name],MATCH(E355,views[object_id order],0))&lt;&gt;"",0,1))</f>
        <v>#N/A</v>
      </c>
      <c r="J355" t="e">
        <f>IF(D355&lt;&gt;Lookup!$L$7,0,IF(INDEX(views[icon],MATCH(E355,views[object_id order],0))&lt;&gt;"",0,1))</f>
        <v>#N/A</v>
      </c>
      <c r="K355" t="e">
        <f>IF($D355=Lookup!$L$6,INDEX(views[object_id],MATCH($E355,views[object_id order],0)),"")</f>
        <v>#N/A</v>
      </c>
      <c r="L355" t="e">
        <f>IF($D355=Lookup!$L$8,INDEX(views[name],MATCH($E355,views[object_id order],0)),"")</f>
        <v>#N/A</v>
      </c>
      <c r="M355" t="e">
        <f>IF($D355=Lookup!$L$9,INDEX(views[icon],MATCH($E355,views[object_id order],0)),"")</f>
        <v>#N/A</v>
      </c>
      <c r="N355" t="e">
        <f>IF(OR(D355=Lookup!$L$11,D355=Lookup!$L$12),INDEX(views[[1]:[25]],MATCH($E355,views[object_id order],0),G355),"")</f>
        <v>#N/A</v>
      </c>
      <c r="O355" t="str">
        <f t="shared" si="16"/>
        <v/>
      </c>
      <c r="P355" s="8" t="e">
        <f>INDEX(Lookup!$M$5:$M$12,MATCH(D355,Lookup!$L$5:$L$12,0))&amp;
K355&amp;L355&amp;M355&amp;N355&amp;
INDEX(Lookup!$N$5:$N$12,MATCH(D355,Lookup!$L$5:$L$12,0))</f>
        <v>#N/A</v>
      </c>
    </row>
    <row r="356" spans="2:16" x14ac:dyDescent="0.45">
      <c r="B356">
        <f t="shared" si="15"/>
        <v>354</v>
      </c>
      <c r="C356" t="e">
        <f t="shared" si="17"/>
        <v>#N/A</v>
      </c>
      <c r="D356" t="e">
        <f>VLOOKUP(C356,Lookup!$K$5:$L$12,2,FALSE)</f>
        <v>#N/A</v>
      </c>
      <c r="E356" t="e">
        <f>IF(D356=Lookup!$L$5,E355+1,E355)</f>
        <v>#N/A</v>
      </c>
      <c r="F356" s="3" t="e">
        <f>INDEX(views[Entities count],MATCH('view-code'!E356,views[object_id order],0))</f>
        <v>#N/A</v>
      </c>
      <c r="G356" t="e">
        <f>IF(D355=Lookup!$L$10,1,IF(D355=Lookup!$L$11,G355+1,""))</f>
        <v>#N/A</v>
      </c>
      <c r="H356" t="e">
        <f>IF(F356=1,IF(D356=Lookup!$L$10,2,1),IF(G356&lt;F356-1,0,1))</f>
        <v>#N/A</v>
      </c>
      <c r="I356" t="e">
        <f>IF(D356&lt;&gt;Lookup!$L$7,0,IF(INDEX(views[name],MATCH(E356,views[object_id order],0))&lt;&gt;"",0,1))</f>
        <v>#N/A</v>
      </c>
      <c r="J356" t="e">
        <f>IF(D356&lt;&gt;Lookup!$L$7,0,IF(INDEX(views[icon],MATCH(E356,views[object_id order],0))&lt;&gt;"",0,1))</f>
        <v>#N/A</v>
      </c>
      <c r="K356" t="e">
        <f>IF($D356=Lookup!$L$6,INDEX(views[object_id],MATCH($E356,views[object_id order],0)),"")</f>
        <v>#N/A</v>
      </c>
      <c r="L356" t="e">
        <f>IF($D356=Lookup!$L$8,INDEX(views[name],MATCH($E356,views[object_id order],0)),"")</f>
        <v>#N/A</v>
      </c>
      <c r="M356" t="e">
        <f>IF($D356=Lookup!$L$9,INDEX(views[icon],MATCH($E356,views[object_id order],0)),"")</f>
        <v>#N/A</v>
      </c>
      <c r="N356" t="e">
        <f>IF(OR(D356=Lookup!$L$11,D356=Lookup!$L$12),INDEX(views[[1]:[25]],MATCH($E356,views[object_id order],0),G356),"")</f>
        <v>#N/A</v>
      </c>
      <c r="O356" t="str">
        <f t="shared" si="16"/>
        <v/>
      </c>
      <c r="P356" s="8" t="e">
        <f>INDEX(Lookup!$M$5:$M$12,MATCH(D356,Lookup!$L$5:$L$12,0))&amp;
K356&amp;L356&amp;M356&amp;N356&amp;
INDEX(Lookup!$N$5:$N$12,MATCH(D356,Lookup!$L$5:$L$12,0))</f>
        <v>#N/A</v>
      </c>
    </row>
    <row r="357" spans="2:16" x14ac:dyDescent="0.45">
      <c r="B357">
        <f t="shared" si="15"/>
        <v>355</v>
      </c>
      <c r="C357" t="e">
        <f t="shared" si="17"/>
        <v>#N/A</v>
      </c>
      <c r="D357" t="e">
        <f>VLOOKUP(C357,Lookup!$K$5:$L$12,2,FALSE)</f>
        <v>#N/A</v>
      </c>
      <c r="E357" t="e">
        <f>IF(D357=Lookup!$L$5,E356+1,E356)</f>
        <v>#N/A</v>
      </c>
      <c r="F357" s="3" t="e">
        <f>INDEX(views[Entities count],MATCH('view-code'!E357,views[object_id order],0))</f>
        <v>#N/A</v>
      </c>
      <c r="G357" t="e">
        <f>IF(D356=Lookup!$L$10,1,IF(D356=Lookup!$L$11,G356+1,""))</f>
        <v>#N/A</v>
      </c>
      <c r="H357" t="e">
        <f>IF(F357=1,IF(D357=Lookup!$L$10,2,1),IF(G357&lt;F357-1,0,1))</f>
        <v>#N/A</v>
      </c>
      <c r="I357" t="e">
        <f>IF(D357&lt;&gt;Lookup!$L$7,0,IF(INDEX(views[name],MATCH(E357,views[object_id order],0))&lt;&gt;"",0,1))</f>
        <v>#N/A</v>
      </c>
      <c r="J357" t="e">
        <f>IF(D357&lt;&gt;Lookup!$L$7,0,IF(INDEX(views[icon],MATCH(E357,views[object_id order],0))&lt;&gt;"",0,1))</f>
        <v>#N/A</v>
      </c>
      <c r="K357" t="e">
        <f>IF($D357=Lookup!$L$6,INDEX(views[object_id],MATCH($E357,views[object_id order],0)),"")</f>
        <v>#N/A</v>
      </c>
      <c r="L357" t="e">
        <f>IF($D357=Lookup!$L$8,INDEX(views[name],MATCH($E357,views[object_id order],0)),"")</f>
        <v>#N/A</v>
      </c>
      <c r="M357" t="e">
        <f>IF($D357=Lookup!$L$9,INDEX(views[icon],MATCH($E357,views[object_id order],0)),"")</f>
        <v>#N/A</v>
      </c>
      <c r="N357" t="e">
        <f>IF(OR(D357=Lookup!$L$11,D357=Lookup!$L$12),INDEX(views[[1]:[25]],MATCH($E357,views[object_id order],0),G357),"")</f>
        <v>#N/A</v>
      </c>
      <c r="O357" t="str">
        <f t="shared" si="16"/>
        <v/>
      </c>
      <c r="P357" s="8" t="e">
        <f>INDEX(Lookup!$M$5:$M$12,MATCH(D357,Lookup!$L$5:$L$12,0))&amp;
K357&amp;L357&amp;M357&amp;N357&amp;
INDEX(Lookup!$N$5:$N$12,MATCH(D357,Lookup!$L$5:$L$12,0))</f>
        <v>#N/A</v>
      </c>
    </row>
    <row r="358" spans="2:16" x14ac:dyDescent="0.45">
      <c r="B358">
        <f t="shared" si="15"/>
        <v>356</v>
      </c>
      <c r="C358" t="e">
        <f t="shared" si="17"/>
        <v>#N/A</v>
      </c>
      <c r="D358" t="e">
        <f>VLOOKUP(C358,Lookup!$K$5:$L$12,2,FALSE)</f>
        <v>#N/A</v>
      </c>
      <c r="E358" t="e">
        <f>IF(D358=Lookup!$L$5,E357+1,E357)</f>
        <v>#N/A</v>
      </c>
      <c r="F358" s="3" t="e">
        <f>INDEX(views[Entities count],MATCH('view-code'!E358,views[object_id order],0))</f>
        <v>#N/A</v>
      </c>
      <c r="G358" t="e">
        <f>IF(D357=Lookup!$L$10,1,IF(D357=Lookup!$L$11,G357+1,""))</f>
        <v>#N/A</v>
      </c>
      <c r="H358" t="e">
        <f>IF(F358=1,IF(D358=Lookup!$L$10,2,1),IF(G358&lt;F358-1,0,1))</f>
        <v>#N/A</v>
      </c>
      <c r="I358" t="e">
        <f>IF(D358&lt;&gt;Lookup!$L$7,0,IF(INDEX(views[name],MATCH(E358,views[object_id order],0))&lt;&gt;"",0,1))</f>
        <v>#N/A</v>
      </c>
      <c r="J358" t="e">
        <f>IF(D358&lt;&gt;Lookup!$L$7,0,IF(INDEX(views[icon],MATCH(E358,views[object_id order],0))&lt;&gt;"",0,1))</f>
        <v>#N/A</v>
      </c>
      <c r="K358" t="e">
        <f>IF($D358=Lookup!$L$6,INDEX(views[object_id],MATCH($E358,views[object_id order],0)),"")</f>
        <v>#N/A</v>
      </c>
      <c r="L358" t="e">
        <f>IF($D358=Lookup!$L$8,INDEX(views[name],MATCH($E358,views[object_id order],0)),"")</f>
        <v>#N/A</v>
      </c>
      <c r="M358" t="e">
        <f>IF($D358=Lookup!$L$9,INDEX(views[icon],MATCH($E358,views[object_id order],0)),"")</f>
        <v>#N/A</v>
      </c>
      <c r="N358" t="e">
        <f>IF(OR(D358=Lookup!$L$11,D358=Lookup!$L$12),INDEX(views[[1]:[25]],MATCH($E358,views[object_id order],0),G358),"")</f>
        <v>#N/A</v>
      </c>
      <c r="O358" t="str">
        <f t="shared" si="16"/>
        <v/>
      </c>
      <c r="P358" s="8" t="e">
        <f>INDEX(Lookup!$M$5:$M$12,MATCH(D358,Lookup!$L$5:$L$12,0))&amp;
K358&amp;L358&amp;M358&amp;N358&amp;
INDEX(Lookup!$N$5:$N$12,MATCH(D358,Lookup!$L$5:$L$12,0))</f>
        <v>#N/A</v>
      </c>
    </row>
    <row r="359" spans="2:16" x14ac:dyDescent="0.45">
      <c r="B359">
        <f t="shared" si="15"/>
        <v>357</v>
      </c>
      <c r="C359" t="e">
        <f t="shared" si="17"/>
        <v>#N/A</v>
      </c>
      <c r="D359" t="e">
        <f>VLOOKUP(C359,Lookup!$K$5:$L$12,2,FALSE)</f>
        <v>#N/A</v>
      </c>
      <c r="E359" t="e">
        <f>IF(D359=Lookup!$L$5,E358+1,E358)</f>
        <v>#N/A</v>
      </c>
      <c r="F359" s="3" t="e">
        <f>INDEX(views[Entities count],MATCH('view-code'!E359,views[object_id order],0))</f>
        <v>#N/A</v>
      </c>
      <c r="G359" t="e">
        <f>IF(D358=Lookup!$L$10,1,IF(D358=Lookup!$L$11,G358+1,""))</f>
        <v>#N/A</v>
      </c>
      <c r="H359" t="e">
        <f>IF(F359=1,IF(D359=Lookup!$L$10,2,1),IF(G359&lt;F359-1,0,1))</f>
        <v>#N/A</v>
      </c>
      <c r="I359" t="e">
        <f>IF(D359&lt;&gt;Lookup!$L$7,0,IF(INDEX(views[name],MATCH(E359,views[object_id order],0))&lt;&gt;"",0,1))</f>
        <v>#N/A</v>
      </c>
      <c r="J359" t="e">
        <f>IF(D359&lt;&gt;Lookup!$L$7,0,IF(INDEX(views[icon],MATCH(E359,views[object_id order],0))&lt;&gt;"",0,1))</f>
        <v>#N/A</v>
      </c>
      <c r="K359" t="e">
        <f>IF($D359=Lookup!$L$6,INDEX(views[object_id],MATCH($E359,views[object_id order],0)),"")</f>
        <v>#N/A</v>
      </c>
      <c r="L359" t="e">
        <f>IF($D359=Lookup!$L$8,INDEX(views[name],MATCH($E359,views[object_id order],0)),"")</f>
        <v>#N/A</v>
      </c>
      <c r="M359" t="e">
        <f>IF($D359=Lookup!$L$9,INDEX(views[icon],MATCH($E359,views[object_id order],0)),"")</f>
        <v>#N/A</v>
      </c>
      <c r="N359" t="e">
        <f>IF(OR(D359=Lookup!$L$11,D359=Lookup!$L$12),INDEX(views[[1]:[25]],MATCH($E359,views[object_id order],0),G359),"")</f>
        <v>#N/A</v>
      </c>
      <c r="O359" t="str">
        <f t="shared" si="16"/>
        <v/>
      </c>
      <c r="P359" s="8" t="e">
        <f>INDEX(Lookup!$M$5:$M$12,MATCH(D359,Lookup!$L$5:$L$12,0))&amp;
K359&amp;L359&amp;M359&amp;N359&amp;
INDEX(Lookup!$N$5:$N$12,MATCH(D359,Lookup!$L$5:$L$12,0))</f>
        <v>#N/A</v>
      </c>
    </row>
    <row r="360" spans="2:16" x14ac:dyDescent="0.45">
      <c r="B360">
        <f t="shared" si="15"/>
        <v>358</v>
      </c>
      <c r="C360" t="e">
        <f t="shared" si="17"/>
        <v>#N/A</v>
      </c>
      <c r="D360" t="e">
        <f>VLOOKUP(C360,Lookup!$K$5:$L$12,2,FALSE)</f>
        <v>#N/A</v>
      </c>
      <c r="E360" t="e">
        <f>IF(D360=Lookup!$L$5,E359+1,E359)</f>
        <v>#N/A</v>
      </c>
      <c r="F360" s="3" t="e">
        <f>INDEX(views[Entities count],MATCH('view-code'!E360,views[object_id order],0))</f>
        <v>#N/A</v>
      </c>
      <c r="G360" t="e">
        <f>IF(D359=Lookup!$L$10,1,IF(D359=Lookup!$L$11,G359+1,""))</f>
        <v>#N/A</v>
      </c>
      <c r="H360" t="e">
        <f>IF(F360=1,IF(D360=Lookup!$L$10,2,1),IF(G360&lt;F360-1,0,1))</f>
        <v>#N/A</v>
      </c>
      <c r="I360" t="e">
        <f>IF(D360&lt;&gt;Lookup!$L$7,0,IF(INDEX(views[name],MATCH(E360,views[object_id order],0))&lt;&gt;"",0,1))</f>
        <v>#N/A</v>
      </c>
      <c r="J360" t="e">
        <f>IF(D360&lt;&gt;Lookup!$L$7,0,IF(INDEX(views[icon],MATCH(E360,views[object_id order],0))&lt;&gt;"",0,1))</f>
        <v>#N/A</v>
      </c>
      <c r="K360" t="e">
        <f>IF($D360=Lookup!$L$6,INDEX(views[object_id],MATCH($E360,views[object_id order],0)),"")</f>
        <v>#N/A</v>
      </c>
      <c r="L360" t="e">
        <f>IF($D360=Lookup!$L$8,INDEX(views[name],MATCH($E360,views[object_id order],0)),"")</f>
        <v>#N/A</v>
      </c>
      <c r="M360" t="e">
        <f>IF($D360=Lookup!$L$9,INDEX(views[icon],MATCH($E360,views[object_id order],0)),"")</f>
        <v>#N/A</v>
      </c>
      <c r="N360" t="e">
        <f>IF(OR(D360=Lookup!$L$11,D360=Lookup!$L$12),INDEX(views[[1]:[25]],MATCH($E360,views[object_id order],0),G360),"")</f>
        <v>#N/A</v>
      </c>
      <c r="O360" t="str">
        <f t="shared" si="16"/>
        <v/>
      </c>
      <c r="P360" s="8" t="e">
        <f>INDEX(Lookup!$M$5:$M$12,MATCH(D360,Lookup!$L$5:$L$12,0))&amp;
K360&amp;L360&amp;M360&amp;N360&amp;
INDEX(Lookup!$N$5:$N$12,MATCH(D360,Lookup!$L$5:$L$12,0))</f>
        <v>#N/A</v>
      </c>
    </row>
    <row r="361" spans="2:16" x14ac:dyDescent="0.45">
      <c r="B361">
        <f t="shared" si="15"/>
        <v>359</v>
      </c>
      <c r="C361" t="e">
        <f t="shared" si="17"/>
        <v>#N/A</v>
      </c>
      <c r="D361" t="e">
        <f>VLOOKUP(C361,Lookup!$K$5:$L$12,2,FALSE)</f>
        <v>#N/A</v>
      </c>
      <c r="E361" t="e">
        <f>IF(D361=Lookup!$L$5,E360+1,E360)</f>
        <v>#N/A</v>
      </c>
      <c r="F361" s="3" t="e">
        <f>INDEX(views[Entities count],MATCH('view-code'!E361,views[object_id order],0))</f>
        <v>#N/A</v>
      </c>
      <c r="G361" t="e">
        <f>IF(D360=Lookup!$L$10,1,IF(D360=Lookup!$L$11,G360+1,""))</f>
        <v>#N/A</v>
      </c>
      <c r="H361" t="e">
        <f>IF(F361=1,IF(D361=Lookup!$L$10,2,1),IF(G361&lt;F361-1,0,1))</f>
        <v>#N/A</v>
      </c>
      <c r="I361" t="e">
        <f>IF(D361&lt;&gt;Lookup!$L$7,0,IF(INDEX(views[name],MATCH(E361,views[object_id order],0))&lt;&gt;"",0,1))</f>
        <v>#N/A</v>
      </c>
      <c r="J361" t="e">
        <f>IF(D361&lt;&gt;Lookup!$L$7,0,IF(INDEX(views[icon],MATCH(E361,views[object_id order],0))&lt;&gt;"",0,1))</f>
        <v>#N/A</v>
      </c>
      <c r="K361" t="e">
        <f>IF($D361=Lookup!$L$6,INDEX(views[object_id],MATCH($E361,views[object_id order],0)),"")</f>
        <v>#N/A</v>
      </c>
      <c r="L361" t="e">
        <f>IF($D361=Lookup!$L$8,INDEX(views[name],MATCH($E361,views[object_id order],0)),"")</f>
        <v>#N/A</v>
      </c>
      <c r="M361" t="e">
        <f>IF($D361=Lookup!$L$9,INDEX(views[icon],MATCH($E361,views[object_id order],0)),"")</f>
        <v>#N/A</v>
      </c>
      <c r="N361" t="e">
        <f>IF(OR(D361=Lookup!$L$11,D361=Lookup!$L$12),INDEX(views[[1]:[25]],MATCH($E361,views[object_id order],0),G361),"")</f>
        <v>#N/A</v>
      </c>
      <c r="O361" t="str">
        <f t="shared" si="16"/>
        <v/>
      </c>
      <c r="P361" s="8" t="e">
        <f>INDEX(Lookup!$M$5:$M$12,MATCH(D361,Lookup!$L$5:$L$12,0))&amp;
K361&amp;L361&amp;M361&amp;N361&amp;
INDEX(Lookup!$N$5:$N$12,MATCH(D361,Lookup!$L$5:$L$12,0))</f>
        <v>#N/A</v>
      </c>
    </row>
    <row r="362" spans="2:16" x14ac:dyDescent="0.45">
      <c r="B362">
        <f t="shared" si="15"/>
        <v>360</v>
      </c>
      <c r="C362" t="e">
        <f t="shared" si="17"/>
        <v>#N/A</v>
      </c>
      <c r="D362" t="e">
        <f>VLOOKUP(C362,Lookup!$K$5:$L$12,2,FALSE)</f>
        <v>#N/A</v>
      </c>
      <c r="E362" t="e">
        <f>IF(D362=Lookup!$L$5,E361+1,E361)</f>
        <v>#N/A</v>
      </c>
      <c r="F362" s="3" t="e">
        <f>INDEX(views[Entities count],MATCH('view-code'!E362,views[object_id order],0))</f>
        <v>#N/A</v>
      </c>
      <c r="G362" t="e">
        <f>IF(D361=Lookup!$L$10,1,IF(D361=Lookup!$L$11,G361+1,""))</f>
        <v>#N/A</v>
      </c>
      <c r="H362" t="e">
        <f>IF(F362=1,IF(D362=Lookup!$L$10,2,1),IF(G362&lt;F362-1,0,1))</f>
        <v>#N/A</v>
      </c>
      <c r="I362" t="e">
        <f>IF(D362&lt;&gt;Lookup!$L$7,0,IF(INDEX(views[name],MATCH(E362,views[object_id order],0))&lt;&gt;"",0,1))</f>
        <v>#N/A</v>
      </c>
      <c r="J362" t="e">
        <f>IF(D362&lt;&gt;Lookup!$L$7,0,IF(INDEX(views[icon],MATCH(E362,views[object_id order],0))&lt;&gt;"",0,1))</f>
        <v>#N/A</v>
      </c>
      <c r="K362" t="e">
        <f>IF($D362=Lookup!$L$6,INDEX(views[object_id],MATCH($E362,views[object_id order],0)),"")</f>
        <v>#N/A</v>
      </c>
      <c r="L362" t="e">
        <f>IF($D362=Lookup!$L$8,INDEX(views[name],MATCH($E362,views[object_id order],0)),"")</f>
        <v>#N/A</v>
      </c>
      <c r="M362" t="e">
        <f>IF($D362=Lookup!$L$9,INDEX(views[icon],MATCH($E362,views[object_id order],0)),"")</f>
        <v>#N/A</v>
      </c>
      <c r="N362" t="e">
        <f>IF(OR(D362=Lookup!$L$11,D362=Lookup!$L$12),INDEX(views[[1]:[25]],MATCH($E362,views[object_id order],0),G362),"")</f>
        <v>#N/A</v>
      </c>
      <c r="O362" t="str">
        <f t="shared" si="16"/>
        <v/>
      </c>
      <c r="P362" s="8" t="e">
        <f>INDEX(Lookup!$M$5:$M$12,MATCH(D362,Lookup!$L$5:$L$12,0))&amp;
K362&amp;L362&amp;M362&amp;N362&amp;
INDEX(Lookup!$N$5:$N$12,MATCH(D362,Lookup!$L$5:$L$12,0))</f>
        <v>#N/A</v>
      </c>
    </row>
    <row r="363" spans="2:16" x14ac:dyDescent="0.45">
      <c r="B363">
        <f t="shared" si="15"/>
        <v>361</v>
      </c>
      <c r="C363" t="e">
        <f t="shared" si="17"/>
        <v>#N/A</v>
      </c>
      <c r="D363" t="e">
        <f>VLOOKUP(C363,Lookup!$K$5:$L$12,2,FALSE)</f>
        <v>#N/A</v>
      </c>
      <c r="E363" t="e">
        <f>IF(D363=Lookup!$L$5,E362+1,E362)</f>
        <v>#N/A</v>
      </c>
      <c r="F363" s="3" t="e">
        <f>INDEX(views[Entities count],MATCH('view-code'!E363,views[object_id order],0))</f>
        <v>#N/A</v>
      </c>
      <c r="G363" t="e">
        <f>IF(D362=Lookup!$L$10,1,IF(D362=Lookup!$L$11,G362+1,""))</f>
        <v>#N/A</v>
      </c>
      <c r="H363" t="e">
        <f>IF(F363=1,IF(D363=Lookup!$L$10,2,1),IF(G363&lt;F363-1,0,1))</f>
        <v>#N/A</v>
      </c>
      <c r="I363" t="e">
        <f>IF(D363&lt;&gt;Lookup!$L$7,0,IF(INDEX(views[name],MATCH(E363,views[object_id order],0))&lt;&gt;"",0,1))</f>
        <v>#N/A</v>
      </c>
      <c r="J363" t="e">
        <f>IF(D363&lt;&gt;Lookup!$L$7,0,IF(INDEX(views[icon],MATCH(E363,views[object_id order],0))&lt;&gt;"",0,1))</f>
        <v>#N/A</v>
      </c>
      <c r="K363" t="e">
        <f>IF($D363=Lookup!$L$6,INDEX(views[object_id],MATCH($E363,views[object_id order],0)),"")</f>
        <v>#N/A</v>
      </c>
      <c r="L363" t="e">
        <f>IF($D363=Lookup!$L$8,INDEX(views[name],MATCH($E363,views[object_id order],0)),"")</f>
        <v>#N/A</v>
      </c>
      <c r="M363" t="e">
        <f>IF($D363=Lookup!$L$9,INDEX(views[icon],MATCH($E363,views[object_id order],0)),"")</f>
        <v>#N/A</v>
      </c>
      <c r="N363" t="e">
        <f>IF(OR(D363=Lookup!$L$11,D363=Lookup!$L$12),INDEX(views[[1]:[25]],MATCH($E363,views[object_id order],0),G363),"")</f>
        <v>#N/A</v>
      </c>
      <c r="O363" t="str">
        <f t="shared" si="16"/>
        <v/>
      </c>
      <c r="P363" s="8" t="e">
        <f>INDEX(Lookup!$M$5:$M$12,MATCH(D363,Lookup!$L$5:$L$12,0))&amp;
K363&amp;L363&amp;M363&amp;N363&amp;
INDEX(Lookup!$N$5:$N$12,MATCH(D363,Lookup!$L$5:$L$12,0))</f>
        <v>#N/A</v>
      </c>
    </row>
    <row r="364" spans="2:16" x14ac:dyDescent="0.45">
      <c r="B364">
        <f t="shared" si="15"/>
        <v>362</v>
      </c>
      <c r="C364" t="e">
        <f t="shared" si="17"/>
        <v>#N/A</v>
      </c>
      <c r="D364" t="e">
        <f>VLOOKUP(C364,Lookup!$K$5:$L$12,2,FALSE)</f>
        <v>#N/A</v>
      </c>
      <c r="E364" t="e">
        <f>IF(D364=Lookup!$L$5,E363+1,E363)</f>
        <v>#N/A</v>
      </c>
      <c r="F364" s="3" t="e">
        <f>INDEX(views[Entities count],MATCH('view-code'!E364,views[object_id order],0))</f>
        <v>#N/A</v>
      </c>
      <c r="G364" t="e">
        <f>IF(D363=Lookup!$L$10,1,IF(D363=Lookup!$L$11,G363+1,""))</f>
        <v>#N/A</v>
      </c>
      <c r="H364" t="e">
        <f>IF(F364=1,IF(D364=Lookup!$L$10,2,1),IF(G364&lt;F364-1,0,1))</f>
        <v>#N/A</v>
      </c>
      <c r="I364" t="e">
        <f>IF(D364&lt;&gt;Lookup!$L$7,0,IF(INDEX(views[name],MATCH(E364,views[object_id order],0))&lt;&gt;"",0,1))</f>
        <v>#N/A</v>
      </c>
      <c r="J364" t="e">
        <f>IF(D364&lt;&gt;Lookup!$L$7,0,IF(INDEX(views[icon],MATCH(E364,views[object_id order],0))&lt;&gt;"",0,1))</f>
        <v>#N/A</v>
      </c>
      <c r="K364" t="e">
        <f>IF($D364=Lookup!$L$6,INDEX(views[object_id],MATCH($E364,views[object_id order],0)),"")</f>
        <v>#N/A</v>
      </c>
      <c r="L364" t="e">
        <f>IF($D364=Lookup!$L$8,INDEX(views[name],MATCH($E364,views[object_id order],0)),"")</f>
        <v>#N/A</v>
      </c>
      <c r="M364" t="e">
        <f>IF($D364=Lookup!$L$9,INDEX(views[icon],MATCH($E364,views[object_id order],0)),"")</f>
        <v>#N/A</v>
      </c>
      <c r="N364" t="e">
        <f>IF(OR(D364=Lookup!$L$11,D364=Lookup!$L$12),INDEX(views[[1]:[25]],MATCH($E364,views[object_id order],0),G364),"")</f>
        <v>#N/A</v>
      </c>
      <c r="O364" t="str">
        <f t="shared" si="16"/>
        <v/>
      </c>
      <c r="P364" s="8" t="e">
        <f>INDEX(Lookup!$M$5:$M$12,MATCH(D364,Lookup!$L$5:$L$12,0))&amp;
K364&amp;L364&amp;M364&amp;N364&amp;
INDEX(Lookup!$N$5:$N$12,MATCH(D364,Lookup!$L$5:$L$12,0))</f>
        <v>#N/A</v>
      </c>
    </row>
    <row r="365" spans="2:16" x14ac:dyDescent="0.45">
      <c r="B365">
        <f t="shared" si="15"/>
        <v>363</v>
      </c>
      <c r="C365" t="e">
        <f t="shared" si="17"/>
        <v>#N/A</v>
      </c>
      <c r="D365" t="e">
        <f>VLOOKUP(C365,Lookup!$K$5:$L$12,2,FALSE)</f>
        <v>#N/A</v>
      </c>
      <c r="E365" t="e">
        <f>IF(D365=Lookup!$L$5,E364+1,E364)</f>
        <v>#N/A</v>
      </c>
      <c r="F365" s="3" t="e">
        <f>INDEX(views[Entities count],MATCH('view-code'!E365,views[object_id order],0))</f>
        <v>#N/A</v>
      </c>
      <c r="G365" t="e">
        <f>IF(D364=Lookup!$L$10,1,IF(D364=Lookup!$L$11,G364+1,""))</f>
        <v>#N/A</v>
      </c>
      <c r="H365" t="e">
        <f>IF(F365=1,IF(D365=Lookup!$L$10,2,1),IF(G365&lt;F365-1,0,1))</f>
        <v>#N/A</v>
      </c>
      <c r="I365" t="e">
        <f>IF(D365&lt;&gt;Lookup!$L$7,0,IF(INDEX(views[name],MATCH(E365,views[object_id order],0))&lt;&gt;"",0,1))</f>
        <v>#N/A</v>
      </c>
      <c r="J365" t="e">
        <f>IF(D365&lt;&gt;Lookup!$L$7,0,IF(INDEX(views[icon],MATCH(E365,views[object_id order],0))&lt;&gt;"",0,1))</f>
        <v>#N/A</v>
      </c>
      <c r="K365" t="e">
        <f>IF($D365=Lookup!$L$6,INDEX(views[object_id],MATCH($E365,views[object_id order],0)),"")</f>
        <v>#N/A</v>
      </c>
      <c r="L365" t="e">
        <f>IF($D365=Lookup!$L$8,INDEX(views[name],MATCH($E365,views[object_id order],0)),"")</f>
        <v>#N/A</v>
      </c>
      <c r="M365" t="e">
        <f>IF($D365=Lookup!$L$9,INDEX(views[icon],MATCH($E365,views[object_id order],0)),"")</f>
        <v>#N/A</v>
      </c>
      <c r="N365" t="e">
        <f>IF(OR(D365=Lookup!$L$11,D365=Lookup!$L$12),INDEX(views[[1]:[25]],MATCH($E365,views[object_id order],0),G365),"")</f>
        <v>#N/A</v>
      </c>
      <c r="O365" t="str">
        <f t="shared" si="16"/>
        <v/>
      </c>
      <c r="P365" s="8" t="e">
        <f>INDEX(Lookup!$M$5:$M$12,MATCH(D365,Lookup!$L$5:$L$12,0))&amp;
K365&amp;L365&amp;M365&amp;N365&amp;
INDEX(Lookup!$N$5:$N$12,MATCH(D365,Lookup!$L$5:$L$12,0))</f>
        <v>#N/A</v>
      </c>
    </row>
    <row r="366" spans="2:16" x14ac:dyDescent="0.45">
      <c r="B366">
        <f t="shared" si="15"/>
        <v>364</v>
      </c>
      <c r="C366" t="e">
        <f t="shared" si="17"/>
        <v>#N/A</v>
      </c>
      <c r="D366" t="e">
        <f>VLOOKUP(C366,Lookup!$K$5:$L$12,2,FALSE)</f>
        <v>#N/A</v>
      </c>
      <c r="E366" t="e">
        <f>IF(D366=Lookup!$L$5,E365+1,E365)</f>
        <v>#N/A</v>
      </c>
      <c r="F366" s="3" t="e">
        <f>INDEX(views[Entities count],MATCH('view-code'!E366,views[object_id order],0))</f>
        <v>#N/A</v>
      </c>
      <c r="G366" t="e">
        <f>IF(D365=Lookup!$L$10,1,IF(D365=Lookup!$L$11,G365+1,""))</f>
        <v>#N/A</v>
      </c>
      <c r="H366" t="e">
        <f>IF(F366=1,IF(D366=Lookup!$L$10,2,1),IF(G366&lt;F366-1,0,1))</f>
        <v>#N/A</v>
      </c>
      <c r="I366" t="e">
        <f>IF(D366&lt;&gt;Lookup!$L$7,0,IF(INDEX(views[name],MATCH(E366,views[object_id order],0))&lt;&gt;"",0,1))</f>
        <v>#N/A</v>
      </c>
      <c r="J366" t="e">
        <f>IF(D366&lt;&gt;Lookup!$L$7,0,IF(INDEX(views[icon],MATCH(E366,views[object_id order],0))&lt;&gt;"",0,1))</f>
        <v>#N/A</v>
      </c>
      <c r="K366" t="e">
        <f>IF($D366=Lookup!$L$6,INDEX(views[object_id],MATCH($E366,views[object_id order],0)),"")</f>
        <v>#N/A</v>
      </c>
      <c r="L366" t="e">
        <f>IF($D366=Lookup!$L$8,INDEX(views[name],MATCH($E366,views[object_id order],0)),"")</f>
        <v>#N/A</v>
      </c>
      <c r="M366" t="e">
        <f>IF($D366=Lookup!$L$9,INDEX(views[icon],MATCH($E366,views[object_id order],0)),"")</f>
        <v>#N/A</v>
      </c>
      <c r="N366" t="e">
        <f>IF(OR(D366=Lookup!$L$11,D366=Lookup!$L$12),INDEX(views[[1]:[25]],MATCH($E366,views[object_id order],0),G366),"")</f>
        <v>#N/A</v>
      </c>
      <c r="O366" t="str">
        <f t="shared" si="16"/>
        <v/>
      </c>
      <c r="P366" s="8" t="e">
        <f>INDEX(Lookup!$M$5:$M$12,MATCH(D366,Lookup!$L$5:$L$12,0))&amp;
K366&amp;L366&amp;M366&amp;N366&amp;
INDEX(Lookup!$N$5:$N$12,MATCH(D366,Lookup!$L$5:$L$12,0))</f>
        <v>#N/A</v>
      </c>
    </row>
    <row r="367" spans="2:16" x14ac:dyDescent="0.45">
      <c r="B367">
        <f t="shared" si="15"/>
        <v>365</v>
      </c>
      <c r="C367" t="e">
        <f t="shared" si="17"/>
        <v>#N/A</v>
      </c>
      <c r="D367" t="e">
        <f>VLOOKUP(C367,Lookup!$K$5:$L$12,2,FALSE)</f>
        <v>#N/A</v>
      </c>
      <c r="E367" t="e">
        <f>IF(D367=Lookup!$L$5,E366+1,E366)</f>
        <v>#N/A</v>
      </c>
      <c r="F367" s="3" t="e">
        <f>INDEX(views[Entities count],MATCH('view-code'!E367,views[object_id order],0))</f>
        <v>#N/A</v>
      </c>
      <c r="G367" t="e">
        <f>IF(D366=Lookup!$L$10,1,IF(D366=Lookup!$L$11,G366+1,""))</f>
        <v>#N/A</v>
      </c>
      <c r="H367" t="e">
        <f>IF(F367=1,IF(D367=Lookup!$L$10,2,1),IF(G367&lt;F367-1,0,1))</f>
        <v>#N/A</v>
      </c>
      <c r="I367" t="e">
        <f>IF(D367&lt;&gt;Lookup!$L$7,0,IF(INDEX(views[name],MATCH(E367,views[object_id order],0))&lt;&gt;"",0,1))</f>
        <v>#N/A</v>
      </c>
      <c r="J367" t="e">
        <f>IF(D367&lt;&gt;Lookup!$L$7,0,IF(INDEX(views[icon],MATCH(E367,views[object_id order],0))&lt;&gt;"",0,1))</f>
        <v>#N/A</v>
      </c>
      <c r="K367" t="e">
        <f>IF($D367=Lookup!$L$6,INDEX(views[object_id],MATCH($E367,views[object_id order],0)),"")</f>
        <v>#N/A</v>
      </c>
      <c r="L367" t="e">
        <f>IF($D367=Lookup!$L$8,INDEX(views[name],MATCH($E367,views[object_id order],0)),"")</f>
        <v>#N/A</v>
      </c>
      <c r="M367" t="e">
        <f>IF($D367=Lookup!$L$9,INDEX(views[icon],MATCH($E367,views[object_id order],0)),"")</f>
        <v>#N/A</v>
      </c>
      <c r="N367" t="e">
        <f>IF(OR(D367=Lookup!$L$11,D367=Lookup!$L$12),INDEX(views[[1]:[25]],MATCH($E367,views[object_id order],0),G367),"")</f>
        <v>#N/A</v>
      </c>
      <c r="O367" t="str">
        <f t="shared" si="16"/>
        <v/>
      </c>
      <c r="P367" s="8" t="e">
        <f>INDEX(Lookup!$M$5:$M$12,MATCH(D367,Lookup!$L$5:$L$12,0))&amp;
K367&amp;L367&amp;M367&amp;N367&amp;
INDEX(Lookup!$N$5:$N$12,MATCH(D367,Lookup!$L$5:$L$12,0))</f>
        <v>#N/A</v>
      </c>
    </row>
    <row r="368" spans="2:16" x14ac:dyDescent="0.45">
      <c r="B368">
        <f t="shared" si="15"/>
        <v>366</v>
      </c>
      <c r="C368" t="e">
        <f t="shared" si="17"/>
        <v>#N/A</v>
      </c>
      <c r="D368" t="e">
        <f>VLOOKUP(C368,Lookup!$K$5:$L$12,2,FALSE)</f>
        <v>#N/A</v>
      </c>
      <c r="E368" t="e">
        <f>IF(D368=Lookup!$L$5,E367+1,E367)</f>
        <v>#N/A</v>
      </c>
      <c r="F368" s="3" t="e">
        <f>INDEX(views[Entities count],MATCH('view-code'!E368,views[object_id order],0))</f>
        <v>#N/A</v>
      </c>
      <c r="G368" t="e">
        <f>IF(D367=Lookup!$L$10,1,IF(D367=Lookup!$L$11,G367+1,""))</f>
        <v>#N/A</v>
      </c>
      <c r="H368" t="e">
        <f>IF(F368=1,IF(D368=Lookup!$L$10,2,1),IF(G368&lt;F368-1,0,1))</f>
        <v>#N/A</v>
      </c>
      <c r="I368" t="e">
        <f>IF(D368&lt;&gt;Lookup!$L$7,0,IF(INDEX(views[name],MATCH(E368,views[object_id order],0))&lt;&gt;"",0,1))</f>
        <v>#N/A</v>
      </c>
      <c r="J368" t="e">
        <f>IF(D368&lt;&gt;Lookup!$L$7,0,IF(INDEX(views[icon],MATCH(E368,views[object_id order],0))&lt;&gt;"",0,1))</f>
        <v>#N/A</v>
      </c>
      <c r="K368" t="e">
        <f>IF($D368=Lookup!$L$6,INDEX(views[object_id],MATCH($E368,views[object_id order],0)),"")</f>
        <v>#N/A</v>
      </c>
      <c r="L368" t="e">
        <f>IF($D368=Lookup!$L$8,INDEX(views[name],MATCH($E368,views[object_id order],0)),"")</f>
        <v>#N/A</v>
      </c>
      <c r="M368" t="e">
        <f>IF($D368=Lookup!$L$9,INDEX(views[icon],MATCH($E368,views[object_id order],0)),"")</f>
        <v>#N/A</v>
      </c>
      <c r="N368" t="e">
        <f>IF(OR(D368=Lookup!$L$11,D368=Lookup!$L$12),INDEX(views[[1]:[25]],MATCH($E368,views[object_id order],0),G368),"")</f>
        <v>#N/A</v>
      </c>
      <c r="O368" t="str">
        <f t="shared" si="16"/>
        <v/>
      </c>
      <c r="P368" s="8" t="e">
        <f>INDEX(Lookup!$M$5:$M$12,MATCH(D368,Lookup!$L$5:$L$12,0))&amp;
K368&amp;L368&amp;M368&amp;N368&amp;
INDEX(Lookup!$N$5:$N$12,MATCH(D368,Lookup!$L$5:$L$12,0))</f>
        <v>#N/A</v>
      </c>
    </row>
    <row r="369" spans="2:16" x14ac:dyDescent="0.45">
      <c r="B369">
        <f t="shared" si="15"/>
        <v>367</v>
      </c>
      <c r="C369" t="e">
        <f t="shared" si="17"/>
        <v>#N/A</v>
      </c>
      <c r="D369" t="e">
        <f>VLOOKUP(C369,Lookup!$K$5:$L$12,2,FALSE)</f>
        <v>#N/A</v>
      </c>
      <c r="E369" t="e">
        <f>IF(D369=Lookup!$L$5,E368+1,E368)</f>
        <v>#N/A</v>
      </c>
      <c r="F369" s="3" t="e">
        <f>INDEX(views[Entities count],MATCH('view-code'!E369,views[object_id order],0))</f>
        <v>#N/A</v>
      </c>
      <c r="G369" t="e">
        <f>IF(D368=Lookup!$L$10,1,IF(D368=Lookup!$L$11,G368+1,""))</f>
        <v>#N/A</v>
      </c>
      <c r="H369" t="e">
        <f>IF(F369=1,IF(D369=Lookup!$L$10,2,1),IF(G369&lt;F369-1,0,1))</f>
        <v>#N/A</v>
      </c>
      <c r="I369" t="e">
        <f>IF(D369&lt;&gt;Lookup!$L$7,0,IF(INDEX(views[name],MATCH(E369,views[object_id order],0))&lt;&gt;"",0,1))</f>
        <v>#N/A</v>
      </c>
      <c r="J369" t="e">
        <f>IF(D369&lt;&gt;Lookup!$L$7,0,IF(INDEX(views[icon],MATCH(E369,views[object_id order],0))&lt;&gt;"",0,1))</f>
        <v>#N/A</v>
      </c>
      <c r="K369" t="e">
        <f>IF($D369=Lookup!$L$6,INDEX(views[object_id],MATCH($E369,views[object_id order],0)),"")</f>
        <v>#N/A</v>
      </c>
      <c r="L369" t="e">
        <f>IF($D369=Lookup!$L$8,INDEX(views[name],MATCH($E369,views[object_id order],0)),"")</f>
        <v>#N/A</v>
      </c>
      <c r="M369" t="e">
        <f>IF($D369=Lookup!$L$9,INDEX(views[icon],MATCH($E369,views[object_id order],0)),"")</f>
        <v>#N/A</v>
      </c>
      <c r="N369" t="e">
        <f>IF(OR(D369=Lookup!$L$11,D369=Lookup!$L$12),INDEX(views[[1]:[25]],MATCH($E369,views[object_id order],0),G369),"")</f>
        <v>#N/A</v>
      </c>
      <c r="O369" t="str">
        <f t="shared" si="16"/>
        <v/>
      </c>
      <c r="P369" s="8" t="e">
        <f>INDEX(Lookup!$M$5:$M$12,MATCH(D369,Lookup!$L$5:$L$12,0))&amp;
K369&amp;L369&amp;M369&amp;N369&amp;
INDEX(Lookup!$N$5:$N$12,MATCH(D369,Lookup!$L$5:$L$12,0))</f>
        <v>#N/A</v>
      </c>
    </row>
    <row r="370" spans="2:16" x14ac:dyDescent="0.45">
      <c r="B370">
        <f t="shared" si="15"/>
        <v>368</v>
      </c>
      <c r="C370" t="e">
        <f t="shared" si="17"/>
        <v>#N/A</v>
      </c>
      <c r="D370" t="e">
        <f>VLOOKUP(C370,Lookup!$K$5:$L$12,2,FALSE)</f>
        <v>#N/A</v>
      </c>
      <c r="E370" t="e">
        <f>IF(D370=Lookup!$L$5,E369+1,E369)</f>
        <v>#N/A</v>
      </c>
      <c r="F370" s="3" t="e">
        <f>INDEX(views[Entities count],MATCH('view-code'!E370,views[object_id order],0))</f>
        <v>#N/A</v>
      </c>
      <c r="G370" t="e">
        <f>IF(D369=Lookup!$L$10,1,IF(D369=Lookup!$L$11,G369+1,""))</f>
        <v>#N/A</v>
      </c>
      <c r="H370" t="e">
        <f>IF(F370=1,IF(D370=Lookup!$L$10,2,1),IF(G370&lt;F370-1,0,1))</f>
        <v>#N/A</v>
      </c>
      <c r="I370" t="e">
        <f>IF(D370&lt;&gt;Lookup!$L$7,0,IF(INDEX(views[name],MATCH(E370,views[object_id order],0))&lt;&gt;"",0,1))</f>
        <v>#N/A</v>
      </c>
      <c r="J370" t="e">
        <f>IF(D370&lt;&gt;Lookup!$L$7,0,IF(INDEX(views[icon],MATCH(E370,views[object_id order],0))&lt;&gt;"",0,1))</f>
        <v>#N/A</v>
      </c>
      <c r="K370" t="e">
        <f>IF($D370=Lookup!$L$6,INDEX(views[object_id],MATCH($E370,views[object_id order],0)),"")</f>
        <v>#N/A</v>
      </c>
      <c r="L370" t="e">
        <f>IF($D370=Lookup!$L$8,INDEX(views[name],MATCH($E370,views[object_id order],0)),"")</f>
        <v>#N/A</v>
      </c>
      <c r="M370" t="e">
        <f>IF($D370=Lookup!$L$9,INDEX(views[icon],MATCH($E370,views[object_id order],0)),"")</f>
        <v>#N/A</v>
      </c>
      <c r="N370" t="e">
        <f>IF(OR(D370=Lookup!$L$11,D370=Lookup!$L$12),INDEX(views[[1]:[25]],MATCH($E370,views[object_id order],0),G370),"")</f>
        <v>#N/A</v>
      </c>
      <c r="O370" t="str">
        <f t="shared" si="16"/>
        <v/>
      </c>
      <c r="P370" s="8" t="e">
        <f>INDEX(Lookup!$M$5:$M$12,MATCH(D370,Lookup!$L$5:$L$12,0))&amp;
K370&amp;L370&amp;M370&amp;N370&amp;
INDEX(Lookup!$N$5:$N$12,MATCH(D370,Lookup!$L$5:$L$12,0))</f>
        <v>#N/A</v>
      </c>
    </row>
    <row r="371" spans="2:16" x14ac:dyDescent="0.45">
      <c r="B371">
        <f t="shared" si="15"/>
        <v>369</v>
      </c>
      <c r="C371" t="e">
        <f t="shared" si="17"/>
        <v>#N/A</v>
      </c>
      <c r="D371" t="e">
        <f>VLOOKUP(C371,Lookup!$K$5:$L$12,2,FALSE)</f>
        <v>#N/A</v>
      </c>
      <c r="E371" t="e">
        <f>IF(D371=Lookup!$L$5,E370+1,E370)</f>
        <v>#N/A</v>
      </c>
      <c r="F371" s="3" t="e">
        <f>INDEX(views[Entities count],MATCH('view-code'!E371,views[object_id order],0))</f>
        <v>#N/A</v>
      </c>
      <c r="G371" t="e">
        <f>IF(D370=Lookup!$L$10,1,IF(D370=Lookup!$L$11,G370+1,""))</f>
        <v>#N/A</v>
      </c>
      <c r="H371" t="e">
        <f>IF(F371=1,IF(D371=Lookup!$L$10,2,1),IF(G371&lt;F371-1,0,1))</f>
        <v>#N/A</v>
      </c>
      <c r="I371" t="e">
        <f>IF(D371&lt;&gt;Lookup!$L$7,0,IF(INDEX(views[name],MATCH(E371,views[object_id order],0))&lt;&gt;"",0,1))</f>
        <v>#N/A</v>
      </c>
      <c r="J371" t="e">
        <f>IF(D371&lt;&gt;Lookup!$L$7,0,IF(INDEX(views[icon],MATCH(E371,views[object_id order],0))&lt;&gt;"",0,1))</f>
        <v>#N/A</v>
      </c>
      <c r="K371" t="e">
        <f>IF($D371=Lookup!$L$6,INDEX(views[object_id],MATCH($E371,views[object_id order],0)),"")</f>
        <v>#N/A</v>
      </c>
      <c r="L371" t="e">
        <f>IF($D371=Lookup!$L$8,INDEX(views[name],MATCH($E371,views[object_id order],0)),"")</f>
        <v>#N/A</v>
      </c>
      <c r="M371" t="e">
        <f>IF($D371=Lookup!$L$9,INDEX(views[icon],MATCH($E371,views[object_id order],0)),"")</f>
        <v>#N/A</v>
      </c>
      <c r="N371" t="e">
        <f>IF(OR(D371=Lookup!$L$11,D371=Lookup!$L$12),INDEX(views[[1]:[25]],MATCH($E371,views[object_id order],0),G371),"")</f>
        <v>#N/A</v>
      </c>
      <c r="O371" t="str">
        <f t="shared" si="16"/>
        <v/>
      </c>
      <c r="P371" s="8" t="e">
        <f>INDEX(Lookup!$M$5:$M$12,MATCH(D371,Lookup!$L$5:$L$12,0))&amp;
K371&amp;L371&amp;M371&amp;N371&amp;
INDEX(Lookup!$N$5:$N$12,MATCH(D371,Lookup!$L$5:$L$12,0))</f>
        <v>#N/A</v>
      </c>
    </row>
    <row r="372" spans="2:16" x14ac:dyDescent="0.45">
      <c r="B372">
        <f t="shared" si="15"/>
        <v>370</v>
      </c>
      <c r="C372" t="e">
        <f t="shared" si="17"/>
        <v>#N/A</v>
      </c>
      <c r="D372" t="e">
        <f>VLOOKUP(C372,Lookup!$K$5:$L$12,2,FALSE)</f>
        <v>#N/A</v>
      </c>
      <c r="E372" t="e">
        <f>IF(D372=Lookup!$L$5,E371+1,E371)</f>
        <v>#N/A</v>
      </c>
      <c r="F372" s="3" t="e">
        <f>INDEX(views[Entities count],MATCH('view-code'!E372,views[object_id order],0))</f>
        <v>#N/A</v>
      </c>
      <c r="G372" t="e">
        <f>IF(D371=Lookup!$L$10,1,IF(D371=Lookup!$L$11,G371+1,""))</f>
        <v>#N/A</v>
      </c>
      <c r="H372" t="e">
        <f>IF(F372=1,IF(D372=Lookup!$L$10,2,1),IF(G372&lt;F372-1,0,1))</f>
        <v>#N/A</v>
      </c>
      <c r="I372" t="e">
        <f>IF(D372&lt;&gt;Lookup!$L$7,0,IF(INDEX(views[name],MATCH(E372,views[object_id order],0))&lt;&gt;"",0,1))</f>
        <v>#N/A</v>
      </c>
      <c r="J372" t="e">
        <f>IF(D372&lt;&gt;Lookup!$L$7,0,IF(INDEX(views[icon],MATCH(E372,views[object_id order],0))&lt;&gt;"",0,1))</f>
        <v>#N/A</v>
      </c>
      <c r="K372" t="e">
        <f>IF($D372=Lookup!$L$6,INDEX(views[object_id],MATCH($E372,views[object_id order],0)),"")</f>
        <v>#N/A</v>
      </c>
      <c r="L372" t="e">
        <f>IF($D372=Lookup!$L$8,INDEX(views[name],MATCH($E372,views[object_id order],0)),"")</f>
        <v>#N/A</v>
      </c>
      <c r="M372" t="e">
        <f>IF($D372=Lookup!$L$9,INDEX(views[icon],MATCH($E372,views[object_id order],0)),"")</f>
        <v>#N/A</v>
      </c>
      <c r="N372" t="e">
        <f>IF(OR(D372=Lookup!$L$11,D372=Lookup!$L$12),INDEX(views[[1]:[25]],MATCH($E372,views[object_id order],0),G372),"")</f>
        <v>#N/A</v>
      </c>
      <c r="O372" t="str">
        <f t="shared" si="16"/>
        <v/>
      </c>
      <c r="P372" s="8" t="e">
        <f>INDEX(Lookup!$M$5:$M$12,MATCH(D372,Lookup!$L$5:$L$12,0))&amp;
K372&amp;L372&amp;M372&amp;N372&amp;
INDEX(Lookup!$N$5:$N$12,MATCH(D372,Lookup!$L$5:$L$12,0))</f>
        <v>#N/A</v>
      </c>
    </row>
    <row r="373" spans="2:16" x14ac:dyDescent="0.45">
      <c r="B373">
        <f t="shared" si="15"/>
        <v>371</v>
      </c>
      <c r="C373" t="e">
        <f t="shared" si="17"/>
        <v>#N/A</v>
      </c>
      <c r="D373" t="e">
        <f>VLOOKUP(C373,Lookup!$K$5:$L$12,2,FALSE)</f>
        <v>#N/A</v>
      </c>
      <c r="E373" t="e">
        <f>IF(D373=Lookup!$L$5,E372+1,E372)</f>
        <v>#N/A</v>
      </c>
      <c r="F373" s="3" t="e">
        <f>INDEX(views[Entities count],MATCH('view-code'!E373,views[object_id order],0))</f>
        <v>#N/A</v>
      </c>
      <c r="G373" t="e">
        <f>IF(D372=Lookup!$L$10,1,IF(D372=Lookup!$L$11,G372+1,""))</f>
        <v>#N/A</v>
      </c>
      <c r="H373" t="e">
        <f>IF(F373=1,IF(D373=Lookup!$L$10,2,1),IF(G373&lt;F373-1,0,1))</f>
        <v>#N/A</v>
      </c>
      <c r="I373" t="e">
        <f>IF(D373&lt;&gt;Lookup!$L$7,0,IF(INDEX(views[name],MATCH(E373,views[object_id order],0))&lt;&gt;"",0,1))</f>
        <v>#N/A</v>
      </c>
      <c r="J373" t="e">
        <f>IF(D373&lt;&gt;Lookup!$L$7,0,IF(INDEX(views[icon],MATCH(E373,views[object_id order],0))&lt;&gt;"",0,1))</f>
        <v>#N/A</v>
      </c>
      <c r="K373" t="e">
        <f>IF($D373=Lookup!$L$6,INDEX(views[object_id],MATCH($E373,views[object_id order],0)),"")</f>
        <v>#N/A</v>
      </c>
      <c r="L373" t="e">
        <f>IF($D373=Lookup!$L$8,INDEX(views[name],MATCH($E373,views[object_id order],0)),"")</f>
        <v>#N/A</v>
      </c>
      <c r="M373" t="e">
        <f>IF($D373=Lookup!$L$9,INDEX(views[icon],MATCH($E373,views[object_id order],0)),"")</f>
        <v>#N/A</v>
      </c>
      <c r="N373" t="e">
        <f>IF(OR(D373=Lookup!$L$11,D373=Lookup!$L$12),INDEX(views[[1]:[25]],MATCH($E373,views[object_id order],0),G373),"")</f>
        <v>#N/A</v>
      </c>
      <c r="O373" t="str">
        <f t="shared" si="16"/>
        <v/>
      </c>
      <c r="P373" s="8" t="e">
        <f>INDEX(Lookup!$M$5:$M$12,MATCH(D373,Lookup!$L$5:$L$12,0))&amp;
K373&amp;L373&amp;M373&amp;N373&amp;
INDEX(Lookup!$N$5:$N$12,MATCH(D373,Lookup!$L$5:$L$12,0))</f>
        <v>#N/A</v>
      </c>
    </row>
    <row r="374" spans="2:16" x14ac:dyDescent="0.45">
      <c r="B374">
        <f t="shared" si="15"/>
        <v>372</v>
      </c>
      <c r="C374" t="e">
        <f t="shared" si="17"/>
        <v>#N/A</v>
      </c>
      <c r="D374" t="e">
        <f>VLOOKUP(C374,Lookup!$K$5:$L$12,2,FALSE)</f>
        <v>#N/A</v>
      </c>
      <c r="E374" t="e">
        <f>IF(D374=Lookup!$L$5,E373+1,E373)</f>
        <v>#N/A</v>
      </c>
      <c r="F374" s="3" t="e">
        <f>INDEX(views[Entities count],MATCH('view-code'!E374,views[object_id order],0))</f>
        <v>#N/A</v>
      </c>
      <c r="G374" t="e">
        <f>IF(D373=Lookup!$L$10,1,IF(D373=Lookup!$L$11,G373+1,""))</f>
        <v>#N/A</v>
      </c>
      <c r="H374" t="e">
        <f>IF(F374=1,IF(D374=Lookup!$L$10,2,1),IF(G374&lt;F374-1,0,1))</f>
        <v>#N/A</v>
      </c>
      <c r="I374" t="e">
        <f>IF(D374&lt;&gt;Lookup!$L$7,0,IF(INDEX(views[name],MATCH(E374,views[object_id order],0))&lt;&gt;"",0,1))</f>
        <v>#N/A</v>
      </c>
      <c r="J374" t="e">
        <f>IF(D374&lt;&gt;Lookup!$L$7,0,IF(INDEX(views[icon],MATCH(E374,views[object_id order],0))&lt;&gt;"",0,1))</f>
        <v>#N/A</v>
      </c>
      <c r="K374" t="e">
        <f>IF($D374=Lookup!$L$6,INDEX(views[object_id],MATCH($E374,views[object_id order],0)),"")</f>
        <v>#N/A</v>
      </c>
      <c r="L374" t="e">
        <f>IF($D374=Lookup!$L$8,INDEX(views[name],MATCH($E374,views[object_id order],0)),"")</f>
        <v>#N/A</v>
      </c>
      <c r="M374" t="e">
        <f>IF($D374=Lookup!$L$9,INDEX(views[icon],MATCH($E374,views[object_id order],0)),"")</f>
        <v>#N/A</v>
      </c>
      <c r="N374" t="e">
        <f>IF(OR(D374=Lookup!$L$11,D374=Lookup!$L$12),INDEX(views[[1]:[25]],MATCH($E374,views[object_id order],0),G374),"")</f>
        <v>#N/A</v>
      </c>
      <c r="O374" t="str">
        <f t="shared" si="16"/>
        <v/>
      </c>
      <c r="P374" s="8" t="e">
        <f>INDEX(Lookup!$M$5:$M$12,MATCH(D374,Lookup!$L$5:$L$12,0))&amp;
K374&amp;L374&amp;M374&amp;N374&amp;
INDEX(Lookup!$N$5:$N$12,MATCH(D374,Lookup!$L$5:$L$12,0))</f>
        <v>#N/A</v>
      </c>
    </row>
    <row r="375" spans="2:16" x14ac:dyDescent="0.45">
      <c r="B375">
        <f t="shared" si="15"/>
        <v>373</v>
      </c>
      <c r="C375" t="e">
        <f t="shared" si="17"/>
        <v>#N/A</v>
      </c>
      <c r="D375" t="e">
        <f>VLOOKUP(C375,Lookup!$K$5:$L$12,2,FALSE)</f>
        <v>#N/A</v>
      </c>
      <c r="E375" t="e">
        <f>IF(D375=Lookup!$L$5,E374+1,E374)</f>
        <v>#N/A</v>
      </c>
      <c r="F375" s="3" t="e">
        <f>INDEX(views[Entities count],MATCH('view-code'!E375,views[object_id order],0))</f>
        <v>#N/A</v>
      </c>
      <c r="G375" t="e">
        <f>IF(D374=Lookup!$L$10,1,IF(D374=Lookup!$L$11,G374+1,""))</f>
        <v>#N/A</v>
      </c>
      <c r="H375" t="e">
        <f>IF(F375=1,IF(D375=Lookup!$L$10,2,1),IF(G375&lt;F375-1,0,1))</f>
        <v>#N/A</v>
      </c>
      <c r="I375" t="e">
        <f>IF(D375&lt;&gt;Lookup!$L$7,0,IF(INDEX(views[name],MATCH(E375,views[object_id order],0))&lt;&gt;"",0,1))</f>
        <v>#N/A</v>
      </c>
      <c r="J375" t="e">
        <f>IF(D375&lt;&gt;Lookup!$L$7,0,IF(INDEX(views[icon],MATCH(E375,views[object_id order],0))&lt;&gt;"",0,1))</f>
        <v>#N/A</v>
      </c>
      <c r="K375" t="e">
        <f>IF($D375=Lookup!$L$6,INDEX(views[object_id],MATCH($E375,views[object_id order],0)),"")</f>
        <v>#N/A</v>
      </c>
      <c r="L375" t="e">
        <f>IF($D375=Lookup!$L$8,INDEX(views[name],MATCH($E375,views[object_id order],0)),"")</f>
        <v>#N/A</v>
      </c>
      <c r="M375" t="e">
        <f>IF($D375=Lookup!$L$9,INDEX(views[icon],MATCH($E375,views[object_id order],0)),"")</f>
        <v>#N/A</v>
      </c>
      <c r="N375" t="e">
        <f>IF(OR(D375=Lookup!$L$11,D375=Lookup!$L$12),INDEX(views[[1]:[25]],MATCH($E375,views[object_id order],0),G375),"")</f>
        <v>#N/A</v>
      </c>
      <c r="O375" t="str">
        <f t="shared" si="16"/>
        <v/>
      </c>
      <c r="P375" s="8" t="e">
        <f>INDEX(Lookup!$M$5:$M$12,MATCH(D375,Lookup!$L$5:$L$12,0))&amp;
K375&amp;L375&amp;M375&amp;N375&amp;
INDEX(Lookup!$N$5:$N$12,MATCH(D375,Lookup!$L$5:$L$12,0))</f>
        <v>#N/A</v>
      </c>
    </row>
    <row r="376" spans="2:16" x14ac:dyDescent="0.45">
      <c r="B376">
        <f t="shared" si="15"/>
        <v>374</v>
      </c>
      <c r="C376" t="e">
        <f t="shared" si="17"/>
        <v>#N/A</v>
      </c>
      <c r="D376" t="e">
        <f>VLOOKUP(C376,Lookup!$K$5:$L$12,2,FALSE)</f>
        <v>#N/A</v>
      </c>
      <c r="E376" t="e">
        <f>IF(D376=Lookup!$L$5,E375+1,E375)</f>
        <v>#N/A</v>
      </c>
      <c r="F376" s="3" t="e">
        <f>INDEX(views[Entities count],MATCH('view-code'!E376,views[object_id order],0))</f>
        <v>#N/A</v>
      </c>
      <c r="G376" t="e">
        <f>IF(D375=Lookup!$L$10,1,IF(D375=Lookup!$L$11,G375+1,""))</f>
        <v>#N/A</v>
      </c>
      <c r="H376" t="e">
        <f>IF(F376=1,IF(D376=Lookup!$L$10,2,1),IF(G376&lt;F376-1,0,1))</f>
        <v>#N/A</v>
      </c>
      <c r="I376" t="e">
        <f>IF(D376&lt;&gt;Lookup!$L$7,0,IF(INDEX(views[name],MATCH(E376,views[object_id order],0))&lt;&gt;"",0,1))</f>
        <v>#N/A</v>
      </c>
      <c r="J376" t="e">
        <f>IF(D376&lt;&gt;Lookup!$L$7,0,IF(INDEX(views[icon],MATCH(E376,views[object_id order],0))&lt;&gt;"",0,1))</f>
        <v>#N/A</v>
      </c>
      <c r="K376" t="e">
        <f>IF($D376=Lookup!$L$6,INDEX(views[object_id],MATCH($E376,views[object_id order],0)),"")</f>
        <v>#N/A</v>
      </c>
      <c r="L376" t="e">
        <f>IF($D376=Lookup!$L$8,INDEX(views[name],MATCH($E376,views[object_id order],0)),"")</f>
        <v>#N/A</v>
      </c>
      <c r="M376" t="e">
        <f>IF($D376=Lookup!$L$9,INDEX(views[icon],MATCH($E376,views[object_id order],0)),"")</f>
        <v>#N/A</v>
      </c>
      <c r="N376" t="e">
        <f>IF(OR(D376=Lookup!$L$11,D376=Lookup!$L$12),INDEX(views[[1]:[25]],MATCH($E376,views[object_id order],0),G376),"")</f>
        <v>#N/A</v>
      </c>
      <c r="O376" t="str">
        <f t="shared" si="16"/>
        <v/>
      </c>
      <c r="P376" s="8" t="e">
        <f>INDEX(Lookup!$M$5:$M$12,MATCH(D376,Lookup!$L$5:$L$12,0))&amp;
K376&amp;L376&amp;M376&amp;N376&amp;
INDEX(Lookup!$N$5:$N$12,MATCH(D376,Lookup!$L$5:$L$12,0))</f>
        <v>#N/A</v>
      </c>
    </row>
    <row r="377" spans="2:16" x14ac:dyDescent="0.45">
      <c r="B377">
        <f t="shared" si="15"/>
        <v>375</v>
      </c>
      <c r="C377" t="e">
        <f t="shared" si="17"/>
        <v>#N/A</v>
      </c>
      <c r="D377" t="e">
        <f>VLOOKUP(C377,Lookup!$K$5:$L$12,2,FALSE)</f>
        <v>#N/A</v>
      </c>
      <c r="E377" t="e">
        <f>IF(D377=Lookup!$L$5,E376+1,E376)</f>
        <v>#N/A</v>
      </c>
      <c r="F377" s="3" t="e">
        <f>INDEX(views[Entities count],MATCH('view-code'!E377,views[object_id order],0))</f>
        <v>#N/A</v>
      </c>
      <c r="G377" t="e">
        <f>IF(D376=Lookup!$L$10,1,IF(D376=Lookup!$L$11,G376+1,""))</f>
        <v>#N/A</v>
      </c>
      <c r="H377" t="e">
        <f>IF(F377=1,IF(D377=Lookup!$L$10,2,1),IF(G377&lt;F377-1,0,1))</f>
        <v>#N/A</v>
      </c>
      <c r="I377" t="e">
        <f>IF(D377&lt;&gt;Lookup!$L$7,0,IF(INDEX(views[name],MATCH(E377,views[object_id order],0))&lt;&gt;"",0,1))</f>
        <v>#N/A</v>
      </c>
      <c r="J377" t="e">
        <f>IF(D377&lt;&gt;Lookup!$L$7,0,IF(INDEX(views[icon],MATCH(E377,views[object_id order],0))&lt;&gt;"",0,1))</f>
        <v>#N/A</v>
      </c>
      <c r="K377" t="e">
        <f>IF($D377=Lookup!$L$6,INDEX(views[object_id],MATCH($E377,views[object_id order],0)),"")</f>
        <v>#N/A</v>
      </c>
      <c r="L377" t="e">
        <f>IF($D377=Lookup!$L$8,INDEX(views[name],MATCH($E377,views[object_id order],0)),"")</f>
        <v>#N/A</v>
      </c>
      <c r="M377" t="e">
        <f>IF($D377=Lookup!$L$9,INDEX(views[icon],MATCH($E377,views[object_id order],0)),"")</f>
        <v>#N/A</v>
      </c>
      <c r="N377" t="e">
        <f>IF(OR(D377=Lookup!$L$11,D377=Lookup!$L$12),INDEX(views[[1]:[25]],MATCH($E377,views[object_id order],0),G377),"")</f>
        <v>#N/A</v>
      </c>
      <c r="O377" t="str">
        <f t="shared" si="16"/>
        <v/>
      </c>
      <c r="P377" s="8" t="e">
        <f>INDEX(Lookup!$M$5:$M$12,MATCH(D377,Lookup!$L$5:$L$12,0))&amp;
K377&amp;L377&amp;M377&amp;N377&amp;
INDEX(Lookup!$N$5:$N$12,MATCH(D377,Lookup!$L$5:$L$12,0))</f>
        <v>#N/A</v>
      </c>
    </row>
    <row r="378" spans="2:16" x14ac:dyDescent="0.45">
      <c r="B378">
        <f t="shared" si="15"/>
        <v>376</v>
      </c>
      <c r="C378" t="e">
        <f t="shared" si="17"/>
        <v>#N/A</v>
      </c>
      <c r="D378" t="e">
        <f>VLOOKUP(C378,Lookup!$K$5:$L$12,2,FALSE)</f>
        <v>#N/A</v>
      </c>
      <c r="E378" t="e">
        <f>IF(D378=Lookup!$L$5,E377+1,E377)</f>
        <v>#N/A</v>
      </c>
      <c r="F378" s="3" t="e">
        <f>INDEX(views[Entities count],MATCH('view-code'!E378,views[object_id order],0))</f>
        <v>#N/A</v>
      </c>
      <c r="G378" t="e">
        <f>IF(D377=Lookup!$L$10,1,IF(D377=Lookup!$L$11,G377+1,""))</f>
        <v>#N/A</v>
      </c>
      <c r="H378" t="e">
        <f>IF(F378=1,IF(D378=Lookup!$L$10,2,1),IF(G378&lt;F378-1,0,1))</f>
        <v>#N/A</v>
      </c>
      <c r="I378" t="e">
        <f>IF(D378&lt;&gt;Lookup!$L$7,0,IF(INDEX(views[name],MATCH(E378,views[object_id order],0))&lt;&gt;"",0,1))</f>
        <v>#N/A</v>
      </c>
      <c r="J378" t="e">
        <f>IF(D378&lt;&gt;Lookup!$L$7,0,IF(INDEX(views[icon],MATCH(E378,views[object_id order],0))&lt;&gt;"",0,1))</f>
        <v>#N/A</v>
      </c>
      <c r="K378" t="e">
        <f>IF($D378=Lookup!$L$6,INDEX(views[object_id],MATCH($E378,views[object_id order],0)),"")</f>
        <v>#N/A</v>
      </c>
      <c r="L378" t="e">
        <f>IF($D378=Lookup!$L$8,INDEX(views[name],MATCH($E378,views[object_id order],0)),"")</f>
        <v>#N/A</v>
      </c>
      <c r="M378" t="e">
        <f>IF($D378=Lookup!$L$9,INDEX(views[icon],MATCH($E378,views[object_id order],0)),"")</f>
        <v>#N/A</v>
      </c>
      <c r="N378" t="e">
        <f>IF(OR(D378=Lookup!$L$11,D378=Lookup!$L$12),INDEX(views[[1]:[25]],MATCH($E378,views[object_id order],0),G378),"")</f>
        <v>#N/A</v>
      </c>
      <c r="O378" t="str">
        <f t="shared" si="16"/>
        <v/>
      </c>
      <c r="P378" s="8" t="e">
        <f>INDEX(Lookup!$M$5:$M$12,MATCH(D378,Lookup!$L$5:$L$12,0))&amp;
K378&amp;L378&amp;M378&amp;N378&amp;
INDEX(Lookup!$N$5:$N$12,MATCH(D378,Lookup!$L$5:$L$12,0))</f>
        <v>#N/A</v>
      </c>
    </row>
    <row r="379" spans="2:16" x14ac:dyDescent="0.45">
      <c r="B379">
        <f t="shared" si="15"/>
        <v>377</v>
      </c>
      <c r="C379" t="e">
        <f t="shared" si="17"/>
        <v>#N/A</v>
      </c>
      <c r="D379" t="e">
        <f>VLOOKUP(C379,Lookup!$K$5:$L$12,2,FALSE)</f>
        <v>#N/A</v>
      </c>
      <c r="E379" t="e">
        <f>IF(D379=Lookup!$L$5,E378+1,E378)</f>
        <v>#N/A</v>
      </c>
      <c r="F379" s="3" t="e">
        <f>INDEX(views[Entities count],MATCH('view-code'!E379,views[object_id order],0))</f>
        <v>#N/A</v>
      </c>
      <c r="G379" t="e">
        <f>IF(D378=Lookup!$L$10,1,IF(D378=Lookup!$L$11,G378+1,""))</f>
        <v>#N/A</v>
      </c>
      <c r="H379" t="e">
        <f>IF(F379=1,IF(D379=Lookup!$L$10,2,1),IF(G379&lt;F379-1,0,1))</f>
        <v>#N/A</v>
      </c>
      <c r="I379" t="e">
        <f>IF(D379&lt;&gt;Lookup!$L$7,0,IF(INDEX(views[name],MATCH(E379,views[object_id order],0))&lt;&gt;"",0,1))</f>
        <v>#N/A</v>
      </c>
      <c r="J379" t="e">
        <f>IF(D379&lt;&gt;Lookup!$L$7,0,IF(INDEX(views[icon],MATCH(E379,views[object_id order],0))&lt;&gt;"",0,1))</f>
        <v>#N/A</v>
      </c>
      <c r="K379" t="e">
        <f>IF($D379=Lookup!$L$6,INDEX(views[object_id],MATCH($E379,views[object_id order],0)),"")</f>
        <v>#N/A</v>
      </c>
      <c r="L379" t="e">
        <f>IF($D379=Lookup!$L$8,INDEX(views[name],MATCH($E379,views[object_id order],0)),"")</f>
        <v>#N/A</v>
      </c>
      <c r="M379" t="e">
        <f>IF($D379=Lookup!$L$9,INDEX(views[icon],MATCH($E379,views[object_id order],0)),"")</f>
        <v>#N/A</v>
      </c>
      <c r="N379" t="e">
        <f>IF(OR(D379=Lookup!$L$11,D379=Lookup!$L$12),INDEX(views[[1]:[25]],MATCH($E379,views[object_id order],0),G379),"")</f>
        <v>#N/A</v>
      </c>
      <c r="O379" t="str">
        <f t="shared" si="16"/>
        <v/>
      </c>
      <c r="P379" s="8" t="e">
        <f>INDEX(Lookup!$M$5:$M$12,MATCH(D379,Lookup!$L$5:$L$12,0))&amp;
K379&amp;L379&amp;M379&amp;N379&amp;
INDEX(Lookup!$N$5:$N$12,MATCH(D379,Lookup!$L$5:$L$12,0))</f>
        <v>#N/A</v>
      </c>
    </row>
    <row r="380" spans="2:16" x14ac:dyDescent="0.45">
      <c r="B380">
        <f t="shared" si="15"/>
        <v>378</v>
      </c>
      <c r="C380" t="e">
        <f t="shared" si="17"/>
        <v>#N/A</v>
      </c>
      <c r="D380" t="e">
        <f>VLOOKUP(C380,Lookup!$K$5:$L$12,2,FALSE)</f>
        <v>#N/A</v>
      </c>
      <c r="E380" t="e">
        <f>IF(D380=Lookup!$L$5,E379+1,E379)</f>
        <v>#N/A</v>
      </c>
      <c r="F380" s="3" t="e">
        <f>INDEX(views[Entities count],MATCH('view-code'!E380,views[object_id order],0))</f>
        <v>#N/A</v>
      </c>
      <c r="G380" t="e">
        <f>IF(D379=Lookup!$L$10,1,IF(D379=Lookup!$L$11,G379+1,""))</f>
        <v>#N/A</v>
      </c>
      <c r="H380" t="e">
        <f>IF(F380=1,IF(D380=Lookup!$L$10,2,1),IF(G380&lt;F380-1,0,1))</f>
        <v>#N/A</v>
      </c>
      <c r="I380" t="e">
        <f>IF(D380&lt;&gt;Lookup!$L$7,0,IF(INDEX(views[name],MATCH(E380,views[object_id order],0))&lt;&gt;"",0,1))</f>
        <v>#N/A</v>
      </c>
      <c r="J380" t="e">
        <f>IF(D380&lt;&gt;Lookup!$L$7,0,IF(INDEX(views[icon],MATCH(E380,views[object_id order],0))&lt;&gt;"",0,1))</f>
        <v>#N/A</v>
      </c>
      <c r="K380" t="e">
        <f>IF($D380=Lookup!$L$6,INDEX(views[object_id],MATCH($E380,views[object_id order],0)),"")</f>
        <v>#N/A</v>
      </c>
      <c r="L380" t="e">
        <f>IF($D380=Lookup!$L$8,INDEX(views[name],MATCH($E380,views[object_id order],0)),"")</f>
        <v>#N/A</v>
      </c>
      <c r="M380" t="e">
        <f>IF($D380=Lookup!$L$9,INDEX(views[icon],MATCH($E380,views[object_id order],0)),"")</f>
        <v>#N/A</v>
      </c>
      <c r="N380" t="e">
        <f>IF(OR(D380=Lookup!$L$11,D380=Lookup!$L$12),INDEX(views[[1]:[25]],MATCH($E380,views[object_id order],0),G380),"")</f>
        <v>#N/A</v>
      </c>
      <c r="O380" t="str">
        <f t="shared" si="16"/>
        <v/>
      </c>
      <c r="P380" s="8" t="e">
        <f>INDEX(Lookup!$M$5:$M$12,MATCH(D380,Lookup!$L$5:$L$12,0))&amp;
K380&amp;L380&amp;M380&amp;N380&amp;
INDEX(Lookup!$N$5:$N$12,MATCH(D380,Lookup!$L$5:$L$12,0))</f>
        <v>#N/A</v>
      </c>
    </row>
    <row r="381" spans="2:16" x14ac:dyDescent="0.45">
      <c r="B381">
        <f t="shared" si="15"/>
        <v>379</v>
      </c>
      <c r="C381" t="e">
        <f t="shared" si="17"/>
        <v>#N/A</v>
      </c>
      <c r="D381" t="e">
        <f>VLOOKUP(C381,Lookup!$K$5:$L$12,2,FALSE)</f>
        <v>#N/A</v>
      </c>
      <c r="E381" t="e">
        <f>IF(D381=Lookup!$L$5,E380+1,E380)</f>
        <v>#N/A</v>
      </c>
      <c r="F381" s="3" t="e">
        <f>INDEX(views[Entities count],MATCH('view-code'!E381,views[object_id order],0))</f>
        <v>#N/A</v>
      </c>
      <c r="G381" t="e">
        <f>IF(D380=Lookup!$L$10,1,IF(D380=Lookup!$L$11,G380+1,""))</f>
        <v>#N/A</v>
      </c>
      <c r="H381" t="e">
        <f>IF(F381=1,IF(D381=Lookup!$L$10,2,1),IF(G381&lt;F381-1,0,1))</f>
        <v>#N/A</v>
      </c>
      <c r="I381" t="e">
        <f>IF(D381&lt;&gt;Lookup!$L$7,0,IF(INDEX(views[name],MATCH(E381,views[object_id order],0))&lt;&gt;"",0,1))</f>
        <v>#N/A</v>
      </c>
      <c r="J381" t="e">
        <f>IF(D381&lt;&gt;Lookup!$L$7,0,IF(INDEX(views[icon],MATCH(E381,views[object_id order],0))&lt;&gt;"",0,1))</f>
        <v>#N/A</v>
      </c>
      <c r="K381" t="e">
        <f>IF($D381=Lookup!$L$6,INDEX(views[object_id],MATCH($E381,views[object_id order],0)),"")</f>
        <v>#N/A</v>
      </c>
      <c r="L381" t="e">
        <f>IF($D381=Lookup!$L$8,INDEX(views[name],MATCH($E381,views[object_id order],0)),"")</f>
        <v>#N/A</v>
      </c>
      <c r="M381" t="e">
        <f>IF($D381=Lookup!$L$9,INDEX(views[icon],MATCH($E381,views[object_id order],0)),"")</f>
        <v>#N/A</v>
      </c>
      <c r="N381" t="e">
        <f>IF(OR(D381=Lookup!$L$11,D381=Lookup!$L$12),INDEX(views[[1]:[25]],MATCH($E381,views[object_id order],0),G381),"")</f>
        <v>#N/A</v>
      </c>
      <c r="O381" t="str">
        <f t="shared" si="16"/>
        <v/>
      </c>
      <c r="P381" s="8" t="e">
        <f>INDEX(Lookup!$M$5:$M$12,MATCH(D381,Lookup!$L$5:$L$12,0))&amp;
K381&amp;L381&amp;M381&amp;N381&amp;
INDEX(Lookup!$N$5:$N$12,MATCH(D381,Lookup!$L$5:$L$12,0))</f>
        <v>#N/A</v>
      </c>
    </row>
    <row r="382" spans="2:16" x14ac:dyDescent="0.45">
      <c r="B382">
        <f t="shared" si="15"/>
        <v>380</v>
      </c>
      <c r="C382" t="e">
        <f t="shared" si="17"/>
        <v>#N/A</v>
      </c>
      <c r="D382" t="e">
        <f>VLOOKUP(C382,Lookup!$K$5:$L$12,2,FALSE)</f>
        <v>#N/A</v>
      </c>
      <c r="E382" t="e">
        <f>IF(D382=Lookup!$L$5,E381+1,E381)</f>
        <v>#N/A</v>
      </c>
      <c r="F382" s="3" t="e">
        <f>INDEX(views[Entities count],MATCH('view-code'!E382,views[object_id order],0))</f>
        <v>#N/A</v>
      </c>
      <c r="G382" t="e">
        <f>IF(D381=Lookup!$L$10,1,IF(D381=Lookup!$L$11,G381+1,""))</f>
        <v>#N/A</v>
      </c>
      <c r="H382" t="e">
        <f>IF(F382=1,IF(D382=Lookup!$L$10,2,1),IF(G382&lt;F382-1,0,1))</f>
        <v>#N/A</v>
      </c>
      <c r="I382" t="e">
        <f>IF(D382&lt;&gt;Lookup!$L$7,0,IF(INDEX(views[name],MATCH(E382,views[object_id order],0))&lt;&gt;"",0,1))</f>
        <v>#N/A</v>
      </c>
      <c r="J382" t="e">
        <f>IF(D382&lt;&gt;Lookup!$L$7,0,IF(INDEX(views[icon],MATCH(E382,views[object_id order],0))&lt;&gt;"",0,1))</f>
        <v>#N/A</v>
      </c>
      <c r="K382" t="e">
        <f>IF($D382=Lookup!$L$6,INDEX(views[object_id],MATCH($E382,views[object_id order],0)),"")</f>
        <v>#N/A</v>
      </c>
      <c r="L382" t="e">
        <f>IF($D382=Lookup!$L$8,INDEX(views[name],MATCH($E382,views[object_id order],0)),"")</f>
        <v>#N/A</v>
      </c>
      <c r="M382" t="e">
        <f>IF($D382=Lookup!$L$9,INDEX(views[icon],MATCH($E382,views[object_id order],0)),"")</f>
        <v>#N/A</v>
      </c>
      <c r="N382" t="e">
        <f>IF(OR(D382=Lookup!$L$11,D382=Lookup!$L$12),INDEX(views[[1]:[25]],MATCH($E382,views[object_id order],0),G382),"")</f>
        <v>#N/A</v>
      </c>
      <c r="O382" t="str">
        <f t="shared" si="16"/>
        <v/>
      </c>
      <c r="P382" s="8" t="e">
        <f>INDEX(Lookup!$M$5:$M$12,MATCH(D382,Lookup!$L$5:$L$12,0))&amp;
K382&amp;L382&amp;M382&amp;N382&amp;
INDEX(Lookup!$N$5:$N$12,MATCH(D382,Lookup!$L$5:$L$12,0))</f>
        <v>#N/A</v>
      </c>
    </row>
    <row r="383" spans="2:16" x14ac:dyDescent="0.45">
      <c r="B383">
        <f t="shared" si="15"/>
        <v>381</v>
      </c>
      <c r="C383" t="e">
        <f t="shared" si="17"/>
        <v>#N/A</v>
      </c>
      <c r="D383" t="e">
        <f>VLOOKUP(C383,Lookup!$K$5:$L$12,2,FALSE)</f>
        <v>#N/A</v>
      </c>
      <c r="E383" t="e">
        <f>IF(D383=Lookup!$L$5,E382+1,E382)</f>
        <v>#N/A</v>
      </c>
      <c r="F383" s="3" t="e">
        <f>INDEX(views[Entities count],MATCH('view-code'!E383,views[object_id order],0))</f>
        <v>#N/A</v>
      </c>
      <c r="G383" t="e">
        <f>IF(D382=Lookup!$L$10,1,IF(D382=Lookup!$L$11,G382+1,""))</f>
        <v>#N/A</v>
      </c>
      <c r="H383" t="e">
        <f>IF(F383=1,IF(D383=Lookup!$L$10,2,1),IF(G383&lt;F383-1,0,1))</f>
        <v>#N/A</v>
      </c>
      <c r="I383" t="e">
        <f>IF(D383&lt;&gt;Lookup!$L$7,0,IF(INDEX(views[name],MATCH(E383,views[object_id order],0))&lt;&gt;"",0,1))</f>
        <v>#N/A</v>
      </c>
      <c r="J383" t="e">
        <f>IF(D383&lt;&gt;Lookup!$L$7,0,IF(INDEX(views[icon],MATCH(E383,views[object_id order],0))&lt;&gt;"",0,1))</f>
        <v>#N/A</v>
      </c>
      <c r="K383" t="e">
        <f>IF($D383=Lookup!$L$6,INDEX(views[object_id],MATCH($E383,views[object_id order],0)),"")</f>
        <v>#N/A</v>
      </c>
      <c r="L383" t="e">
        <f>IF($D383=Lookup!$L$8,INDEX(views[name],MATCH($E383,views[object_id order],0)),"")</f>
        <v>#N/A</v>
      </c>
      <c r="M383" t="e">
        <f>IF($D383=Lookup!$L$9,INDEX(views[icon],MATCH($E383,views[object_id order],0)),"")</f>
        <v>#N/A</v>
      </c>
      <c r="N383" t="e">
        <f>IF(OR(D383=Lookup!$L$11,D383=Lookup!$L$12),INDEX(views[[1]:[25]],MATCH($E383,views[object_id order],0),G383),"")</f>
        <v>#N/A</v>
      </c>
      <c r="O383" t="str">
        <f t="shared" si="16"/>
        <v/>
      </c>
      <c r="P383" s="8" t="e">
        <f>INDEX(Lookup!$M$5:$M$12,MATCH(D383,Lookup!$L$5:$L$12,0))&amp;
K383&amp;L383&amp;M383&amp;N383&amp;
INDEX(Lookup!$N$5:$N$12,MATCH(D383,Lookup!$L$5:$L$12,0))</f>
        <v>#N/A</v>
      </c>
    </row>
    <row r="384" spans="2:16" x14ac:dyDescent="0.45">
      <c r="B384">
        <f t="shared" si="15"/>
        <v>382</v>
      </c>
      <c r="C384" t="e">
        <f t="shared" si="17"/>
        <v>#N/A</v>
      </c>
      <c r="D384" t="e">
        <f>VLOOKUP(C384,Lookup!$K$5:$L$12,2,FALSE)</f>
        <v>#N/A</v>
      </c>
      <c r="E384" t="e">
        <f>IF(D384=Lookup!$L$5,E383+1,E383)</f>
        <v>#N/A</v>
      </c>
      <c r="F384" s="3" t="e">
        <f>INDEX(views[Entities count],MATCH('view-code'!E384,views[object_id order],0))</f>
        <v>#N/A</v>
      </c>
      <c r="G384" t="e">
        <f>IF(D383=Lookup!$L$10,1,IF(D383=Lookup!$L$11,G383+1,""))</f>
        <v>#N/A</v>
      </c>
      <c r="H384" t="e">
        <f>IF(F384=1,IF(D384=Lookup!$L$10,2,1),IF(G384&lt;F384-1,0,1))</f>
        <v>#N/A</v>
      </c>
      <c r="I384" t="e">
        <f>IF(D384&lt;&gt;Lookup!$L$7,0,IF(INDEX(views[name],MATCH(E384,views[object_id order],0))&lt;&gt;"",0,1))</f>
        <v>#N/A</v>
      </c>
      <c r="J384" t="e">
        <f>IF(D384&lt;&gt;Lookup!$L$7,0,IF(INDEX(views[icon],MATCH(E384,views[object_id order],0))&lt;&gt;"",0,1))</f>
        <v>#N/A</v>
      </c>
      <c r="K384" t="e">
        <f>IF($D384=Lookup!$L$6,INDEX(views[object_id],MATCH($E384,views[object_id order],0)),"")</f>
        <v>#N/A</v>
      </c>
      <c r="L384" t="e">
        <f>IF($D384=Lookup!$L$8,INDEX(views[name],MATCH($E384,views[object_id order],0)),"")</f>
        <v>#N/A</v>
      </c>
      <c r="M384" t="e">
        <f>IF($D384=Lookup!$L$9,INDEX(views[icon],MATCH($E384,views[object_id order],0)),"")</f>
        <v>#N/A</v>
      </c>
      <c r="N384" t="e">
        <f>IF(OR(D384=Lookup!$L$11,D384=Lookup!$L$12),INDEX(views[[1]:[25]],MATCH($E384,views[object_id order],0),G384),"")</f>
        <v>#N/A</v>
      </c>
      <c r="O384" t="str">
        <f t="shared" si="16"/>
        <v/>
      </c>
      <c r="P384" s="8" t="e">
        <f>INDEX(Lookup!$M$5:$M$12,MATCH(D384,Lookup!$L$5:$L$12,0))&amp;
K384&amp;L384&amp;M384&amp;N384&amp;
INDEX(Lookup!$N$5:$N$12,MATCH(D384,Lookup!$L$5:$L$12,0))</f>
        <v>#N/A</v>
      </c>
    </row>
    <row r="385" spans="2:16" x14ac:dyDescent="0.45">
      <c r="B385">
        <f t="shared" si="15"/>
        <v>383</v>
      </c>
      <c r="C385" t="e">
        <f t="shared" si="17"/>
        <v>#N/A</v>
      </c>
      <c r="D385" t="e">
        <f>VLOOKUP(C385,Lookup!$K$5:$L$12,2,FALSE)</f>
        <v>#N/A</v>
      </c>
      <c r="E385" t="e">
        <f>IF(D385=Lookup!$L$5,E384+1,E384)</f>
        <v>#N/A</v>
      </c>
      <c r="F385" s="3" t="e">
        <f>INDEX(views[Entities count],MATCH('view-code'!E385,views[object_id order],0))</f>
        <v>#N/A</v>
      </c>
      <c r="G385" t="e">
        <f>IF(D384=Lookup!$L$10,1,IF(D384=Lookup!$L$11,G384+1,""))</f>
        <v>#N/A</v>
      </c>
      <c r="H385" t="e">
        <f>IF(F385=1,IF(D385=Lookup!$L$10,2,1),IF(G385&lt;F385-1,0,1))</f>
        <v>#N/A</v>
      </c>
      <c r="I385" t="e">
        <f>IF(D385&lt;&gt;Lookup!$L$7,0,IF(INDEX(views[name],MATCH(E385,views[object_id order],0))&lt;&gt;"",0,1))</f>
        <v>#N/A</v>
      </c>
      <c r="J385" t="e">
        <f>IF(D385&lt;&gt;Lookup!$L$7,0,IF(INDEX(views[icon],MATCH(E385,views[object_id order],0))&lt;&gt;"",0,1))</f>
        <v>#N/A</v>
      </c>
      <c r="K385" t="e">
        <f>IF($D385=Lookup!$L$6,INDEX(views[object_id],MATCH($E385,views[object_id order],0)),"")</f>
        <v>#N/A</v>
      </c>
      <c r="L385" t="e">
        <f>IF($D385=Lookup!$L$8,INDEX(views[name],MATCH($E385,views[object_id order],0)),"")</f>
        <v>#N/A</v>
      </c>
      <c r="M385" t="e">
        <f>IF($D385=Lookup!$L$9,INDEX(views[icon],MATCH($E385,views[object_id order],0)),"")</f>
        <v>#N/A</v>
      </c>
      <c r="N385" t="e">
        <f>IF(OR(D385=Lookup!$L$11,D385=Lookup!$L$12),INDEX(views[[1]:[25]],MATCH($E385,views[object_id order],0),G385),"")</f>
        <v>#N/A</v>
      </c>
      <c r="O385" t="str">
        <f t="shared" si="16"/>
        <v/>
      </c>
      <c r="P385" s="8" t="e">
        <f>INDEX(Lookup!$M$5:$M$12,MATCH(D385,Lookup!$L$5:$L$12,0))&amp;
K385&amp;L385&amp;M385&amp;N385&amp;
INDEX(Lookup!$N$5:$N$12,MATCH(D385,Lookup!$L$5:$L$12,0))</f>
        <v>#N/A</v>
      </c>
    </row>
    <row r="386" spans="2:16" x14ac:dyDescent="0.45">
      <c r="B386">
        <f t="shared" si="15"/>
        <v>384</v>
      </c>
      <c r="C386" t="e">
        <f t="shared" si="17"/>
        <v>#N/A</v>
      </c>
      <c r="D386" t="e">
        <f>VLOOKUP(C386,Lookup!$K$5:$L$12,2,FALSE)</f>
        <v>#N/A</v>
      </c>
      <c r="E386" t="e">
        <f>IF(D386=Lookup!$L$5,E385+1,E385)</f>
        <v>#N/A</v>
      </c>
      <c r="F386" s="3" t="e">
        <f>INDEX(views[Entities count],MATCH('view-code'!E386,views[object_id order],0))</f>
        <v>#N/A</v>
      </c>
      <c r="G386" t="e">
        <f>IF(D385=Lookup!$L$10,1,IF(D385=Lookup!$L$11,G385+1,""))</f>
        <v>#N/A</v>
      </c>
      <c r="H386" t="e">
        <f>IF(F386=1,IF(D386=Lookup!$L$10,2,1),IF(G386&lt;F386-1,0,1))</f>
        <v>#N/A</v>
      </c>
      <c r="I386" t="e">
        <f>IF(D386&lt;&gt;Lookup!$L$7,0,IF(INDEX(views[name],MATCH(E386,views[object_id order],0))&lt;&gt;"",0,1))</f>
        <v>#N/A</v>
      </c>
      <c r="J386" t="e">
        <f>IF(D386&lt;&gt;Lookup!$L$7,0,IF(INDEX(views[icon],MATCH(E386,views[object_id order],0))&lt;&gt;"",0,1))</f>
        <v>#N/A</v>
      </c>
      <c r="K386" t="e">
        <f>IF($D386=Lookup!$L$6,INDEX(views[object_id],MATCH($E386,views[object_id order],0)),"")</f>
        <v>#N/A</v>
      </c>
      <c r="L386" t="e">
        <f>IF($D386=Lookup!$L$8,INDEX(views[name],MATCH($E386,views[object_id order],0)),"")</f>
        <v>#N/A</v>
      </c>
      <c r="M386" t="e">
        <f>IF($D386=Lookup!$L$9,INDEX(views[icon],MATCH($E386,views[object_id order],0)),"")</f>
        <v>#N/A</v>
      </c>
      <c r="N386" t="e">
        <f>IF(OR(D386=Lookup!$L$11,D386=Lookup!$L$12),INDEX(views[[1]:[25]],MATCH($E386,views[object_id order],0),G386),"")</f>
        <v>#N/A</v>
      </c>
      <c r="O386" t="str">
        <f t="shared" si="16"/>
        <v/>
      </c>
      <c r="P386" s="8" t="e">
        <f>INDEX(Lookup!$M$5:$M$12,MATCH(D386,Lookup!$L$5:$L$12,0))&amp;
K386&amp;L386&amp;M386&amp;N386&amp;
INDEX(Lookup!$N$5:$N$12,MATCH(D386,Lookup!$L$5:$L$12,0))</f>
        <v>#N/A</v>
      </c>
    </row>
    <row r="387" spans="2:16" x14ac:dyDescent="0.45">
      <c r="B387">
        <f t="shared" si="15"/>
        <v>385</v>
      </c>
      <c r="C387" t="e">
        <f t="shared" si="17"/>
        <v>#N/A</v>
      </c>
      <c r="D387" t="e">
        <f>VLOOKUP(C387,Lookup!$K$5:$L$12,2,FALSE)</f>
        <v>#N/A</v>
      </c>
      <c r="E387" t="e">
        <f>IF(D387=Lookup!$L$5,E386+1,E386)</f>
        <v>#N/A</v>
      </c>
      <c r="F387" s="3" t="e">
        <f>INDEX(views[Entities count],MATCH('view-code'!E387,views[object_id order],0))</f>
        <v>#N/A</v>
      </c>
      <c r="G387" t="e">
        <f>IF(D386=Lookup!$L$10,1,IF(D386=Lookup!$L$11,G386+1,""))</f>
        <v>#N/A</v>
      </c>
      <c r="H387" t="e">
        <f>IF(F387=1,IF(D387=Lookup!$L$10,2,1),IF(G387&lt;F387-1,0,1))</f>
        <v>#N/A</v>
      </c>
      <c r="I387" t="e">
        <f>IF(D387&lt;&gt;Lookup!$L$7,0,IF(INDEX(views[name],MATCH(E387,views[object_id order],0))&lt;&gt;"",0,1))</f>
        <v>#N/A</v>
      </c>
      <c r="J387" t="e">
        <f>IF(D387&lt;&gt;Lookup!$L$7,0,IF(INDEX(views[icon],MATCH(E387,views[object_id order],0))&lt;&gt;"",0,1))</f>
        <v>#N/A</v>
      </c>
      <c r="K387" t="e">
        <f>IF($D387=Lookup!$L$6,INDEX(views[object_id],MATCH($E387,views[object_id order],0)),"")</f>
        <v>#N/A</v>
      </c>
      <c r="L387" t="e">
        <f>IF($D387=Lookup!$L$8,INDEX(views[name],MATCH($E387,views[object_id order],0)),"")</f>
        <v>#N/A</v>
      </c>
      <c r="M387" t="e">
        <f>IF($D387=Lookup!$L$9,INDEX(views[icon],MATCH($E387,views[object_id order],0)),"")</f>
        <v>#N/A</v>
      </c>
      <c r="N387" t="e">
        <f>IF(OR(D387=Lookup!$L$11,D387=Lookup!$L$12),INDEX(views[[1]:[25]],MATCH($E387,views[object_id order],0),G387),"")</f>
        <v>#N/A</v>
      </c>
      <c r="O387" t="str">
        <f t="shared" si="16"/>
        <v/>
      </c>
      <c r="P387" s="8" t="e">
        <f>INDEX(Lookup!$M$5:$M$12,MATCH(D387,Lookup!$L$5:$L$12,0))&amp;
K387&amp;L387&amp;M387&amp;N387&amp;
INDEX(Lookup!$N$5:$N$12,MATCH(D387,Lookup!$L$5:$L$12,0))</f>
        <v>#N/A</v>
      </c>
    </row>
    <row r="388" spans="2:16" x14ac:dyDescent="0.45">
      <c r="B388">
        <f t="shared" si="15"/>
        <v>386</v>
      </c>
      <c r="C388" t="e">
        <f t="shared" si="17"/>
        <v>#N/A</v>
      </c>
      <c r="D388" t="e">
        <f>VLOOKUP(C388,Lookup!$K$5:$L$12,2,FALSE)</f>
        <v>#N/A</v>
      </c>
      <c r="E388" t="e">
        <f>IF(D388=Lookup!$L$5,E387+1,E387)</f>
        <v>#N/A</v>
      </c>
      <c r="F388" s="3" t="e">
        <f>INDEX(views[Entities count],MATCH('view-code'!E388,views[object_id order],0))</f>
        <v>#N/A</v>
      </c>
      <c r="G388" t="e">
        <f>IF(D387=Lookup!$L$10,1,IF(D387=Lookup!$L$11,G387+1,""))</f>
        <v>#N/A</v>
      </c>
      <c r="H388" t="e">
        <f>IF(F388=1,IF(D388=Lookup!$L$10,2,1),IF(G388&lt;F388-1,0,1))</f>
        <v>#N/A</v>
      </c>
      <c r="I388" t="e">
        <f>IF(D388&lt;&gt;Lookup!$L$7,0,IF(INDEX(views[name],MATCH(E388,views[object_id order],0))&lt;&gt;"",0,1))</f>
        <v>#N/A</v>
      </c>
      <c r="J388" t="e">
        <f>IF(D388&lt;&gt;Lookup!$L$7,0,IF(INDEX(views[icon],MATCH(E388,views[object_id order],0))&lt;&gt;"",0,1))</f>
        <v>#N/A</v>
      </c>
      <c r="K388" t="e">
        <f>IF($D388=Lookup!$L$6,INDEX(views[object_id],MATCH($E388,views[object_id order],0)),"")</f>
        <v>#N/A</v>
      </c>
      <c r="L388" t="e">
        <f>IF($D388=Lookup!$L$8,INDEX(views[name],MATCH($E388,views[object_id order],0)),"")</f>
        <v>#N/A</v>
      </c>
      <c r="M388" t="e">
        <f>IF($D388=Lookup!$L$9,INDEX(views[icon],MATCH($E388,views[object_id order],0)),"")</f>
        <v>#N/A</v>
      </c>
      <c r="N388" t="e">
        <f>IF(OR(D388=Lookup!$L$11,D388=Lookup!$L$12),INDEX(views[[1]:[25]],MATCH($E388,views[object_id order],0),G388),"")</f>
        <v>#N/A</v>
      </c>
      <c r="O388" t="str">
        <f t="shared" si="16"/>
        <v/>
      </c>
      <c r="P388" s="8" t="e">
        <f>INDEX(Lookup!$M$5:$M$12,MATCH(D388,Lookup!$L$5:$L$12,0))&amp;
K388&amp;L388&amp;M388&amp;N388&amp;
INDEX(Lookup!$N$5:$N$12,MATCH(D388,Lookup!$L$5:$L$12,0))</f>
        <v>#N/A</v>
      </c>
    </row>
    <row r="389" spans="2:16" x14ac:dyDescent="0.45">
      <c r="B389">
        <f t="shared" ref="B389:B452" si="18">B388+1</f>
        <v>387</v>
      </c>
      <c r="C389" t="e">
        <f t="shared" si="17"/>
        <v>#N/A</v>
      </c>
      <c r="D389" t="e">
        <f>VLOOKUP(C389,Lookup!$K$5:$L$12,2,FALSE)</f>
        <v>#N/A</v>
      </c>
      <c r="E389" t="e">
        <f>IF(D389=Lookup!$L$5,E388+1,E388)</f>
        <v>#N/A</v>
      </c>
      <c r="F389" s="3" t="e">
        <f>INDEX(views[Entities count],MATCH('view-code'!E389,views[object_id order],0))</f>
        <v>#N/A</v>
      </c>
      <c r="G389" t="e">
        <f>IF(D388=Lookup!$L$10,1,IF(D388=Lookup!$L$11,G388+1,""))</f>
        <v>#N/A</v>
      </c>
      <c r="H389" t="e">
        <f>IF(F389=1,IF(D389=Lookup!$L$10,2,1),IF(G389&lt;F389-1,0,1))</f>
        <v>#N/A</v>
      </c>
      <c r="I389" t="e">
        <f>IF(D389&lt;&gt;Lookup!$L$7,0,IF(INDEX(views[name],MATCH(E389,views[object_id order],0))&lt;&gt;"",0,1))</f>
        <v>#N/A</v>
      </c>
      <c r="J389" t="e">
        <f>IF(D389&lt;&gt;Lookup!$L$7,0,IF(INDEX(views[icon],MATCH(E389,views[object_id order],0))&lt;&gt;"",0,1))</f>
        <v>#N/A</v>
      </c>
      <c r="K389" t="e">
        <f>IF($D389=Lookup!$L$6,INDEX(views[object_id],MATCH($E389,views[object_id order],0)),"")</f>
        <v>#N/A</v>
      </c>
      <c r="L389" t="e">
        <f>IF($D389=Lookup!$L$8,INDEX(views[name],MATCH($E389,views[object_id order],0)),"")</f>
        <v>#N/A</v>
      </c>
      <c r="M389" t="e">
        <f>IF($D389=Lookup!$L$9,INDEX(views[icon],MATCH($E389,views[object_id order],0)),"")</f>
        <v>#N/A</v>
      </c>
      <c r="N389" t="e">
        <f>IF(OR(D389=Lookup!$L$11,D389=Lookup!$L$12),INDEX(views[[1]:[25]],MATCH($E389,views[object_id order],0),G389),"")</f>
        <v>#N/A</v>
      </c>
      <c r="O389" t="str">
        <f t="shared" ref="O389:O452" si="19">IF(AND(NOT(ISNA(F388)),ISNA(F389)),"END","")</f>
        <v/>
      </c>
      <c r="P389" s="8" t="e">
        <f>INDEX(Lookup!$M$5:$M$12,MATCH(D389,Lookup!$L$5:$L$12,0))&amp;
K389&amp;L389&amp;M389&amp;N389&amp;
INDEX(Lookup!$N$5:$N$12,MATCH(D389,Lookup!$L$5:$L$12,0))</f>
        <v>#N/A</v>
      </c>
    </row>
    <row r="390" spans="2:16" x14ac:dyDescent="0.45">
      <c r="B390">
        <f t="shared" si="18"/>
        <v>388</v>
      </c>
      <c r="C390" t="e">
        <f t="shared" si="17"/>
        <v>#N/A</v>
      </c>
      <c r="D390" t="e">
        <f>VLOOKUP(C390,Lookup!$K$5:$L$12,2,FALSE)</f>
        <v>#N/A</v>
      </c>
      <c r="E390" t="e">
        <f>IF(D390=Lookup!$L$5,E389+1,E389)</f>
        <v>#N/A</v>
      </c>
      <c r="F390" s="3" t="e">
        <f>INDEX(views[Entities count],MATCH('view-code'!E390,views[object_id order],0))</f>
        <v>#N/A</v>
      </c>
      <c r="G390" t="e">
        <f>IF(D389=Lookup!$L$10,1,IF(D389=Lookup!$L$11,G389+1,""))</f>
        <v>#N/A</v>
      </c>
      <c r="H390" t="e">
        <f>IF(F390=1,IF(D390=Lookup!$L$10,2,1),IF(G390&lt;F390-1,0,1))</f>
        <v>#N/A</v>
      </c>
      <c r="I390" t="e">
        <f>IF(D390&lt;&gt;Lookup!$L$7,0,IF(INDEX(views[name],MATCH(E390,views[object_id order],0))&lt;&gt;"",0,1))</f>
        <v>#N/A</v>
      </c>
      <c r="J390" t="e">
        <f>IF(D390&lt;&gt;Lookup!$L$7,0,IF(INDEX(views[icon],MATCH(E390,views[object_id order],0))&lt;&gt;"",0,1))</f>
        <v>#N/A</v>
      </c>
      <c r="K390" t="e">
        <f>IF($D390=Lookup!$L$6,INDEX(views[object_id],MATCH($E390,views[object_id order],0)),"")</f>
        <v>#N/A</v>
      </c>
      <c r="L390" t="e">
        <f>IF($D390=Lookup!$L$8,INDEX(views[name],MATCH($E390,views[object_id order],0)),"")</f>
        <v>#N/A</v>
      </c>
      <c r="M390" t="e">
        <f>IF($D390=Lookup!$L$9,INDEX(views[icon],MATCH($E390,views[object_id order],0)),"")</f>
        <v>#N/A</v>
      </c>
      <c r="N390" t="e">
        <f>IF(OR(D390=Lookup!$L$11,D390=Lookup!$L$12),INDEX(views[[1]:[25]],MATCH($E390,views[object_id order],0),G390),"")</f>
        <v>#N/A</v>
      </c>
      <c r="O390" t="str">
        <f t="shared" si="19"/>
        <v/>
      </c>
      <c r="P390" s="8" t="e">
        <f>INDEX(Lookup!$M$5:$M$12,MATCH(D390,Lookup!$L$5:$L$12,0))&amp;
K390&amp;L390&amp;M390&amp;N390&amp;
INDEX(Lookup!$N$5:$N$12,MATCH(D390,Lookup!$L$5:$L$12,0))</f>
        <v>#N/A</v>
      </c>
    </row>
    <row r="391" spans="2:16" x14ac:dyDescent="0.45">
      <c r="B391">
        <f t="shared" si="18"/>
        <v>389</v>
      </c>
      <c r="C391" t="e">
        <f t="shared" ref="C391:C454" si="20">IF(C390=8,  1,  C390+SUM(H390:J390)  )</f>
        <v>#N/A</v>
      </c>
      <c r="D391" t="e">
        <f>VLOOKUP(C391,Lookup!$K$5:$L$12,2,FALSE)</f>
        <v>#N/A</v>
      </c>
      <c r="E391" t="e">
        <f>IF(D391=Lookup!$L$5,E390+1,E390)</f>
        <v>#N/A</v>
      </c>
      <c r="F391" s="3" t="e">
        <f>INDEX(views[Entities count],MATCH('view-code'!E391,views[object_id order],0))</f>
        <v>#N/A</v>
      </c>
      <c r="G391" t="e">
        <f>IF(D390=Lookup!$L$10,1,IF(D390=Lookup!$L$11,G390+1,""))</f>
        <v>#N/A</v>
      </c>
      <c r="H391" t="e">
        <f>IF(F391=1,IF(D391=Lookup!$L$10,2,1),IF(G391&lt;F391-1,0,1))</f>
        <v>#N/A</v>
      </c>
      <c r="I391" t="e">
        <f>IF(D391&lt;&gt;Lookup!$L$7,0,IF(INDEX(views[name],MATCH(E391,views[object_id order],0))&lt;&gt;"",0,1))</f>
        <v>#N/A</v>
      </c>
      <c r="J391" t="e">
        <f>IF(D391&lt;&gt;Lookup!$L$7,0,IF(INDEX(views[icon],MATCH(E391,views[object_id order],0))&lt;&gt;"",0,1))</f>
        <v>#N/A</v>
      </c>
      <c r="K391" t="e">
        <f>IF($D391=Lookup!$L$6,INDEX(views[object_id],MATCH($E391,views[object_id order],0)),"")</f>
        <v>#N/A</v>
      </c>
      <c r="L391" t="e">
        <f>IF($D391=Lookup!$L$8,INDEX(views[name],MATCH($E391,views[object_id order],0)),"")</f>
        <v>#N/A</v>
      </c>
      <c r="M391" t="e">
        <f>IF($D391=Lookup!$L$9,INDEX(views[icon],MATCH($E391,views[object_id order],0)),"")</f>
        <v>#N/A</v>
      </c>
      <c r="N391" t="e">
        <f>IF(OR(D391=Lookup!$L$11,D391=Lookup!$L$12),INDEX(views[[1]:[25]],MATCH($E391,views[object_id order],0),G391),"")</f>
        <v>#N/A</v>
      </c>
      <c r="O391" t="str">
        <f t="shared" si="19"/>
        <v/>
      </c>
      <c r="P391" s="8" t="e">
        <f>INDEX(Lookup!$M$5:$M$12,MATCH(D391,Lookup!$L$5:$L$12,0))&amp;
K391&amp;L391&amp;M391&amp;N391&amp;
INDEX(Lookup!$N$5:$N$12,MATCH(D391,Lookup!$L$5:$L$12,0))</f>
        <v>#N/A</v>
      </c>
    </row>
    <row r="392" spans="2:16" x14ac:dyDescent="0.45">
      <c r="B392">
        <f t="shared" si="18"/>
        <v>390</v>
      </c>
      <c r="C392" t="e">
        <f t="shared" si="20"/>
        <v>#N/A</v>
      </c>
      <c r="D392" t="e">
        <f>VLOOKUP(C392,Lookup!$K$5:$L$12,2,FALSE)</f>
        <v>#N/A</v>
      </c>
      <c r="E392" t="e">
        <f>IF(D392=Lookup!$L$5,E391+1,E391)</f>
        <v>#N/A</v>
      </c>
      <c r="F392" s="3" t="e">
        <f>INDEX(views[Entities count],MATCH('view-code'!E392,views[object_id order],0))</f>
        <v>#N/A</v>
      </c>
      <c r="G392" t="e">
        <f>IF(D391=Lookup!$L$10,1,IF(D391=Lookup!$L$11,G391+1,""))</f>
        <v>#N/A</v>
      </c>
      <c r="H392" t="e">
        <f>IF(F392=1,IF(D392=Lookup!$L$10,2,1),IF(G392&lt;F392-1,0,1))</f>
        <v>#N/A</v>
      </c>
      <c r="I392" t="e">
        <f>IF(D392&lt;&gt;Lookup!$L$7,0,IF(INDEX(views[name],MATCH(E392,views[object_id order],0))&lt;&gt;"",0,1))</f>
        <v>#N/A</v>
      </c>
      <c r="J392" t="e">
        <f>IF(D392&lt;&gt;Lookup!$L$7,0,IF(INDEX(views[icon],MATCH(E392,views[object_id order],0))&lt;&gt;"",0,1))</f>
        <v>#N/A</v>
      </c>
      <c r="K392" t="e">
        <f>IF($D392=Lookup!$L$6,INDEX(views[object_id],MATCH($E392,views[object_id order],0)),"")</f>
        <v>#N/A</v>
      </c>
      <c r="L392" t="e">
        <f>IF($D392=Lookup!$L$8,INDEX(views[name],MATCH($E392,views[object_id order],0)),"")</f>
        <v>#N/A</v>
      </c>
      <c r="M392" t="e">
        <f>IF($D392=Lookup!$L$9,INDEX(views[icon],MATCH($E392,views[object_id order],0)),"")</f>
        <v>#N/A</v>
      </c>
      <c r="N392" t="e">
        <f>IF(OR(D392=Lookup!$L$11,D392=Lookup!$L$12),INDEX(views[[1]:[25]],MATCH($E392,views[object_id order],0),G392),"")</f>
        <v>#N/A</v>
      </c>
      <c r="O392" t="str">
        <f t="shared" si="19"/>
        <v/>
      </c>
      <c r="P392" s="8" t="e">
        <f>INDEX(Lookup!$M$5:$M$12,MATCH(D392,Lookup!$L$5:$L$12,0))&amp;
K392&amp;L392&amp;M392&amp;N392&amp;
INDEX(Lookup!$N$5:$N$12,MATCH(D392,Lookup!$L$5:$L$12,0))</f>
        <v>#N/A</v>
      </c>
    </row>
    <row r="393" spans="2:16" x14ac:dyDescent="0.45">
      <c r="B393">
        <f t="shared" si="18"/>
        <v>391</v>
      </c>
      <c r="C393" t="e">
        <f t="shared" si="20"/>
        <v>#N/A</v>
      </c>
      <c r="D393" t="e">
        <f>VLOOKUP(C393,Lookup!$K$5:$L$12,2,FALSE)</f>
        <v>#N/A</v>
      </c>
      <c r="E393" t="e">
        <f>IF(D393=Lookup!$L$5,E392+1,E392)</f>
        <v>#N/A</v>
      </c>
      <c r="F393" s="3" t="e">
        <f>INDEX(views[Entities count],MATCH('view-code'!E393,views[object_id order],0))</f>
        <v>#N/A</v>
      </c>
      <c r="G393" t="e">
        <f>IF(D392=Lookup!$L$10,1,IF(D392=Lookup!$L$11,G392+1,""))</f>
        <v>#N/A</v>
      </c>
      <c r="H393" t="e">
        <f>IF(F393=1,IF(D393=Lookup!$L$10,2,1),IF(G393&lt;F393-1,0,1))</f>
        <v>#N/A</v>
      </c>
      <c r="I393" t="e">
        <f>IF(D393&lt;&gt;Lookup!$L$7,0,IF(INDEX(views[name],MATCH(E393,views[object_id order],0))&lt;&gt;"",0,1))</f>
        <v>#N/A</v>
      </c>
      <c r="J393" t="e">
        <f>IF(D393&lt;&gt;Lookup!$L$7,0,IF(INDEX(views[icon],MATCH(E393,views[object_id order],0))&lt;&gt;"",0,1))</f>
        <v>#N/A</v>
      </c>
      <c r="K393" t="e">
        <f>IF($D393=Lookup!$L$6,INDEX(views[object_id],MATCH($E393,views[object_id order],0)),"")</f>
        <v>#N/A</v>
      </c>
      <c r="L393" t="e">
        <f>IF($D393=Lookup!$L$8,INDEX(views[name],MATCH($E393,views[object_id order],0)),"")</f>
        <v>#N/A</v>
      </c>
      <c r="M393" t="e">
        <f>IF($D393=Lookup!$L$9,INDEX(views[icon],MATCH($E393,views[object_id order],0)),"")</f>
        <v>#N/A</v>
      </c>
      <c r="N393" t="e">
        <f>IF(OR(D393=Lookup!$L$11,D393=Lookup!$L$12),INDEX(views[[1]:[25]],MATCH($E393,views[object_id order],0),G393),"")</f>
        <v>#N/A</v>
      </c>
      <c r="O393" t="str">
        <f t="shared" si="19"/>
        <v/>
      </c>
      <c r="P393" s="8" t="e">
        <f>INDEX(Lookup!$M$5:$M$12,MATCH(D393,Lookup!$L$5:$L$12,0))&amp;
K393&amp;L393&amp;M393&amp;N393&amp;
INDEX(Lookup!$N$5:$N$12,MATCH(D393,Lookup!$L$5:$L$12,0))</f>
        <v>#N/A</v>
      </c>
    </row>
    <row r="394" spans="2:16" x14ac:dyDescent="0.45">
      <c r="B394">
        <f t="shared" si="18"/>
        <v>392</v>
      </c>
      <c r="C394" t="e">
        <f t="shared" si="20"/>
        <v>#N/A</v>
      </c>
      <c r="D394" t="e">
        <f>VLOOKUP(C394,Lookup!$K$5:$L$12,2,FALSE)</f>
        <v>#N/A</v>
      </c>
      <c r="E394" t="e">
        <f>IF(D394=Lookup!$L$5,E393+1,E393)</f>
        <v>#N/A</v>
      </c>
      <c r="F394" s="3" t="e">
        <f>INDEX(views[Entities count],MATCH('view-code'!E394,views[object_id order],0))</f>
        <v>#N/A</v>
      </c>
      <c r="G394" t="e">
        <f>IF(D393=Lookup!$L$10,1,IF(D393=Lookup!$L$11,G393+1,""))</f>
        <v>#N/A</v>
      </c>
      <c r="H394" t="e">
        <f>IF(F394=1,IF(D394=Lookup!$L$10,2,1),IF(G394&lt;F394-1,0,1))</f>
        <v>#N/A</v>
      </c>
      <c r="I394" t="e">
        <f>IF(D394&lt;&gt;Lookup!$L$7,0,IF(INDEX(views[name],MATCH(E394,views[object_id order],0))&lt;&gt;"",0,1))</f>
        <v>#N/A</v>
      </c>
      <c r="J394" t="e">
        <f>IF(D394&lt;&gt;Lookup!$L$7,0,IF(INDEX(views[icon],MATCH(E394,views[object_id order],0))&lt;&gt;"",0,1))</f>
        <v>#N/A</v>
      </c>
      <c r="K394" t="e">
        <f>IF($D394=Lookup!$L$6,INDEX(views[object_id],MATCH($E394,views[object_id order],0)),"")</f>
        <v>#N/A</v>
      </c>
      <c r="L394" t="e">
        <f>IF($D394=Lookup!$L$8,INDEX(views[name],MATCH($E394,views[object_id order],0)),"")</f>
        <v>#N/A</v>
      </c>
      <c r="M394" t="e">
        <f>IF($D394=Lookup!$L$9,INDEX(views[icon],MATCH($E394,views[object_id order],0)),"")</f>
        <v>#N/A</v>
      </c>
      <c r="N394" t="e">
        <f>IF(OR(D394=Lookup!$L$11,D394=Lookup!$L$12),INDEX(views[[1]:[25]],MATCH($E394,views[object_id order],0),G394),"")</f>
        <v>#N/A</v>
      </c>
      <c r="O394" t="str">
        <f t="shared" si="19"/>
        <v/>
      </c>
      <c r="P394" s="8" t="e">
        <f>INDEX(Lookup!$M$5:$M$12,MATCH(D394,Lookup!$L$5:$L$12,0))&amp;
K394&amp;L394&amp;M394&amp;N394&amp;
INDEX(Lookup!$N$5:$N$12,MATCH(D394,Lookup!$L$5:$L$12,0))</f>
        <v>#N/A</v>
      </c>
    </row>
    <row r="395" spans="2:16" x14ac:dyDescent="0.45">
      <c r="B395">
        <f t="shared" si="18"/>
        <v>393</v>
      </c>
      <c r="C395" t="e">
        <f t="shared" si="20"/>
        <v>#N/A</v>
      </c>
      <c r="D395" t="e">
        <f>VLOOKUP(C395,Lookup!$K$5:$L$12,2,FALSE)</f>
        <v>#N/A</v>
      </c>
      <c r="E395" t="e">
        <f>IF(D395=Lookup!$L$5,E394+1,E394)</f>
        <v>#N/A</v>
      </c>
      <c r="F395" s="3" t="e">
        <f>INDEX(views[Entities count],MATCH('view-code'!E395,views[object_id order],0))</f>
        <v>#N/A</v>
      </c>
      <c r="G395" t="e">
        <f>IF(D394=Lookup!$L$10,1,IF(D394=Lookup!$L$11,G394+1,""))</f>
        <v>#N/A</v>
      </c>
      <c r="H395" t="e">
        <f>IF(F395=1,IF(D395=Lookup!$L$10,2,1),IF(G395&lt;F395-1,0,1))</f>
        <v>#N/A</v>
      </c>
      <c r="I395" t="e">
        <f>IF(D395&lt;&gt;Lookup!$L$7,0,IF(INDEX(views[name],MATCH(E395,views[object_id order],0))&lt;&gt;"",0,1))</f>
        <v>#N/A</v>
      </c>
      <c r="J395" t="e">
        <f>IF(D395&lt;&gt;Lookup!$L$7,0,IF(INDEX(views[icon],MATCH(E395,views[object_id order],0))&lt;&gt;"",0,1))</f>
        <v>#N/A</v>
      </c>
      <c r="K395" t="e">
        <f>IF($D395=Lookup!$L$6,INDEX(views[object_id],MATCH($E395,views[object_id order],0)),"")</f>
        <v>#N/A</v>
      </c>
      <c r="L395" t="e">
        <f>IF($D395=Lookup!$L$8,INDEX(views[name],MATCH($E395,views[object_id order],0)),"")</f>
        <v>#N/A</v>
      </c>
      <c r="M395" t="e">
        <f>IF($D395=Lookup!$L$9,INDEX(views[icon],MATCH($E395,views[object_id order],0)),"")</f>
        <v>#N/A</v>
      </c>
      <c r="N395" t="e">
        <f>IF(OR(D395=Lookup!$L$11,D395=Lookup!$L$12),INDEX(views[[1]:[25]],MATCH($E395,views[object_id order],0),G395),"")</f>
        <v>#N/A</v>
      </c>
      <c r="O395" t="str">
        <f t="shared" si="19"/>
        <v/>
      </c>
      <c r="P395" s="8" t="e">
        <f>INDEX(Lookup!$M$5:$M$12,MATCH(D395,Lookup!$L$5:$L$12,0))&amp;
K395&amp;L395&amp;M395&amp;N395&amp;
INDEX(Lookup!$N$5:$N$12,MATCH(D395,Lookup!$L$5:$L$12,0))</f>
        <v>#N/A</v>
      </c>
    </row>
    <row r="396" spans="2:16" x14ac:dyDescent="0.45">
      <c r="B396">
        <f t="shared" si="18"/>
        <v>394</v>
      </c>
      <c r="C396" t="e">
        <f t="shared" si="20"/>
        <v>#N/A</v>
      </c>
      <c r="D396" t="e">
        <f>VLOOKUP(C396,Lookup!$K$5:$L$12,2,FALSE)</f>
        <v>#N/A</v>
      </c>
      <c r="E396" t="e">
        <f>IF(D396=Lookup!$L$5,E395+1,E395)</f>
        <v>#N/A</v>
      </c>
      <c r="F396" s="3" t="e">
        <f>INDEX(views[Entities count],MATCH('view-code'!E396,views[object_id order],0))</f>
        <v>#N/A</v>
      </c>
      <c r="G396" t="e">
        <f>IF(D395=Lookup!$L$10,1,IF(D395=Lookup!$L$11,G395+1,""))</f>
        <v>#N/A</v>
      </c>
      <c r="H396" t="e">
        <f>IF(F396=1,IF(D396=Lookup!$L$10,2,1),IF(G396&lt;F396-1,0,1))</f>
        <v>#N/A</v>
      </c>
      <c r="I396" t="e">
        <f>IF(D396&lt;&gt;Lookup!$L$7,0,IF(INDEX(views[name],MATCH(E396,views[object_id order],0))&lt;&gt;"",0,1))</f>
        <v>#N/A</v>
      </c>
      <c r="J396" t="e">
        <f>IF(D396&lt;&gt;Lookup!$L$7,0,IF(INDEX(views[icon],MATCH(E396,views[object_id order],0))&lt;&gt;"",0,1))</f>
        <v>#N/A</v>
      </c>
      <c r="K396" t="e">
        <f>IF($D396=Lookup!$L$6,INDEX(views[object_id],MATCH($E396,views[object_id order],0)),"")</f>
        <v>#N/A</v>
      </c>
      <c r="L396" t="e">
        <f>IF($D396=Lookup!$L$8,INDEX(views[name],MATCH($E396,views[object_id order],0)),"")</f>
        <v>#N/A</v>
      </c>
      <c r="M396" t="e">
        <f>IF($D396=Lookup!$L$9,INDEX(views[icon],MATCH($E396,views[object_id order],0)),"")</f>
        <v>#N/A</v>
      </c>
      <c r="N396" t="e">
        <f>IF(OR(D396=Lookup!$L$11,D396=Lookup!$L$12),INDEX(views[[1]:[25]],MATCH($E396,views[object_id order],0),G396),"")</f>
        <v>#N/A</v>
      </c>
      <c r="O396" t="str">
        <f t="shared" si="19"/>
        <v/>
      </c>
      <c r="P396" s="8" t="e">
        <f>INDEX(Lookup!$M$5:$M$12,MATCH(D396,Lookup!$L$5:$L$12,0))&amp;
K396&amp;L396&amp;M396&amp;N396&amp;
INDEX(Lookup!$N$5:$N$12,MATCH(D396,Lookup!$L$5:$L$12,0))</f>
        <v>#N/A</v>
      </c>
    </row>
    <row r="397" spans="2:16" x14ac:dyDescent="0.45">
      <c r="B397">
        <f t="shared" si="18"/>
        <v>395</v>
      </c>
      <c r="C397" t="e">
        <f t="shared" si="20"/>
        <v>#N/A</v>
      </c>
      <c r="D397" t="e">
        <f>VLOOKUP(C397,Lookup!$K$5:$L$12,2,FALSE)</f>
        <v>#N/A</v>
      </c>
      <c r="E397" t="e">
        <f>IF(D397=Lookup!$L$5,E396+1,E396)</f>
        <v>#N/A</v>
      </c>
      <c r="F397" s="3" t="e">
        <f>INDEX(views[Entities count],MATCH('view-code'!E397,views[object_id order],0))</f>
        <v>#N/A</v>
      </c>
      <c r="G397" t="e">
        <f>IF(D396=Lookup!$L$10,1,IF(D396=Lookup!$L$11,G396+1,""))</f>
        <v>#N/A</v>
      </c>
      <c r="H397" t="e">
        <f>IF(F397=1,IF(D397=Lookup!$L$10,2,1),IF(G397&lt;F397-1,0,1))</f>
        <v>#N/A</v>
      </c>
      <c r="I397" t="e">
        <f>IF(D397&lt;&gt;Lookup!$L$7,0,IF(INDEX(views[name],MATCH(E397,views[object_id order],0))&lt;&gt;"",0,1))</f>
        <v>#N/A</v>
      </c>
      <c r="J397" t="e">
        <f>IF(D397&lt;&gt;Lookup!$L$7,0,IF(INDEX(views[icon],MATCH(E397,views[object_id order],0))&lt;&gt;"",0,1))</f>
        <v>#N/A</v>
      </c>
      <c r="K397" t="e">
        <f>IF($D397=Lookup!$L$6,INDEX(views[object_id],MATCH($E397,views[object_id order],0)),"")</f>
        <v>#N/A</v>
      </c>
      <c r="L397" t="e">
        <f>IF($D397=Lookup!$L$8,INDEX(views[name],MATCH($E397,views[object_id order],0)),"")</f>
        <v>#N/A</v>
      </c>
      <c r="M397" t="e">
        <f>IF($D397=Lookup!$L$9,INDEX(views[icon],MATCH($E397,views[object_id order],0)),"")</f>
        <v>#N/A</v>
      </c>
      <c r="N397" t="e">
        <f>IF(OR(D397=Lookup!$L$11,D397=Lookup!$L$12),INDEX(views[[1]:[25]],MATCH($E397,views[object_id order],0),G397),"")</f>
        <v>#N/A</v>
      </c>
      <c r="O397" t="str">
        <f t="shared" si="19"/>
        <v/>
      </c>
      <c r="P397" s="8" t="e">
        <f>INDEX(Lookup!$M$5:$M$12,MATCH(D397,Lookup!$L$5:$L$12,0))&amp;
K397&amp;L397&amp;M397&amp;N397&amp;
INDEX(Lookup!$N$5:$N$12,MATCH(D397,Lookup!$L$5:$L$12,0))</f>
        <v>#N/A</v>
      </c>
    </row>
    <row r="398" spans="2:16" x14ac:dyDescent="0.45">
      <c r="B398">
        <f t="shared" si="18"/>
        <v>396</v>
      </c>
      <c r="C398" t="e">
        <f t="shared" si="20"/>
        <v>#N/A</v>
      </c>
      <c r="D398" t="e">
        <f>VLOOKUP(C398,Lookup!$K$5:$L$12,2,FALSE)</f>
        <v>#N/A</v>
      </c>
      <c r="E398" t="e">
        <f>IF(D398=Lookup!$L$5,E397+1,E397)</f>
        <v>#N/A</v>
      </c>
      <c r="F398" s="3" t="e">
        <f>INDEX(views[Entities count],MATCH('view-code'!E398,views[object_id order],0))</f>
        <v>#N/A</v>
      </c>
      <c r="G398" t="e">
        <f>IF(D397=Lookup!$L$10,1,IF(D397=Lookup!$L$11,G397+1,""))</f>
        <v>#N/A</v>
      </c>
      <c r="H398" t="e">
        <f>IF(F398=1,IF(D398=Lookup!$L$10,2,1),IF(G398&lt;F398-1,0,1))</f>
        <v>#N/A</v>
      </c>
      <c r="I398" t="e">
        <f>IF(D398&lt;&gt;Lookup!$L$7,0,IF(INDEX(views[name],MATCH(E398,views[object_id order],0))&lt;&gt;"",0,1))</f>
        <v>#N/A</v>
      </c>
      <c r="J398" t="e">
        <f>IF(D398&lt;&gt;Lookup!$L$7,0,IF(INDEX(views[icon],MATCH(E398,views[object_id order],0))&lt;&gt;"",0,1))</f>
        <v>#N/A</v>
      </c>
      <c r="K398" t="e">
        <f>IF($D398=Lookup!$L$6,INDEX(views[object_id],MATCH($E398,views[object_id order],0)),"")</f>
        <v>#N/A</v>
      </c>
      <c r="L398" t="e">
        <f>IF($D398=Lookup!$L$8,INDEX(views[name],MATCH($E398,views[object_id order],0)),"")</f>
        <v>#N/A</v>
      </c>
      <c r="M398" t="e">
        <f>IF($D398=Lookup!$L$9,INDEX(views[icon],MATCH($E398,views[object_id order],0)),"")</f>
        <v>#N/A</v>
      </c>
      <c r="N398" t="e">
        <f>IF(OR(D398=Lookup!$L$11,D398=Lookup!$L$12),INDEX(views[[1]:[25]],MATCH($E398,views[object_id order],0),G398),"")</f>
        <v>#N/A</v>
      </c>
      <c r="O398" t="str">
        <f t="shared" si="19"/>
        <v/>
      </c>
      <c r="P398" s="8" t="e">
        <f>INDEX(Lookup!$M$5:$M$12,MATCH(D398,Lookup!$L$5:$L$12,0))&amp;
K398&amp;L398&amp;M398&amp;N398&amp;
INDEX(Lookup!$N$5:$N$12,MATCH(D398,Lookup!$L$5:$L$12,0))</f>
        <v>#N/A</v>
      </c>
    </row>
    <row r="399" spans="2:16" x14ac:dyDescent="0.45">
      <c r="B399">
        <f t="shared" si="18"/>
        <v>397</v>
      </c>
      <c r="C399" t="e">
        <f t="shared" si="20"/>
        <v>#N/A</v>
      </c>
      <c r="D399" t="e">
        <f>VLOOKUP(C399,Lookup!$K$5:$L$12,2,FALSE)</f>
        <v>#N/A</v>
      </c>
      <c r="E399" t="e">
        <f>IF(D399=Lookup!$L$5,E398+1,E398)</f>
        <v>#N/A</v>
      </c>
      <c r="F399" s="3" t="e">
        <f>INDEX(views[Entities count],MATCH('view-code'!E399,views[object_id order],0))</f>
        <v>#N/A</v>
      </c>
      <c r="G399" t="e">
        <f>IF(D398=Lookup!$L$10,1,IF(D398=Lookup!$L$11,G398+1,""))</f>
        <v>#N/A</v>
      </c>
      <c r="H399" t="e">
        <f>IF(F399=1,IF(D399=Lookup!$L$10,2,1),IF(G399&lt;F399-1,0,1))</f>
        <v>#N/A</v>
      </c>
      <c r="I399" t="e">
        <f>IF(D399&lt;&gt;Lookup!$L$7,0,IF(INDEX(views[name],MATCH(E399,views[object_id order],0))&lt;&gt;"",0,1))</f>
        <v>#N/A</v>
      </c>
      <c r="J399" t="e">
        <f>IF(D399&lt;&gt;Lookup!$L$7,0,IF(INDEX(views[icon],MATCH(E399,views[object_id order],0))&lt;&gt;"",0,1))</f>
        <v>#N/A</v>
      </c>
      <c r="K399" t="e">
        <f>IF($D399=Lookup!$L$6,INDEX(views[object_id],MATCH($E399,views[object_id order],0)),"")</f>
        <v>#N/A</v>
      </c>
      <c r="L399" t="e">
        <f>IF($D399=Lookup!$L$8,INDEX(views[name],MATCH($E399,views[object_id order],0)),"")</f>
        <v>#N/A</v>
      </c>
      <c r="M399" t="e">
        <f>IF($D399=Lookup!$L$9,INDEX(views[icon],MATCH($E399,views[object_id order],0)),"")</f>
        <v>#N/A</v>
      </c>
      <c r="N399" t="e">
        <f>IF(OR(D399=Lookup!$L$11,D399=Lookup!$L$12),INDEX(views[[1]:[25]],MATCH($E399,views[object_id order],0),G399),"")</f>
        <v>#N/A</v>
      </c>
      <c r="O399" t="str">
        <f t="shared" si="19"/>
        <v/>
      </c>
      <c r="P399" s="8" t="e">
        <f>INDEX(Lookup!$M$5:$M$12,MATCH(D399,Lookup!$L$5:$L$12,0))&amp;
K399&amp;L399&amp;M399&amp;N399&amp;
INDEX(Lookup!$N$5:$N$12,MATCH(D399,Lookup!$L$5:$L$12,0))</f>
        <v>#N/A</v>
      </c>
    </row>
    <row r="400" spans="2:16" x14ac:dyDescent="0.45">
      <c r="B400">
        <f t="shared" si="18"/>
        <v>398</v>
      </c>
      <c r="C400" t="e">
        <f t="shared" si="20"/>
        <v>#N/A</v>
      </c>
      <c r="D400" t="e">
        <f>VLOOKUP(C400,Lookup!$K$5:$L$12,2,FALSE)</f>
        <v>#N/A</v>
      </c>
      <c r="E400" t="e">
        <f>IF(D400=Lookup!$L$5,E399+1,E399)</f>
        <v>#N/A</v>
      </c>
      <c r="F400" s="3" t="e">
        <f>INDEX(views[Entities count],MATCH('view-code'!E400,views[object_id order],0))</f>
        <v>#N/A</v>
      </c>
      <c r="G400" t="e">
        <f>IF(D399=Lookup!$L$10,1,IF(D399=Lookup!$L$11,G399+1,""))</f>
        <v>#N/A</v>
      </c>
      <c r="H400" t="e">
        <f>IF(F400=1,IF(D400=Lookup!$L$10,2,1),IF(G400&lt;F400-1,0,1))</f>
        <v>#N/A</v>
      </c>
      <c r="I400" t="e">
        <f>IF(D400&lt;&gt;Lookup!$L$7,0,IF(INDEX(views[name],MATCH(E400,views[object_id order],0))&lt;&gt;"",0,1))</f>
        <v>#N/A</v>
      </c>
      <c r="J400" t="e">
        <f>IF(D400&lt;&gt;Lookup!$L$7,0,IF(INDEX(views[icon],MATCH(E400,views[object_id order],0))&lt;&gt;"",0,1))</f>
        <v>#N/A</v>
      </c>
      <c r="K400" t="e">
        <f>IF($D400=Lookup!$L$6,INDEX(views[object_id],MATCH($E400,views[object_id order],0)),"")</f>
        <v>#N/A</v>
      </c>
      <c r="L400" t="e">
        <f>IF($D400=Lookup!$L$8,INDEX(views[name],MATCH($E400,views[object_id order],0)),"")</f>
        <v>#N/A</v>
      </c>
      <c r="M400" t="e">
        <f>IF($D400=Lookup!$L$9,INDEX(views[icon],MATCH($E400,views[object_id order],0)),"")</f>
        <v>#N/A</v>
      </c>
      <c r="N400" t="e">
        <f>IF(OR(D400=Lookup!$L$11,D400=Lookup!$L$12),INDEX(views[[1]:[25]],MATCH($E400,views[object_id order],0),G400),"")</f>
        <v>#N/A</v>
      </c>
      <c r="O400" t="str">
        <f t="shared" si="19"/>
        <v/>
      </c>
      <c r="P400" s="8" t="e">
        <f>INDEX(Lookup!$M$5:$M$12,MATCH(D400,Lookup!$L$5:$L$12,0))&amp;
K400&amp;L400&amp;M400&amp;N400&amp;
INDEX(Lookup!$N$5:$N$12,MATCH(D400,Lookup!$L$5:$L$12,0))</f>
        <v>#N/A</v>
      </c>
    </row>
    <row r="401" spans="2:16" x14ac:dyDescent="0.45">
      <c r="B401">
        <f t="shared" si="18"/>
        <v>399</v>
      </c>
      <c r="C401" t="e">
        <f t="shared" si="20"/>
        <v>#N/A</v>
      </c>
      <c r="D401" t="e">
        <f>VLOOKUP(C401,Lookup!$K$5:$L$12,2,FALSE)</f>
        <v>#N/A</v>
      </c>
      <c r="E401" t="e">
        <f>IF(D401=Lookup!$L$5,E400+1,E400)</f>
        <v>#N/A</v>
      </c>
      <c r="F401" s="3" t="e">
        <f>INDEX(views[Entities count],MATCH('view-code'!E401,views[object_id order],0))</f>
        <v>#N/A</v>
      </c>
      <c r="G401" t="e">
        <f>IF(D400=Lookup!$L$10,1,IF(D400=Lookup!$L$11,G400+1,""))</f>
        <v>#N/A</v>
      </c>
      <c r="H401" t="e">
        <f>IF(F401=1,IF(D401=Lookup!$L$10,2,1),IF(G401&lt;F401-1,0,1))</f>
        <v>#N/A</v>
      </c>
      <c r="I401" t="e">
        <f>IF(D401&lt;&gt;Lookup!$L$7,0,IF(INDEX(views[name],MATCH(E401,views[object_id order],0))&lt;&gt;"",0,1))</f>
        <v>#N/A</v>
      </c>
      <c r="J401" t="e">
        <f>IF(D401&lt;&gt;Lookup!$L$7,0,IF(INDEX(views[icon],MATCH(E401,views[object_id order],0))&lt;&gt;"",0,1))</f>
        <v>#N/A</v>
      </c>
      <c r="K401" t="e">
        <f>IF($D401=Lookup!$L$6,INDEX(views[object_id],MATCH($E401,views[object_id order],0)),"")</f>
        <v>#N/A</v>
      </c>
      <c r="L401" t="e">
        <f>IF($D401=Lookup!$L$8,INDEX(views[name],MATCH($E401,views[object_id order],0)),"")</f>
        <v>#N/A</v>
      </c>
      <c r="M401" t="e">
        <f>IF($D401=Lookup!$L$9,INDEX(views[icon],MATCH($E401,views[object_id order],0)),"")</f>
        <v>#N/A</v>
      </c>
      <c r="N401" t="e">
        <f>IF(OR(D401=Lookup!$L$11,D401=Lookup!$L$12),INDEX(views[[1]:[25]],MATCH($E401,views[object_id order],0),G401),"")</f>
        <v>#N/A</v>
      </c>
      <c r="O401" t="str">
        <f t="shared" si="19"/>
        <v/>
      </c>
      <c r="P401" s="8" t="e">
        <f>INDEX(Lookup!$M$5:$M$12,MATCH(D401,Lookup!$L$5:$L$12,0))&amp;
K401&amp;L401&amp;M401&amp;N401&amp;
INDEX(Lookup!$N$5:$N$12,MATCH(D401,Lookup!$L$5:$L$12,0))</f>
        <v>#N/A</v>
      </c>
    </row>
    <row r="402" spans="2:16" x14ac:dyDescent="0.45">
      <c r="B402">
        <f t="shared" si="18"/>
        <v>400</v>
      </c>
      <c r="C402" t="e">
        <f t="shared" si="20"/>
        <v>#N/A</v>
      </c>
      <c r="D402" t="e">
        <f>VLOOKUP(C402,Lookup!$K$5:$L$12,2,FALSE)</f>
        <v>#N/A</v>
      </c>
      <c r="E402" t="e">
        <f>IF(D402=Lookup!$L$5,E401+1,E401)</f>
        <v>#N/A</v>
      </c>
      <c r="F402" s="3" t="e">
        <f>INDEX(views[Entities count],MATCH('view-code'!E402,views[object_id order],0))</f>
        <v>#N/A</v>
      </c>
      <c r="G402" t="e">
        <f>IF(D401=Lookup!$L$10,1,IF(D401=Lookup!$L$11,G401+1,""))</f>
        <v>#N/A</v>
      </c>
      <c r="H402" t="e">
        <f>IF(F402=1,IF(D402=Lookup!$L$10,2,1),IF(G402&lt;F402-1,0,1))</f>
        <v>#N/A</v>
      </c>
      <c r="I402" t="e">
        <f>IF(D402&lt;&gt;Lookup!$L$7,0,IF(INDEX(views[name],MATCH(E402,views[object_id order],0))&lt;&gt;"",0,1))</f>
        <v>#N/A</v>
      </c>
      <c r="J402" t="e">
        <f>IF(D402&lt;&gt;Lookup!$L$7,0,IF(INDEX(views[icon],MATCH(E402,views[object_id order],0))&lt;&gt;"",0,1))</f>
        <v>#N/A</v>
      </c>
      <c r="K402" t="e">
        <f>IF($D402=Lookup!$L$6,INDEX(views[object_id],MATCH($E402,views[object_id order],0)),"")</f>
        <v>#N/A</v>
      </c>
      <c r="L402" t="e">
        <f>IF($D402=Lookup!$L$8,INDEX(views[name],MATCH($E402,views[object_id order],0)),"")</f>
        <v>#N/A</v>
      </c>
      <c r="M402" t="e">
        <f>IF($D402=Lookup!$L$9,INDEX(views[icon],MATCH($E402,views[object_id order],0)),"")</f>
        <v>#N/A</v>
      </c>
      <c r="N402" t="e">
        <f>IF(OR(D402=Lookup!$L$11,D402=Lookup!$L$12),INDEX(views[[1]:[25]],MATCH($E402,views[object_id order],0),G402),"")</f>
        <v>#N/A</v>
      </c>
      <c r="O402" t="str">
        <f t="shared" si="19"/>
        <v/>
      </c>
      <c r="P402" s="8" t="e">
        <f>INDEX(Lookup!$M$5:$M$12,MATCH(D402,Lookup!$L$5:$L$12,0))&amp;
K402&amp;L402&amp;M402&amp;N402&amp;
INDEX(Lookup!$N$5:$N$12,MATCH(D402,Lookup!$L$5:$L$12,0))</f>
        <v>#N/A</v>
      </c>
    </row>
    <row r="403" spans="2:16" x14ac:dyDescent="0.45">
      <c r="B403">
        <f t="shared" si="18"/>
        <v>401</v>
      </c>
      <c r="C403" t="e">
        <f t="shared" si="20"/>
        <v>#N/A</v>
      </c>
      <c r="D403" t="e">
        <f>VLOOKUP(C403,Lookup!$K$5:$L$12,2,FALSE)</f>
        <v>#N/A</v>
      </c>
      <c r="E403" t="e">
        <f>IF(D403=Lookup!$L$5,E402+1,E402)</f>
        <v>#N/A</v>
      </c>
      <c r="F403" s="3" t="e">
        <f>INDEX(views[Entities count],MATCH('view-code'!E403,views[object_id order],0))</f>
        <v>#N/A</v>
      </c>
      <c r="G403" t="e">
        <f>IF(D402=Lookup!$L$10,1,IF(D402=Lookup!$L$11,G402+1,""))</f>
        <v>#N/A</v>
      </c>
      <c r="H403" t="e">
        <f>IF(F403=1,IF(D403=Lookup!$L$10,2,1),IF(G403&lt;F403-1,0,1))</f>
        <v>#N/A</v>
      </c>
      <c r="I403" t="e">
        <f>IF(D403&lt;&gt;Lookup!$L$7,0,IF(INDEX(views[name],MATCH(E403,views[object_id order],0))&lt;&gt;"",0,1))</f>
        <v>#N/A</v>
      </c>
      <c r="J403" t="e">
        <f>IF(D403&lt;&gt;Lookup!$L$7,0,IF(INDEX(views[icon],MATCH(E403,views[object_id order],0))&lt;&gt;"",0,1))</f>
        <v>#N/A</v>
      </c>
      <c r="K403" t="e">
        <f>IF($D403=Lookup!$L$6,INDEX(views[object_id],MATCH($E403,views[object_id order],0)),"")</f>
        <v>#N/A</v>
      </c>
      <c r="L403" t="e">
        <f>IF($D403=Lookup!$L$8,INDEX(views[name],MATCH($E403,views[object_id order],0)),"")</f>
        <v>#N/A</v>
      </c>
      <c r="M403" t="e">
        <f>IF($D403=Lookup!$L$9,INDEX(views[icon],MATCH($E403,views[object_id order],0)),"")</f>
        <v>#N/A</v>
      </c>
      <c r="N403" t="e">
        <f>IF(OR(D403=Lookup!$L$11,D403=Lookup!$L$12),INDEX(views[[1]:[25]],MATCH($E403,views[object_id order],0),G403),"")</f>
        <v>#N/A</v>
      </c>
      <c r="O403" t="str">
        <f t="shared" si="19"/>
        <v/>
      </c>
      <c r="P403" s="8" t="e">
        <f>INDEX(Lookup!$M$5:$M$12,MATCH(D403,Lookup!$L$5:$L$12,0))&amp;
K403&amp;L403&amp;M403&amp;N403&amp;
INDEX(Lookup!$N$5:$N$12,MATCH(D403,Lookup!$L$5:$L$12,0))</f>
        <v>#N/A</v>
      </c>
    </row>
    <row r="404" spans="2:16" x14ac:dyDescent="0.45">
      <c r="B404">
        <f t="shared" si="18"/>
        <v>402</v>
      </c>
      <c r="C404" t="e">
        <f t="shared" si="20"/>
        <v>#N/A</v>
      </c>
      <c r="D404" t="e">
        <f>VLOOKUP(C404,Lookup!$K$5:$L$12,2,FALSE)</f>
        <v>#N/A</v>
      </c>
      <c r="E404" t="e">
        <f>IF(D404=Lookup!$L$5,E403+1,E403)</f>
        <v>#N/A</v>
      </c>
      <c r="F404" s="3" t="e">
        <f>INDEX(views[Entities count],MATCH('view-code'!E404,views[object_id order],0))</f>
        <v>#N/A</v>
      </c>
      <c r="G404" t="e">
        <f>IF(D403=Lookup!$L$10,1,IF(D403=Lookup!$L$11,G403+1,""))</f>
        <v>#N/A</v>
      </c>
      <c r="H404" t="e">
        <f>IF(F404=1,IF(D404=Lookup!$L$10,2,1),IF(G404&lt;F404-1,0,1))</f>
        <v>#N/A</v>
      </c>
      <c r="I404" t="e">
        <f>IF(D404&lt;&gt;Lookup!$L$7,0,IF(INDEX(views[name],MATCH(E404,views[object_id order],0))&lt;&gt;"",0,1))</f>
        <v>#N/A</v>
      </c>
      <c r="J404" t="e">
        <f>IF(D404&lt;&gt;Lookup!$L$7,0,IF(INDEX(views[icon],MATCH(E404,views[object_id order],0))&lt;&gt;"",0,1))</f>
        <v>#N/A</v>
      </c>
      <c r="K404" t="e">
        <f>IF($D404=Lookup!$L$6,INDEX(views[object_id],MATCH($E404,views[object_id order],0)),"")</f>
        <v>#N/A</v>
      </c>
      <c r="L404" t="e">
        <f>IF($D404=Lookup!$L$8,INDEX(views[name],MATCH($E404,views[object_id order],0)),"")</f>
        <v>#N/A</v>
      </c>
      <c r="M404" t="e">
        <f>IF($D404=Lookup!$L$9,INDEX(views[icon],MATCH($E404,views[object_id order],0)),"")</f>
        <v>#N/A</v>
      </c>
      <c r="N404" t="e">
        <f>IF(OR(D404=Lookup!$L$11,D404=Lookup!$L$12),INDEX(views[[1]:[25]],MATCH($E404,views[object_id order],0),G404),"")</f>
        <v>#N/A</v>
      </c>
      <c r="O404" t="str">
        <f t="shared" si="19"/>
        <v/>
      </c>
      <c r="P404" s="8" t="e">
        <f>INDEX(Lookup!$M$5:$M$12,MATCH(D404,Lookup!$L$5:$L$12,0))&amp;
K404&amp;L404&amp;M404&amp;N404&amp;
INDEX(Lookup!$N$5:$N$12,MATCH(D404,Lookup!$L$5:$L$12,0))</f>
        <v>#N/A</v>
      </c>
    </row>
    <row r="405" spans="2:16" x14ac:dyDescent="0.45">
      <c r="B405">
        <f t="shared" si="18"/>
        <v>403</v>
      </c>
      <c r="C405" t="e">
        <f t="shared" si="20"/>
        <v>#N/A</v>
      </c>
      <c r="D405" t="e">
        <f>VLOOKUP(C405,Lookup!$K$5:$L$12,2,FALSE)</f>
        <v>#N/A</v>
      </c>
      <c r="E405" t="e">
        <f>IF(D405=Lookup!$L$5,E404+1,E404)</f>
        <v>#N/A</v>
      </c>
      <c r="F405" s="3" t="e">
        <f>INDEX(views[Entities count],MATCH('view-code'!E405,views[object_id order],0))</f>
        <v>#N/A</v>
      </c>
      <c r="G405" t="e">
        <f>IF(D404=Lookup!$L$10,1,IF(D404=Lookup!$L$11,G404+1,""))</f>
        <v>#N/A</v>
      </c>
      <c r="H405" t="e">
        <f>IF(F405=1,IF(D405=Lookup!$L$10,2,1),IF(G405&lt;F405-1,0,1))</f>
        <v>#N/A</v>
      </c>
      <c r="I405" t="e">
        <f>IF(D405&lt;&gt;Lookup!$L$7,0,IF(INDEX(views[name],MATCH(E405,views[object_id order],0))&lt;&gt;"",0,1))</f>
        <v>#N/A</v>
      </c>
      <c r="J405" t="e">
        <f>IF(D405&lt;&gt;Lookup!$L$7,0,IF(INDEX(views[icon],MATCH(E405,views[object_id order],0))&lt;&gt;"",0,1))</f>
        <v>#N/A</v>
      </c>
      <c r="K405" t="e">
        <f>IF($D405=Lookup!$L$6,INDEX(views[object_id],MATCH($E405,views[object_id order],0)),"")</f>
        <v>#N/A</v>
      </c>
      <c r="L405" t="e">
        <f>IF($D405=Lookup!$L$8,INDEX(views[name],MATCH($E405,views[object_id order],0)),"")</f>
        <v>#N/A</v>
      </c>
      <c r="M405" t="e">
        <f>IF($D405=Lookup!$L$9,INDEX(views[icon],MATCH($E405,views[object_id order],0)),"")</f>
        <v>#N/A</v>
      </c>
      <c r="N405" t="e">
        <f>IF(OR(D405=Lookup!$L$11,D405=Lookup!$L$12),INDEX(views[[1]:[25]],MATCH($E405,views[object_id order],0),G405),"")</f>
        <v>#N/A</v>
      </c>
      <c r="O405" t="str">
        <f t="shared" si="19"/>
        <v/>
      </c>
      <c r="P405" s="8" t="e">
        <f>INDEX(Lookup!$M$5:$M$12,MATCH(D405,Lookup!$L$5:$L$12,0))&amp;
K405&amp;L405&amp;M405&amp;N405&amp;
INDEX(Lookup!$N$5:$N$12,MATCH(D405,Lookup!$L$5:$L$12,0))</f>
        <v>#N/A</v>
      </c>
    </row>
    <row r="406" spans="2:16" x14ac:dyDescent="0.45">
      <c r="B406">
        <f t="shared" si="18"/>
        <v>404</v>
      </c>
      <c r="C406" t="e">
        <f t="shared" si="20"/>
        <v>#N/A</v>
      </c>
      <c r="D406" t="e">
        <f>VLOOKUP(C406,Lookup!$K$5:$L$12,2,FALSE)</f>
        <v>#N/A</v>
      </c>
      <c r="E406" t="e">
        <f>IF(D406=Lookup!$L$5,E405+1,E405)</f>
        <v>#N/A</v>
      </c>
      <c r="F406" s="3" t="e">
        <f>INDEX(views[Entities count],MATCH('view-code'!E406,views[object_id order],0))</f>
        <v>#N/A</v>
      </c>
      <c r="G406" t="e">
        <f>IF(D405=Lookup!$L$10,1,IF(D405=Lookup!$L$11,G405+1,""))</f>
        <v>#N/A</v>
      </c>
      <c r="H406" t="e">
        <f>IF(F406=1,IF(D406=Lookup!$L$10,2,1),IF(G406&lt;F406-1,0,1))</f>
        <v>#N/A</v>
      </c>
      <c r="I406" t="e">
        <f>IF(D406&lt;&gt;Lookup!$L$7,0,IF(INDEX(views[name],MATCH(E406,views[object_id order],0))&lt;&gt;"",0,1))</f>
        <v>#N/A</v>
      </c>
      <c r="J406" t="e">
        <f>IF(D406&lt;&gt;Lookup!$L$7,0,IF(INDEX(views[icon],MATCH(E406,views[object_id order],0))&lt;&gt;"",0,1))</f>
        <v>#N/A</v>
      </c>
      <c r="K406" t="e">
        <f>IF($D406=Lookup!$L$6,INDEX(views[object_id],MATCH($E406,views[object_id order],0)),"")</f>
        <v>#N/A</v>
      </c>
      <c r="L406" t="e">
        <f>IF($D406=Lookup!$L$8,INDEX(views[name],MATCH($E406,views[object_id order],0)),"")</f>
        <v>#N/A</v>
      </c>
      <c r="M406" t="e">
        <f>IF($D406=Lookup!$L$9,INDEX(views[icon],MATCH($E406,views[object_id order],0)),"")</f>
        <v>#N/A</v>
      </c>
      <c r="N406" t="e">
        <f>IF(OR(D406=Lookup!$L$11,D406=Lookup!$L$12),INDEX(views[[1]:[25]],MATCH($E406,views[object_id order],0),G406),"")</f>
        <v>#N/A</v>
      </c>
      <c r="O406" t="str">
        <f t="shared" si="19"/>
        <v/>
      </c>
      <c r="P406" s="8" t="e">
        <f>INDEX(Lookup!$M$5:$M$12,MATCH(D406,Lookup!$L$5:$L$12,0))&amp;
K406&amp;L406&amp;M406&amp;N406&amp;
INDEX(Lookup!$N$5:$N$12,MATCH(D406,Lookup!$L$5:$L$12,0))</f>
        <v>#N/A</v>
      </c>
    </row>
    <row r="407" spans="2:16" x14ac:dyDescent="0.45">
      <c r="B407">
        <f t="shared" si="18"/>
        <v>405</v>
      </c>
      <c r="C407" t="e">
        <f t="shared" si="20"/>
        <v>#N/A</v>
      </c>
      <c r="D407" t="e">
        <f>VLOOKUP(C407,Lookup!$K$5:$L$12,2,FALSE)</f>
        <v>#N/A</v>
      </c>
      <c r="E407" t="e">
        <f>IF(D407=Lookup!$L$5,E406+1,E406)</f>
        <v>#N/A</v>
      </c>
      <c r="F407" s="3" t="e">
        <f>INDEX(views[Entities count],MATCH('view-code'!E407,views[object_id order],0))</f>
        <v>#N/A</v>
      </c>
      <c r="G407" t="e">
        <f>IF(D406=Lookup!$L$10,1,IF(D406=Lookup!$L$11,G406+1,""))</f>
        <v>#N/A</v>
      </c>
      <c r="H407" t="e">
        <f>IF(F407=1,IF(D407=Lookup!$L$10,2,1),IF(G407&lt;F407-1,0,1))</f>
        <v>#N/A</v>
      </c>
      <c r="I407" t="e">
        <f>IF(D407&lt;&gt;Lookup!$L$7,0,IF(INDEX(views[name],MATCH(E407,views[object_id order],0))&lt;&gt;"",0,1))</f>
        <v>#N/A</v>
      </c>
      <c r="J407" t="e">
        <f>IF(D407&lt;&gt;Lookup!$L$7,0,IF(INDEX(views[icon],MATCH(E407,views[object_id order],0))&lt;&gt;"",0,1))</f>
        <v>#N/A</v>
      </c>
      <c r="K407" t="e">
        <f>IF($D407=Lookup!$L$6,INDEX(views[object_id],MATCH($E407,views[object_id order],0)),"")</f>
        <v>#N/A</v>
      </c>
      <c r="L407" t="e">
        <f>IF($D407=Lookup!$L$8,INDEX(views[name],MATCH($E407,views[object_id order],0)),"")</f>
        <v>#N/A</v>
      </c>
      <c r="M407" t="e">
        <f>IF($D407=Lookup!$L$9,INDEX(views[icon],MATCH($E407,views[object_id order],0)),"")</f>
        <v>#N/A</v>
      </c>
      <c r="N407" t="e">
        <f>IF(OR(D407=Lookup!$L$11,D407=Lookup!$L$12),INDEX(views[[1]:[25]],MATCH($E407,views[object_id order],0),G407),"")</f>
        <v>#N/A</v>
      </c>
      <c r="O407" t="str">
        <f t="shared" si="19"/>
        <v/>
      </c>
      <c r="P407" s="8" t="e">
        <f>INDEX(Lookup!$M$5:$M$12,MATCH(D407,Lookup!$L$5:$L$12,0))&amp;
K407&amp;L407&amp;M407&amp;N407&amp;
INDEX(Lookup!$N$5:$N$12,MATCH(D407,Lookup!$L$5:$L$12,0))</f>
        <v>#N/A</v>
      </c>
    </row>
    <row r="408" spans="2:16" x14ac:dyDescent="0.45">
      <c r="B408">
        <f t="shared" si="18"/>
        <v>406</v>
      </c>
      <c r="C408" t="e">
        <f t="shared" si="20"/>
        <v>#N/A</v>
      </c>
      <c r="D408" t="e">
        <f>VLOOKUP(C408,Lookup!$K$5:$L$12,2,FALSE)</f>
        <v>#N/A</v>
      </c>
      <c r="E408" t="e">
        <f>IF(D408=Lookup!$L$5,E407+1,E407)</f>
        <v>#N/A</v>
      </c>
      <c r="F408" s="3" t="e">
        <f>INDEX(views[Entities count],MATCH('view-code'!E408,views[object_id order],0))</f>
        <v>#N/A</v>
      </c>
      <c r="G408" t="e">
        <f>IF(D407=Lookup!$L$10,1,IF(D407=Lookup!$L$11,G407+1,""))</f>
        <v>#N/A</v>
      </c>
      <c r="H408" t="e">
        <f>IF(F408=1,IF(D408=Lookup!$L$10,2,1),IF(G408&lt;F408-1,0,1))</f>
        <v>#N/A</v>
      </c>
      <c r="I408" t="e">
        <f>IF(D408&lt;&gt;Lookup!$L$7,0,IF(INDEX(views[name],MATCH(E408,views[object_id order],0))&lt;&gt;"",0,1))</f>
        <v>#N/A</v>
      </c>
      <c r="J408" t="e">
        <f>IF(D408&lt;&gt;Lookup!$L$7,0,IF(INDEX(views[icon],MATCH(E408,views[object_id order],0))&lt;&gt;"",0,1))</f>
        <v>#N/A</v>
      </c>
      <c r="K408" t="e">
        <f>IF($D408=Lookup!$L$6,INDEX(views[object_id],MATCH($E408,views[object_id order],0)),"")</f>
        <v>#N/A</v>
      </c>
      <c r="L408" t="e">
        <f>IF($D408=Lookup!$L$8,INDEX(views[name],MATCH($E408,views[object_id order],0)),"")</f>
        <v>#N/A</v>
      </c>
      <c r="M408" t="e">
        <f>IF($D408=Lookup!$L$9,INDEX(views[icon],MATCH($E408,views[object_id order],0)),"")</f>
        <v>#N/A</v>
      </c>
      <c r="N408" t="e">
        <f>IF(OR(D408=Lookup!$L$11,D408=Lookup!$L$12),INDEX(views[[1]:[25]],MATCH($E408,views[object_id order],0),G408),"")</f>
        <v>#N/A</v>
      </c>
      <c r="O408" t="str">
        <f t="shared" si="19"/>
        <v/>
      </c>
      <c r="P408" s="8" t="e">
        <f>INDEX(Lookup!$M$5:$M$12,MATCH(D408,Lookup!$L$5:$L$12,0))&amp;
K408&amp;L408&amp;M408&amp;N408&amp;
INDEX(Lookup!$N$5:$N$12,MATCH(D408,Lookup!$L$5:$L$12,0))</f>
        <v>#N/A</v>
      </c>
    </row>
    <row r="409" spans="2:16" x14ac:dyDescent="0.45">
      <c r="B409">
        <f t="shared" si="18"/>
        <v>407</v>
      </c>
      <c r="C409" t="e">
        <f t="shared" si="20"/>
        <v>#N/A</v>
      </c>
      <c r="D409" t="e">
        <f>VLOOKUP(C409,Lookup!$K$5:$L$12,2,FALSE)</f>
        <v>#N/A</v>
      </c>
      <c r="E409" t="e">
        <f>IF(D409=Lookup!$L$5,E408+1,E408)</f>
        <v>#N/A</v>
      </c>
      <c r="F409" s="3" t="e">
        <f>INDEX(views[Entities count],MATCH('view-code'!E409,views[object_id order],0))</f>
        <v>#N/A</v>
      </c>
      <c r="G409" t="e">
        <f>IF(D408=Lookup!$L$10,1,IF(D408=Lookup!$L$11,G408+1,""))</f>
        <v>#N/A</v>
      </c>
      <c r="H409" t="e">
        <f>IF(F409=1,IF(D409=Lookup!$L$10,2,1),IF(G409&lt;F409-1,0,1))</f>
        <v>#N/A</v>
      </c>
      <c r="I409" t="e">
        <f>IF(D409&lt;&gt;Lookup!$L$7,0,IF(INDEX(views[name],MATCH(E409,views[object_id order],0))&lt;&gt;"",0,1))</f>
        <v>#N/A</v>
      </c>
      <c r="J409" t="e">
        <f>IF(D409&lt;&gt;Lookup!$L$7,0,IF(INDEX(views[icon],MATCH(E409,views[object_id order],0))&lt;&gt;"",0,1))</f>
        <v>#N/A</v>
      </c>
      <c r="K409" t="e">
        <f>IF($D409=Lookup!$L$6,INDEX(views[object_id],MATCH($E409,views[object_id order],0)),"")</f>
        <v>#N/A</v>
      </c>
      <c r="L409" t="e">
        <f>IF($D409=Lookup!$L$8,INDEX(views[name],MATCH($E409,views[object_id order],0)),"")</f>
        <v>#N/A</v>
      </c>
      <c r="M409" t="e">
        <f>IF($D409=Lookup!$L$9,INDEX(views[icon],MATCH($E409,views[object_id order],0)),"")</f>
        <v>#N/A</v>
      </c>
      <c r="N409" t="e">
        <f>IF(OR(D409=Lookup!$L$11,D409=Lookup!$L$12),INDEX(views[[1]:[25]],MATCH($E409,views[object_id order],0),G409),"")</f>
        <v>#N/A</v>
      </c>
      <c r="O409" t="str">
        <f t="shared" si="19"/>
        <v/>
      </c>
      <c r="P409" s="8" t="e">
        <f>INDEX(Lookup!$M$5:$M$12,MATCH(D409,Lookup!$L$5:$L$12,0))&amp;
K409&amp;L409&amp;M409&amp;N409&amp;
INDEX(Lookup!$N$5:$N$12,MATCH(D409,Lookup!$L$5:$L$12,0))</f>
        <v>#N/A</v>
      </c>
    </row>
    <row r="410" spans="2:16" x14ac:dyDescent="0.45">
      <c r="B410">
        <f t="shared" si="18"/>
        <v>408</v>
      </c>
      <c r="C410" t="e">
        <f t="shared" si="20"/>
        <v>#N/A</v>
      </c>
      <c r="D410" t="e">
        <f>VLOOKUP(C410,Lookup!$K$5:$L$12,2,FALSE)</f>
        <v>#N/A</v>
      </c>
      <c r="E410" t="e">
        <f>IF(D410=Lookup!$L$5,E409+1,E409)</f>
        <v>#N/A</v>
      </c>
      <c r="F410" s="3" t="e">
        <f>INDEX(views[Entities count],MATCH('view-code'!E410,views[object_id order],0))</f>
        <v>#N/A</v>
      </c>
      <c r="G410" t="e">
        <f>IF(D409=Lookup!$L$10,1,IF(D409=Lookup!$L$11,G409+1,""))</f>
        <v>#N/A</v>
      </c>
      <c r="H410" t="e">
        <f>IF(F410=1,IF(D410=Lookup!$L$10,2,1),IF(G410&lt;F410-1,0,1))</f>
        <v>#N/A</v>
      </c>
      <c r="I410" t="e">
        <f>IF(D410&lt;&gt;Lookup!$L$7,0,IF(INDEX(views[name],MATCH(E410,views[object_id order],0))&lt;&gt;"",0,1))</f>
        <v>#N/A</v>
      </c>
      <c r="J410" t="e">
        <f>IF(D410&lt;&gt;Lookup!$L$7,0,IF(INDEX(views[icon],MATCH(E410,views[object_id order],0))&lt;&gt;"",0,1))</f>
        <v>#N/A</v>
      </c>
      <c r="K410" t="e">
        <f>IF($D410=Lookup!$L$6,INDEX(views[object_id],MATCH($E410,views[object_id order],0)),"")</f>
        <v>#N/A</v>
      </c>
      <c r="L410" t="e">
        <f>IF($D410=Lookup!$L$8,INDEX(views[name],MATCH($E410,views[object_id order],0)),"")</f>
        <v>#N/A</v>
      </c>
      <c r="M410" t="e">
        <f>IF($D410=Lookup!$L$9,INDEX(views[icon],MATCH($E410,views[object_id order],0)),"")</f>
        <v>#N/A</v>
      </c>
      <c r="N410" t="e">
        <f>IF(OR(D410=Lookup!$L$11,D410=Lookup!$L$12),INDEX(views[[1]:[25]],MATCH($E410,views[object_id order],0),G410),"")</f>
        <v>#N/A</v>
      </c>
      <c r="O410" t="str">
        <f t="shared" si="19"/>
        <v/>
      </c>
      <c r="P410" s="8" t="e">
        <f>INDEX(Lookup!$M$5:$M$12,MATCH(D410,Lookup!$L$5:$L$12,0))&amp;
K410&amp;L410&amp;M410&amp;N410&amp;
INDEX(Lookup!$N$5:$N$12,MATCH(D410,Lookup!$L$5:$L$12,0))</f>
        <v>#N/A</v>
      </c>
    </row>
    <row r="411" spans="2:16" x14ac:dyDescent="0.45">
      <c r="B411">
        <f t="shared" si="18"/>
        <v>409</v>
      </c>
      <c r="C411" t="e">
        <f t="shared" si="20"/>
        <v>#N/A</v>
      </c>
      <c r="D411" t="e">
        <f>VLOOKUP(C411,Lookup!$K$5:$L$12,2,FALSE)</f>
        <v>#N/A</v>
      </c>
      <c r="E411" t="e">
        <f>IF(D411=Lookup!$L$5,E410+1,E410)</f>
        <v>#N/A</v>
      </c>
      <c r="F411" s="3" t="e">
        <f>INDEX(views[Entities count],MATCH('view-code'!E411,views[object_id order],0))</f>
        <v>#N/A</v>
      </c>
      <c r="G411" t="e">
        <f>IF(D410=Lookup!$L$10,1,IF(D410=Lookup!$L$11,G410+1,""))</f>
        <v>#N/A</v>
      </c>
      <c r="H411" t="e">
        <f>IF(F411=1,IF(D411=Lookup!$L$10,2,1),IF(G411&lt;F411-1,0,1))</f>
        <v>#N/A</v>
      </c>
      <c r="I411" t="e">
        <f>IF(D411&lt;&gt;Lookup!$L$7,0,IF(INDEX(views[name],MATCH(E411,views[object_id order],0))&lt;&gt;"",0,1))</f>
        <v>#N/A</v>
      </c>
      <c r="J411" t="e">
        <f>IF(D411&lt;&gt;Lookup!$L$7,0,IF(INDEX(views[icon],MATCH(E411,views[object_id order],0))&lt;&gt;"",0,1))</f>
        <v>#N/A</v>
      </c>
      <c r="K411" t="e">
        <f>IF($D411=Lookup!$L$6,INDEX(views[object_id],MATCH($E411,views[object_id order],0)),"")</f>
        <v>#N/A</v>
      </c>
      <c r="L411" t="e">
        <f>IF($D411=Lookup!$L$8,INDEX(views[name],MATCH($E411,views[object_id order],0)),"")</f>
        <v>#N/A</v>
      </c>
      <c r="M411" t="e">
        <f>IF($D411=Lookup!$L$9,INDEX(views[icon],MATCH($E411,views[object_id order],0)),"")</f>
        <v>#N/A</v>
      </c>
      <c r="N411" t="e">
        <f>IF(OR(D411=Lookup!$L$11,D411=Lookup!$L$12),INDEX(views[[1]:[25]],MATCH($E411,views[object_id order],0),G411),"")</f>
        <v>#N/A</v>
      </c>
      <c r="O411" t="str">
        <f t="shared" si="19"/>
        <v/>
      </c>
      <c r="P411" s="8" t="e">
        <f>INDEX(Lookup!$M$5:$M$12,MATCH(D411,Lookup!$L$5:$L$12,0))&amp;
K411&amp;L411&amp;M411&amp;N411&amp;
INDEX(Lookup!$N$5:$N$12,MATCH(D411,Lookup!$L$5:$L$12,0))</f>
        <v>#N/A</v>
      </c>
    </row>
    <row r="412" spans="2:16" x14ac:dyDescent="0.45">
      <c r="B412">
        <f t="shared" si="18"/>
        <v>410</v>
      </c>
      <c r="C412" t="e">
        <f t="shared" si="20"/>
        <v>#N/A</v>
      </c>
      <c r="D412" t="e">
        <f>VLOOKUP(C412,Lookup!$K$5:$L$12,2,FALSE)</f>
        <v>#N/A</v>
      </c>
      <c r="E412" t="e">
        <f>IF(D412=Lookup!$L$5,E411+1,E411)</f>
        <v>#N/A</v>
      </c>
      <c r="F412" s="3" t="e">
        <f>INDEX(views[Entities count],MATCH('view-code'!E412,views[object_id order],0))</f>
        <v>#N/A</v>
      </c>
      <c r="G412" t="e">
        <f>IF(D411=Lookup!$L$10,1,IF(D411=Lookup!$L$11,G411+1,""))</f>
        <v>#N/A</v>
      </c>
      <c r="H412" t="e">
        <f>IF(F412=1,IF(D412=Lookup!$L$10,2,1),IF(G412&lt;F412-1,0,1))</f>
        <v>#N/A</v>
      </c>
      <c r="I412" t="e">
        <f>IF(D412&lt;&gt;Lookup!$L$7,0,IF(INDEX(views[name],MATCH(E412,views[object_id order],0))&lt;&gt;"",0,1))</f>
        <v>#N/A</v>
      </c>
      <c r="J412" t="e">
        <f>IF(D412&lt;&gt;Lookup!$L$7,0,IF(INDEX(views[icon],MATCH(E412,views[object_id order],0))&lt;&gt;"",0,1))</f>
        <v>#N/A</v>
      </c>
      <c r="K412" t="e">
        <f>IF($D412=Lookup!$L$6,INDEX(views[object_id],MATCH($E412,views[object_id order],0)),"")</f>
        <v>#N/A</v>
      </c>
      <c r="L412" t="e">
        <f>IF($D412=Lookup!$L$8,INDEX(views[name],MATCH($E412,views[object_id order],0)),"")</f>
        <v>#N/A</v>
      </c>
      <c r="M412" t="e">
        <f>IF($D412=Lookup!$L$9,INDEX(views[icon],MATCH($E412,views[object_id order],0)),"")</f>
        <v>#N/A</v>
      </c>
      <c r="N412" t="e">
        <f>IF(OR(D412=Lookup!$L$11,D412=Lookup!$L$12),INDEX(views[[1]:[25]],MATCH($E412,views[object_id order],0),G412),"")</f>
        <v>#N/A</v>
      </c>
      <c r="O412" t="str">
        <f t="shared" si="19"/>
        <v/>
      </c>
      <c r="P412" s="8" t="e">
        <f>INDEX(Lookup!$M$5:$M$12,MATCH(D412,Lookup!$L$5:$L$12,0))&amp;
K412&amp;L412&amp;M412&amp;N412&amp;
INDEX(Lookup!$N$5:$N$12,MATCH(D412,Lookup!$L$5:$L$12,0))</f>
        <v>#N/A</v>
      </c>
    </row>
    <row r="413" spans="2:16" x14ac:dyDescent="0.45">
      <c r="B413">
        <f t="shared" si="18"/>
        <v>411</v>
      </c>
      <c r="C413" t="e">
        <f t="shared" si="20"/>
        <v>#N/A</v>
      </c>
      <c r="D413" t="e">
        <f>VLOOKUP(C413,Lookup!$K$5:$L$12,2,FALSE)</f>
        <v>#N/A</v>
      </c>
      <c r="E413" t="e">
        <f>IF(D413=Lookup!$L$5,E412+1,E412)</f>
        <v>#N/A</v>
      </c>
      <c r="F413" s="3" t="e">
        <f>INDEX(views[Entities count],MATCH('view-code'!E413,views[object_id order],0))</f>
        <v>#N/A</v>
      </c>
      <c r="G413" t="e">
        <f>IF(D412=Lookup!$L$10,1,IF(D412=Lookup!$L$11,G412+1,""))</f>
        <v>#N/A</v>
      </c>
      <c r="H413" t="e">
        <f>IF(F413=1,IF(D413=Lookup!$L$10,2,1),IF(G413&lt;F413-1,0,1))</f>
        <v>#N/A</v>
      </c>
      <c r="I413" t="e">
        <f>IF(D413&lt;&gt;Lookup!$L$7,0,IF(INDEX(views[name],MATCH(E413,views[object_id order],0))&lt;&gt;"",0,1))</f>
        <v>#N/A</v>
      </c>
      <c r="J413" t="e">
        <f>IF(D413&lt;&gt;Lookup!$L$7,0,IF(INDEX(views[icon],MATCH(E413,views[object_id order],0))&lt;&gt;"",0,1))</f>
        <v>#N/A</v>
      </c>
      <c r="K413" t="e">
        <f>IF($D413=Lookup!$L$6,INDEX(views[object_id],MATCH($E413,views[object_id order],0)),"")</f>
        <v>#N/A</v>
      </c>
      <c r="L413" t="e">
        <f>IF($D413=Lookup!$L$8,INDEX(views[name],MATCH($E413,views[object_id order],0)),"")</f>
        <v>#N/A</v>
      </c>
      <c r="M413" t="e">
        <f>IF($D413=Lookup!$L$9,INDEX(views[icon],MATCH($E413,views[object_id order],0)),"")</f>
        <v>#N/A</v>
      </c>
      <c r="N413" t="e">
        <f>IF(OR(D413=Lookup!$L$11,D413=Lookup!$L$12),INDEX(views[[1]:[25]],MATCH($E413,views[object_id order],0),G413),"")</f>
        <v>#N/A</v>
      </c>
      <c r="O413" t="str">
        <f t="shared" si="19"/>
        <v/>
      </c>
      <c r="P413" s="8" t="e">
        <f>INDEX(Lookup!$M$5:$M$12,MATCH(D413,Lookup!$L$5:$L$12,0))&amp;
K413&amp;L413&amp;M413&amp;N413&amp;
INDEX(Lookup!$N$5:$N$12,MATCH(D413,Lookup!$L$5:$L$12,0))</f>
        <v>#N/A</v>
      </c>
    </row>
    <row r="414" spans="2:16" x14ac:dyDescent="0.45">
      <c r="B414">
        <f t="shared" si="18"/>
        <v>412</v>
      </c>
      <c r="C414" t="e">
        <f t="shared" si="20"/>
        <v>#N/A</v>
      </c>
      <c r="D414" t="e">
        <f>VLOOKUP(C414,Lookup!$K$5:$L$12,2,FALSE)</f>
        <v>#N/A</v>
      </c>
      <c r="E414" t="e">
        <f>IF(D414=Lookup!$L$5,E413+1,E413)</f>
        <v>#N/A</v>
      </c>
      <c r="F414" s="3" t="e">
        <f>INDEX(views[Entities count],MATCH('view-code'!E414,views[object_id order],0))</f>
        <v>#N/A</v>
      </c>
      <c r="G414" t="e">
        <f>IF(D413=Lookup!$L$10,1,IF(D413=Lookup!$L$11,G413+1,""))</f>
        <v>#N/A</v>
      </c>
      <c r="H414" t="e">
        <f>IF(F414=1,IF(D414=Lookup!$L$10,2,1),IF(G414&lt;F414-1,0,1))</f>
        <v>#N/A</v>
      </c>
      <c r="I414" t="e">
        <f>IF(D414&lt;&gt;Lookup!$L$7,0,IF(INDEX(views[name],MATCH(E414,views[object_id order],0))&lt;&gt;"",0,1))</f>
        <v>#N/A</v>
      </c>
      <c r="J414" t="e">
        <f>IF(D414&lt;&gt;Lookup!$L$7,0,IF(INDEX(views[icon],MATCH(E414,views[object_id order],0))&lt;&gt;"",0,1))</f>
        <v>#N/A</v>
      </c>
      <c r="K414" t="e">
        <f>IF($D414=Lookup!$L$6,INDEX(views[object_id],MATCH($E414,views[object_id order],0)),"")</f>
        <v>#N/A</v>
      </c>
      <c r="L414" t="e">
        <f>IF($D414=Lookup!$L$8,INDEX(views[name],MATCH($E414,views[object_id order],0)),"")</f>
        <v>#N/A</v>
      </c>
      <c r="M414" t="e">
        <f>IF($D414=Lookup!$L$9,INDEX(views[icon],MATCH($E414,views[object_id order],0)),"")</f>
        <v>#N/A</v>
      </c>
      <c r="N414" t="e">
        <f>IF(OR(D414=Lookup!$L$11,D414=Lookup!$L$12),INDEX(views[[1]:[25]],MATCH($E414,views[object_id order],0),G414),"")</f>
        <v>#N/A</v>
      </c>
      <c r="O414" t="str">
        <f t="shared" si="19"/>
        <v/>
      </c>
      <c r="P414" s="8" t="e">
        <f>INDEX(Lookup!$M$5:$M$12,MATCH(D414,Lookup!$L$5:$L$12,0))&amp;
K414&amp;L414&amp;M414&amp;N414&amp;
INDEX(Lookup!$N$5:$N$12,MATCH(D414,Lookup!$L$5:$L$12,0))</f>
        <v>#N/A</v>
      </c>
    </row>
    <row r="415" spans="2:16" x14ac:dyDescent="0.45">
      <c r="B415">
        <f t="shared" si="18"/>
        <v>413</v>
      </c>
      <c r="C415" t="e">
        <f t="shared" si="20"/>
        <v>#N/A</v>
      </c>
      <c r="D415" t="e">
        <f>VLOOKUP(C415,Lookup!$K$5:$L$12,2,FALSE)</f>
        <v>#N/A</v>
      </c>
      <c r="E415" t="e">
        <f>IF(D415=Lookup!$L$5,E414+1,E414)</f>
        <v>#N/A</v>
      </c>
      <c r="F415" s="3" t="e">
        <f>INDEX(views[Entities count],MATCH('view-code'!E415,views[object_id order],0))</f>
        <v>#N/A</v>
      </c>
      <c r="G415" t="e">
        <f>IF(D414=Lookup!$L$10,1,IF(D414=Lookup!$L$11,G414+1,""))</f>
        <v>#N/A</v>
      </c>
      <c r="H415" t="e">
        <f>IF(F415=1,IF(D415=Lookup!$L$10,2,1),IF(G415&lt;F415-1,0,1))</f>
        <v>#N/A</v>
      </c>
      <c r="I415" t="e">
        <f>IF(D415&lt;&gt;Lookup!$L$7,0,IF(INDEX(views[name],MATCH(E415,views[object_id order],0))&lt;&gt;"",0,1))</f>
        <v>#N/A</v>
      </c>
      <c r="J415" t="e">
        <f>IF(D415&lt;&gt;Lookup!$L$7,0,IF(INDEX(views[icon],MATCH(E415,views[object_id order],0))&lt;&gt;"",0,1))</f>
        <v>#N/A</v>
      </c>
      <c r="K415" t="e">
        <f>IF($D415=Lookup!$L$6,INDEX(views[object_id],MATCH($E415,views[object_id order],0)),"")</f>
        <v>#N/A</v>
      </c>
      <c r="L415" t="e">
        <f>IF($D415=Lookup!$L$8,INDEX(views[name],MATCH($E415,views[object_id order],0)),"")</f>
        <v>#N/A</v>
      </c>
      <c r="M415" t="e">
        <f>IF($D415=Lookup!$L$9,INDEX(views[icon],MATCH($E415,views[object_id order],0)),"")</f>
        <v>#N/A</v>
      </c>
      <c r="N415" t="e">
        <f>IF(OR(D415=Lookup!$L$11,D415=Lookup!$L$12),INDEX(views[[1]:[25]],MATCH($E415,views[object_id order],0),G415),"")</f>
        <v>#N/A</v>
      </c>
      <c r="O415" t="str">
        <f t="shared" si="19"/>
        <v/>
      </c>
      <c r="P415" s="8" t="e">
        <f>INDEX(Lookup!$M$5:$M$12,MATCH(D415,Lookup!$L$5:$L$12,0))&amp;
K415&amp;L415&amp;M415&amp;N415&amp;
INDEX(Lookup!$N$5:$N$12,MATCH(D415,Lookup!$L$5:$L$12,0))</f>
        <v>#N/A</v>
      </c>
    </row>
    <row r="416" spans="2:16" x14ac:dyDescent="0.45">
      <c r="B416">
        <f t="shared" si="18"/>
        <v>414</v>
      </c>
      <c r="C416" t="e">
        <f t="shared" si="20"/>
        <v>#N/A</v>
      </c>
      <c r="D416" t="e">
        <f>VLOOKUP(C416,Lookup!$K$5:$L$12,2,FALSE)</f>
        <v>#N/A</v>
      </c>
      <c r="E416" t="e">
        <f>IF(D416=Lookup!$L$5,E415+1,E415)</f>
        <v>#N/A</v>
      </c>
      <c r="F416" s="3" t="e">
        <f>INDEX(views[Entities count],MATCH('view-code'!E416,views[object_id order],0))</f>
        <v>#N/A</v>
      </c>
      <c r="G416" t="e">
        <f>IF(D415=Lookup!$L$10,1,IF(D415=Lookup!$L$11,G415+1,""))</f>
        <v>#N/A</v>
      </c>
      <c r="H416" t="e">
        <f>IF(F416=1,IF(D416=Lookup!$L$10,2,1),IF(G416&lt;F416-1,0,1))</f>
        <v>#N/A</v>
      </c>
      <c r="I416" t="e">
        <f>IF(D416&lt;&gt;Lookup!$L$7,0,IF(INDEX(views[name],MATCH(E416,views[object_id order],0))&lt;&gt;"",0,1))</f>
        <v>#N/A</v>
      </c>
      <c r="J416" t="e">
        <f>IF(D416&lt;&gt;Lookup!$L$7,0,IF(INDEX(views[icon],MATCH(E416,views[object_id order],0))&lt;&gt;"",0,1))</f>
        <v>#N/A</v>
      </c>
      <c r="K416" t="e">
        <f>IF($D416=Lookup!$L$6,INDEX(views[object_id],MATCH($E416,views[object_id order],0)),"")</f>
        <v>#N/A</v>
      </c>
      <c r="L416" t="e">
        <f>IF($D416=Lookup!$L$8,INDEX(views[name],MATCH($E416,views[object_id order],0)),"")</f>
        <v>#N/A</v>
      </c>
      <c r="M416" t="e">
        <f>IF($D416=Lookup!$L$9,INDEX(views[icon],MATCH($E416,views[object_id order],0)),"")</f>
        <v>#N/A</v>
      </c>
      <c r="N416" t="e">
        <f>IF(OR(D416=Lookup!$L$11,D416=Lookup!$L$12),INDEX(views[[1]:[25]],MATCH($E416,views[object_id order],0),G416),"")</f>
        <v>#N/A</v>
      </c>
      <c r="O416" t="str">
        <f t="shared" si="19"/>
        <v/>
      </c>
      <c r="P416" s="8" t="e">
        <f>INDEX(Lookup!$M$5:$M$12,MATCH(D416,Lookup!$L$5:$L$12,0))&amp;
K416&amp;L416&amp;M416&amp;N416&amp;
INDEX(Lookup!$N$5:$N$12,MATCH(D416,Lookup!$L$5:$L$12,0))</f>
        <v>#N/A</v>
      </c>
    </row>
    <row r="417" spans="2:16" x14ac:dyDescent="0.45">
      <c r="B417">
        <f t="shared" si="18"/>
        <v>415</v>
      </c>
      <c r="C417" t="e">
        <f t="shared" si="20"/>
        <v>#N/A</v>
      </c>
      <c r="D417" t="e">
        <f>VLOOKUP(C417,Lookup!$K$5:$L$12,2,FALSE)</f>
        <v>#N/A</v>
      </c>
      <c r="E417" t="e">
        <f>IF(D417=Lookup!$L$5,E416+1,E416)</f>
        <v>#N/A</v>
      </c>
      <c r="F417" s="3" t="e">
        <f>INDEX(views[Entities count],MATCH('view-code'!E417,views[object_id order],0))</f>
        <v>#N/A</v>
      </c>
      <c r="G417" t="e">
        <f>IF(D416=Lookup!$L$10,1,IF(D416=Lookup!$L$11,G416+1,""))</f>
        <v>#N/A</v>
      </c>
      <c r="H417" t="e">
        <f>IF(F417=1,IF(D417=Lookup!$L$10,2,1),IF(G417&lt;F417-1,0,1))</f>
        <v>#N/A</v>
      </c>
      <c r="I417" t="e">
        <f>IF(D417&lt;&gt;Lookup!$L$7,0,IF(INDEX(views[name],MATCH(E417,views[object_id order],0))&lt;&gt;"",0,1))</f>
        <v>#N/A</v>
      </c>
      <c r="J417" t="e">
        <f>IF(D417&lt;&gt;Lookup!$L$7,0,IF(INDEX(views[icon],MATCH(E417,views[object_id order],0))&lt;&gt;"",0,1))</f>
        <v>#N/A</v>
      </c>
      <c r="K417" t="e">
        <f>IF($D417=Lookup!$L$6,INDEX(views[object_id],MATCH($E417,views[object_id order],0)),"")</f>
        <v>#N/A</v>
      </c>
      <c r="L417" t="e">
        <f>IF($D417=Lookup!$L$8,INDEX(views[name],MATCH($E417,views[object_id order],0)),"")</f>
        <v>#N/A</v>
      </c>
      <c r="M417" t="e">
        <f>IF($D417=Lookup!$L$9,INDEX(views[icon],MATCH($E417,views[object_id order],0)),"")</f>
        <v>#N/A</v>
      </c>
      <c r="N417" t="e">
        <f>IF(OR(D417=Lookup!$L$11,D417=Lookup!$L$12),INDEX(views[[1]:[25]],MATCH($E417,views[object_id order],0),G417),"")</f>
        <v>#N/A</v>
      </c>
      <c r="O417" t="str">
        <f t="shared" si="19"/>
        <v/>
      </c>
      <c r="P417" s="8" t="e">
        <f>INDEX(Lookup!$M$5:$M$12,MATCH(D417,Lookup!$L$5:$L$12,0))&amp;
K417&amp;L417&amp;M417&amp;N417&amp;
INDEX(Lookup!$N$5:$N$12,MATCH(D417,Lookup!$L$5:$L$12,0))</f>
        <v>#N/A</v>
      </c>
    </row>
    <row r="418" spans="2:16" x14ac:dyDescent="0.45">
      <c r="B418">
        <f t="shared" si="18"/>
        <v>416</v>
      </c>
      <c r="C418" t="e">
        <f t="shared" si="20"/>
        <v>#N/A</v>
      </c>
      <c r="D418" t="e">
        <f>VLOOKUP(C418,Lookup!$K$5:$L$12,2,FALSE)</f>
        <v>#N/A</v>
      </c>
      <c r="E418" t="e">
        <f>IF(D418=Lookup!$L$5,E417+1,E417)</f>
        <v>#N/A</v>
      </c>
      <c r="F418" s="3" t="e">
        <f>INDEX(views[Entities count],MATCH('view-code'!E418,views[object_id order],0))</f>
        <v>#N/A</v>
      </c>
      <c r="G418" t="e">
        <f>IF(D417=Lookup!$L$10,1,IF(D417=Lookup!$L$11,G417+1,""))</f>
        <v>#N/A</v>
      </c>
      <c r="H418" t="e">
        <f>IF(F418=1,IF(D418=Lookup!$L$10,2,1),IF(G418&lt;F418-1,0,1))</f>
        <v>#N/A</v>
      </c>
      <c r="I418" t="e">
        <f>IF(D418&lt;&gt;Lookup!$L$7,0,IF(INDEX(views[name],MATCH(E418,views[object_id order],0))&lt;&gt;"",0,1))</f>
        <v>#N/A</v>
      </c>
      <c r="J418" t="e">
        <f>IF(D418&lt;&gt;Lookup!$L$7,0,IF(INDEX(views[icon],MATCH(E418,views[object_id order],0))&lt;&gt;"",0,1))</f>
        <v>#N/A</v>
      </c>
      <c r="K418" t="e">
        <f>IF($D418=Lookup!$L$6,INDEX(views[object_id],MATCH($E418,views[object_id order],0)),"")</f>
        <v>#N/A</v>
      </c>
      <c r="L418" t="e">
        <f>IF($D418=Lookup!$L$8,INDEX(views[name],MATCH($E418,views[object_id order],0)),"")</f>
        <v>#N/A</v>
      </c>
      <c r="M418" t="e">
        <f>IF($D418=Lookup!$L$9,INDEX(views[icon],MATCH($E418,views[object_id order],0)),"")</f>
        <v>#N/A</v>
      </c>
      <c r="N418" t="e">
        <f>IF(OR(D418=Lookup!$L$11,D418=Lookup!$L$12),INDEX(views[[1]:[25]],MATCH($E418,views[object_id order],0),G418),"")</f>
        <v>#N/A</v>
      </c>
      <c r="O418" t="str">
        <f t="shared" si="19"/>
        <v/>
      </c>
      <c r="P418" s="8" t="e">
        <f>INDEX(Lookup!$M$5:$M$12,MATCH(D418,Lookup!$L$5:$L$12,0))&amp;
K418&amp;L418&amp;M418&amp;N418&amp;
INDEX(Lookup!$N$5:$N$12,MATCH(D418,Lookup!$L$5:$L$12,0))</f>
        <v>#N/A</v>
      </c>
    </row>
    <row r="419" spans="2:16" x14ac:dyDescent="0.45">
      <c r="B419">
        <f t="shared" si="18"/>
        <v>417</v>
      </c>
      <c r="C419" t="e">
        <f t="shared" si="20"/>
        <v>#N/A</v>
      </c>
      <c r="D419" t="e">
        <f>VLOOKUP(C419,Lookup!$K$5:$L$12,2,FALSE)</f>
        <v>#N/A</v>
      </c>
      <c r="E419" t="e">
        <f>IF(D419=Lookup!$L$5,E418+1,E418)</f>
        <v>#N/A</v>
      </c>
      <c r="F419" s="3" t="e">
        <f>INDEX(views[Entities count],MATCH('view-code'!E419,views[object_id order],0))</f>
        <v>#N/A</v>
      </c>
      <c r="G419" t="e">
        <f>IF(D418=Lookup!$L$10,1,IF(D418=Lookup!$L$11,G418+1,""))</f>
        <v>#N/A</v>
      </c>
      <c r="H419" t="e">
        <f>IF(F419=1,IF(D419=Lookup!$L$10,2,1),IF(G419&lt;F419-1,0,1))</f>
        <v>#N/A</v>
      </c>
      <c r="I419" t="e">
        <f>IF(D419&lt;&gt;Lookup!$L$7,0,IF(INDEX(views[name],MATCH(E419,views[object_id order],0))&lt;&gt;"",0,1))</f>
        <v>#N/A</v>
      </c>
      <c r="J419" t="e">
        <f>IF(D419&lt;&gt;Lookup!$L$7,0,IF(INDEX(views[icon],MATCH(E419,views[object_id order],0))&lt;&gt;"",0,1))</f>
        <v>#N/A</v>
      </c>
      <c r="K419" t="e">
        <f>IF($D419=Lookup!$L$6,INDEX(views[object_id],MATCH($E419,views[object_id order],0)),"")</f>
        <v>#N/A</v>
      </c>
      <c r="L419" t="e">
        <f>IF($D419=Lookup!$L$8,INDEX(views[name],MATCH($E419,views[object_id order],0)),"")</f>
        <v>#N/A</v>
      </c>
      <c r="M419" t="e">
        <f>IF($D419=Lookup!$L$9,INDEX(views[icon],MATCH($E419,views[object_id order],0)),"")</f>
        <v>#N/A</v>
      </c>
      <c r="N419" t="e">
        <f>IF(OR(D419=Lookup!$L$11,D419=Lookup!$L$12),INDEX(views[[1]:[25]],MATCH($E419,views[object_id order],0),G419),"")</f>
        <v>#N/A</v>
      </c>
      <c r="O419" t="str">
        <f t="shared" si="19"/>
        <v/>
      </c>
      <c r="P419" s="8" t="e">
        <f>INDEX(Lookup!$M$5:$M$12,MATCH(D419,Lookup!$L$5:$L$12,0))&amp;
K419&amp;L419&amp;M419&amp;N419&amp;
INDEX(Lookup!$N$5:$N$12,MATCH(D419,Lookup!$L$5:$L$12,0))</f>
        <v>#N/A</v>
      </c>
    </row>
    <row r="420" spans="2:16" x14ac:dyDescent="0.45">
      <c r="B420">
        <f t="shared" si="18"/>
        <v>418</v>
      </c>
      <c r="C420" t="e">
        <f t="shared" si="20"/>
        <v>#N/A</v>
      </c>
      <c r="D420" t="e">
        <f>VLOOKUP(C420,Lookup!$K$5:$L$12,2,FALSE)</f>
        <v>#N/A</v>
      </c>
      <c r="E420" t="e">
        <f>IF(D420=Lookup!$L$5,E419+1,E419)</f>
        <v>#N/A</v>
      </c>
      <c r="F420" s="3" t="e">
        <f>INDEX(views[Entities count],MATCH('view-code'!E420,views[object_id order],0))</f>
        <v>#N/A</v>
      </c>
      <c r="G420" t="e">
        <f>IF(D419=Lookup!$L$10,1,IF(D419=Lookup!$L$11,G419+1,""))</f>
        <v>#N/A</v>
      </c>
      <c r="H420" t="e">
        <f>IF(F420=1,IF(D420=Lookup!$L$10,2,1),IF(G420&lt;F420-1,0,1))</f>
        <v>#N/A</v>
      </c>
      <c r="I420" t="e">
        <f>IF(D420&lt;&gt;Lookup!$L$7,0,IF(INDEX(views[name],MATCH(E420,views[object_id order],0))&lt;&gt;"",0,1))</f>
        <v>#N/A</v>
      </c>
      <c r="J420" t="e">
        <f>IF(D420&lt;&gt;Lookup!$L$7,0,IF(INDEX(views[icon],MATCH(E420,views[object_id order],0))&lt;&gt;"",0,1))</f>
        <v>#N/A</v>
      </c>
      <c r="K420" t="e">
        <f>IF($D420=Lookup!$L$6,INDEX(views[object_id],MATCH($E420,views[object_id order],0)),"")</f>
        <v>#N/A</v>
      </c>
      <c r="L420" t="e">
        <f>IF($D420=Lookup!$L$8,INDEX(views[name],MATCH($E420,views[object_id order],0)),"")</f>
        <v>#N/A</v>
      </c>
      <c r="M420" t="e">
        <f>IF($D420=Lookup!$L$9,INDEX(views[icon],MATCH($E420,views[object_id order],0)),"")</f>
        <v>#N/A</v>
      </c>
      <c r="N420" t="e">
        <f>IF(OR(D420=Lookup!$L$11,D420=Lookup!$L$12),INDEX(views[[1]:[25]],MATCH($E420,views[object_id order],0),G420),"")</f>
        <v>#N/A</v>
      </c>
      <c r="O420" t="str">
        <f t="shared" si="19"/>
        <v/>
      </c>
      <c r="P420" s="8" t="e">
        <f>INDEX(Lookup!$M$5:$M$12,MATCH(D420,Lookup!$L$5:$L$12,0))&amp;
K420&amp;L420&amp;M420&amp;N420&amp;
INDEX(Lookup!$N$5:$N$12,MATCH(D420,Lookup!$L$5:$L$12,0))</f>
        <v>#N/A</v>
      </c>
    </row>
    <row r="421" spans="2:16" x14ac:dyDescent="0.45">
      <c r="B421">
        <f t="shared" si="18"/>
        <v>419</v>
      </c>
      <c r="C421" t="e">
        <f t="shared" si="20"/>
        <v>#N/A</v>
      </c>
      <c r="D421" t="e">
        <f>VLOOKUP(C421,Lookup!$K$5:$L$12,2,FALSE)</f>
        <v>#N/A</v>
      </c>
      <c r="E421" t="e">
        <f>IF(D421=Lookup!$L$5,E420+1,E420)</f>
        <v>#N/A</v>
      </c>
      <c r="F421" s="3" t="e">
        <f>INDEX(views[Entities count],MATCH('view-code'!E421,views[object_id order],0))</f>
        <v>#N/A</v>
      </c>
      <c r="G421" t="e">
        <f>IF(D420=Lookup!$L$10,1,IF(D420=Lookup!$L$11,G420+1,""))</f>
        <v>#N/A</v>
      </c>
      <c r="H421" t="e">
        <f>IF(F421=1,IF(D421=Lookup!$L$10,2,1),IF(G421&lt;F421-1,0,1))</f>
        <v>#N/A</v>
      </c>
      <c r="I421" t="e">
        <f>IF(D421&lt;&gt;Lookup!$L$7,0,IF(INDEX(views[name],MATCH(E421,views[object_id order],0))&lt;&gt;"",0,1))</f>
        <v>#N/A</v>
      </c>
      <c r="J421" t="e">
        <f>IF(D421&lt;&gt;Lookup!$L$7,0,IF(INDEX(views[icon],MATCH(E421,views[object_id order],0))&lt;&gt;"",0,1))</f>
        <v>#N/A</v>
      </c>
      <c r="K421" t="e">
        <f>IF($D421=Lookup!$L$6,INDEX(views[object_id],MATCH($E421,views[object_id order],0)),"")</f>
        <v>#N/A</v>
      </c>
      <c r="L421" t="e">
        <f>IF($D421=Lookup!$L$8,INDEX(views[name],MATCH($E421,views[object_id order],0)),"")</f>
        <v>#N/A</v>
      </c>
      <c r="M421" t="e">
        <f>IF($D421=Lookup!$L$9,INDEX(views[icon],MATCH($E421,views[object_id order],0)),"")</f>
        <v>#N/A</v>
      </c>
      <c r="N421" t="e">
        <f>IF(OR(D421=Lookup!$L$11,D421=Lookup!$L$12),INDEX(views[[1]:[25]],MATCH($E421,views[object_id order],0),G421),"")</f>
        <v>#N/A</v>
      </c>
      <c r="O421" t="str">
        <f t="shared" si="19"/>
        <v/>
      </c>
      <c r="P421" s="8" t="e">
        <f>INDEX(Lookup!$M$5:$M$12,MATCH(D421,Lookup!$L$5:$L$12,0))&amp;
K421&amp;L421&amp;M421&amp;N421&amp;
INDEX(Lookup!$N$5:$N$12,MATCH(D421,Lookup!$L$5:$L$12,0))</f>
        <v>#N/A</v>
      </c>
    </row>
    <row r="422" spans="2:16" x14ac:dyDescent="0.45">
      <c r="B422">
        <f t="shared" si="18"/>
        <v>420</v>
      </c>
      <c r="C422" t="e">
        <f t="shared" si="20"/>
        <v>#N/A</v>
      </c>
      <c r="D422" t="e">
        <f>VLOOKUP(C422,Lookup!$K$5:$L$12,2,FALSE)</f>
        <v>#N/A</v>
      </c>
      <c r="E422" t="e">
        <f>IF(D422=Lookup!$L$5,E421+1,E421)</f>
        <v>#N/A</v>
      </c>
      <c r="F422" s="3" t="e">
        <f>INDEX(views[Entities count],MATCH('view-code'!E422,views[object_id order],0))</f>
        <v>#N/A</v>
      </c>
      <c r="G422" t="e">
        <f>IF(D421=Lookup!$L$10,1,IF(D421=Lookup!$L$11,G421+1,""))</f>
        <v>#N/A</v>
      </c>
      <c r="H422" t="e">
        <f>IF(F422=1,IF(D422=Lookup!$L$10,2,1),IF(G422&lt;F422-1,0,1))</f>
        <v>#N/A</v>
      </c>
      <c r="I422" t="e">
        <f>IF(D422&lt;&gt;Lookup!$L$7,0,IF(INDEX(views[name],MATCH(E422,views[object_id order],0))&lt;&gt;"",0,1))</f>
        <v>#N/A</v>
      </c>
      <c r="J422" t="e">
        <f>IF(D422&lt;&gt;Lookup!$L$7,0,IF(INDEX(views[icon],MATCH(E422,views[object_id order],0))&lt;&gt;"",0,1))</f>
        <v>#N/A</v>
      </c>
      <c r="K422" t="e">
        <f>IF($D422=Lookup!$L$6,INDEX(views[object_id],MATCH($E422,views[object_id order],0)),"")</f>
        <v>#N/A</v>
      </c>
      <c r="L422" t="e">
        <f>IF($D422=Lookup!$L$8,INDEX(views[name],MATCH($E422,views[object_id order],0)),"")</f>
        <v>#N/A</v>
      </c>
      <c r="M422" t="e">
        <f>IF($D422=Lookup!$L$9,INDEX(views[icon],MATCH($E422,views[object_id order],0)),"")</f>
        <v>#N/A</v>
      </c>
      <c r="N422" t="e">
        <f>IF(OR(D422=Lookup!$L$11,D422=Lookup!$L$12),INDEX(views[[1]:[25]],MATCH($E422,views[object_id order],0),G422),"")</f>
        <v>#N/A</v>
      </c>
      <c r="O422" t="str">
        <f t="shared" si="19"/>
        <v/>
      </c>
      <c r="P422" s="8" t="e">
        <f>INDEX(Lookup!$M$5:$M$12,MATCH(D422,Lookup!$L$5:$L$12,0))&amp;
K422&amp;L422&amp;M422&amp;N422&amp;
INDEX(Lookup!$N$5:$N$12,MATCH(D422,Lookup!$L$5:$L$12,0))</f>
        <v>#N/A</v>
      </c>
    </row>
    <row r="423" spans="2:16" x14ac:dyDescent="0.45">
      <c r="B423">
        <f t="shared" si="18"/>
        <v>421</v>
      </c>
      <c r="C423" t="e">
        <f t="shared" si="20"/>
        <v>#N/A</v>
      </c>
      <c r="D423" t="e">
        <f>VLOOKUP(C423,Lookup!$K$5:$L$12,2,FALSE)</f>
        <v>#N/A</v>
      </c>
      <c r="E423" t="e">
        <f>IF(D423=Lookup!$L$5,E422+1,E422)</f>
        <v>#N/A</v>
      </c>
      <c r="F423" s="3" t="e">
        <f>INDEX(views[Entities count],MATCH('view-code'!E423,views[object_id order],0))</f>
        <v>#N/A</v>
      </c>
      <c r="G423" t="e">
        <f>IF(D422=Lookup!$L$10,1,IF(D422=Lookup!$L$11,G422+1,""))</f>
        <v>#N/A</v>
      </c>
      <c r="H423" t="e">
        <f>IF(F423=1,IF(D423=Lookup!$L$10,2,1),IF(G423&lt;F423-1,0,1))</f>
        <v>#N/A</v>
      </c>
      <c r="I423" t="e">
        <f>IF(D423&lt;&gt;Lookup!$L$7,0,IF(INDEX(views[name],MATCH(E423,views[object_id order],0))&lt;&gt;"",0,1))</f>
        <v>#N/A</v>
      </c>
      <c r="J423" t="e">
        <f>IF(D423&lt;&gt;Lookup!$L$7,0,IF(INDEX(views[icon],MATCH(E423,views[object_id order],0))&lt;&gt;"",0,1))</f>
        <v>#N/A</v>
      </c>
      <c r="K423" t="e">
        <f>IF($D423=Lookup!$L$6,INDEX(views[object_id],MATCH($E423,views[object_id order],0)),"")</f>
        <v>#N/A</v>
      </c>
      <c r="L423" t="e">
        <f>IF($D423=Lookup!$L$8,INDEX(views[name],MATCH($E423,views[object_id order],0)),"")</f>
        <v>#N/A</v>
      </c>
      <c r="M423" t="e">
        <f>IF($D423=Lookup!$L$9,INDEX(views[icon],MATCH($E423,views[object_id order],0)),"")</f>
        <v>#N/A</v>
      </c>
      <c r="N423" t="e">
        <f>IF(OR(D423=Lookup!$L$11,D423=Lookup!$L$12),INDEX(views[[1]:[25]],MATCH($E423,views[object_id order],0),G423),"")</f>
        <v>#N/A</v>
      </c>
      <c r="O423" t="str">
        <f t="shared" si="19"/>
        <v/>
      </c>
      <c r="P423" s="8" t="e">
        <f>INDEX(Lookup!$M$5:$M$12,MATCH(D423,Lookup!$L$5:$L$12,0))&amp;
K423&amp;L423&amp;M423&amp;N423&amp;
INDEX(Lookup!$N$5:$N$12,MATCH(D423,Lookup!$L$5:$L$12,0))</f>
        <v>#N/A</v>
      </c>
    </row>
    <row r="424" spans="2:16" x14ac:dyDescent="0.45">
      <c r="B424">
        <f t="shared" si="18"/>
        <v>422</v>
      </c>
      <c r="C424" t="e">
        <f t="shared" si="20"/>
        <v>#N/A</v>
      </c>
      <c r="D424" t="e">
        <f>VLOOKUP(C424,Lookup!$K$5:$L$12,2,FALSE)</f>
        <v>#N/A</v>
      </c>
      <c r="E424" t="e">
        <f>IF(D424=Lookup!$L$5,E423+1,E423)</f>
        <v>#N/A</v>
      </c>
      <c r="F424" s="3" t="e">
        <f>INDEX(views[Entities count],MATCH('view-code'!E424,views[object_id order],0))</f>
        <v>#N/A</v>
      </c>
      <c r="G424" t="e">
        <f>IF(D423=Lookup!$L$10,1,IF(D423=Lookup!$L$11,G423+1,""))</f>
        <v>#N/A</v>
      </c>
      <c r="H424" t="e">
        <f>IF(F424=1,IF(D424=Lookup!$L$10,2,1),IF(G424&lt;F424-1,0,1))</f>
        <v>#N/A</v>
      </c>
      <c r="I424" t="e">
        <f>IF(D424&lt;&gt;Lookup!$L$7,0,IF(INDEX(views[name],MATCH(E424,views[object_id order],0))&lt;&gt;"",0,1))</f>
        <v>#N/A</v>
      </c>
      <c r="J424" t="e">
        <f>IF(D424&lt;&gt;Lookup!$L$7,0,IF(INDEX(views[icon],MATCH(E424,views[object_id order],0))&lt;&gt;"",0,1))</f>
        <v>#N/A</v>
      </c>
      <c r="K424" t="e">
        <f>IF($D424=Lookup!$L$6,INDEX(views[object_id],MATCH($E424,views[object_id order],0)),"")</f>
        <v>#N/A</v>
      </c>
      <c r="L424" t="e">
        <f>IF($D424=Lookup!$L$8,INDEX(views[name],MATCH($E424,views[object_id order],0)),"")</f>
        <v>#N/A</v>
      </c>
      <c r="M424" t="e">
        <f>IF($D424=Lookup!$L$9,INDEX(views[icon],MATCH($E424,views[object_id order],0)),"")</f>
        <v>#N/A</v>
      </c>
      <c r="N424" t="e">
        <f>IF(OR(D424=Lookup!$L$11,D424=Lookup!$L$12),INDEX(views[[1]:[25]],MATCH($E424,views[object_id order],0),G424),"")</f>
        <v>#N/A</v>
      </c>
      <c r="O424" t="str">
        <f t="shared" si="19"/>
        <v/>
      </c>
      <c r="P424" s="8" t="e">
        <f>INDEX(Lookup!$M$5:$M$12,MATCH(D424,Lookup!$L$5:$L$12,0))&amp;
K424&amp;L424&amp;M424&amp;N424&amp;
INDEX(Lookup!$N$5:$N$12,MATCH(D424,Lookup!$L$5:$L$12,0))</f>
        <v>#N/A</v>
      </c>
    </row>
    <row r="425" spans="2:16" x14ac:dyDescent="0.45">
      <c r="B425">
        <f t="shared" si="18"/>
        <v>423</v>
      </c>
      <c r="C425" t="e">
        <f t="shared" si="20"/>
        <v>#N/A</v>
      </c>
      <c r="D425" t="e">
        <f>VLOOKUP(C425,Lookup!$K$5:$L$12,2,FALSE)</f>
        <v>#N/A</v>
      </c>
      <c r="E425" t="e">
        <f>IF(D425=Lookup!$L$5,E424+1,E424)</f>
        <v>#N/A</v>
      </c>
      <c r="F425" s="3" t="e">
        <f>INDEX(views[Entities count],MATCH('view-code'!E425,views[object_id order],0))</f>
        <v>#N/A</v>
      </c>
      <c r="G425" t="e">
        <f>IF(D424=Lookup!$L$10,1,IF(D424=Lookup!$L$11,G424+1,""))</f>
        <v>#N/A</v>
      </c>
      <c r="H425" t="e">
        <f>IF(F425=1,IF(D425=Lookup!$L$10,2,1),IF(G425&lt;F425-1,0,1))</f>
        <v>#N/A</v>
      </c>
      <c r="I425" t="e">
        <f>IF(D425&lt;&gt;Lookup!$L$7,0,IF(INDEX(views[name],MATCH(E425,views[object_id order],0))&lt;&gt;"",0,1))</f>
        <v>#N/A</v>
      </c>
      <c r="J425" t="e">
        <f>IF(D425&lt;&gt;Lookup!$L$7,0,IF(INDEX(views[icon],MATCH(E425,views[object_id order],0))&lt;&gt;"",0,1))</f>
        <v>#N/A</v>
      </c>
      <c r="K425" t="e">
        <f>IF($D425=Lookup!$L$6,INDEX(views[object_id],MATCH($E425,views[object_id order],0)),"")</f>
        <v>#N/A</v>
      </c>
      <c r="L425" t="e">
        <f>IF($D425=Lookup!$L$8,INDEX(views[name],MATCH($E425,views[object_id order],0)),"")</f>
        <v>#N/A</v>
      </c>
      <c r="M425" t="e">
        <f>IF($D425=Lookup!$L$9,INDEX(views[icon],MATCH($E425,views[object_id order],0)),"")</f>
        <v>#N/A</v>
      </c>
      <c r="N425" t="e">
        <f>IF(OR(D425=Lookup!$L$11,D425=Lookup!$L$12),INDEX(views[[1]:[25]],MATCH($E425,views[object_id order],0),G425),"")</f>
        <v>#N/A</v>
      </c>
      <c r="O425" t="str">
        <f t="shared" si="19"/>
        <v/>
      </c>
      <c r="P425" s="8" t="e">
        <f>INDEX(Lookup!$M$5:$M$12,MATCH(D425,Lookup!$L$5:$L$12,0))&amp;
K425&amp;L425&amp;M425&amp;N425&amp;
INDEX(Lookup!$N$5:$N$12,MATCH(D425,Lookup!$L$5:$L$12,0))</f>
        <v>#N/A</v>
      </c>
    </row>
    <row r="426" spans="2:16" x14ac:dyDescent="0.45">
      <c r="B426">
        <f t="shared" si="18"/>
        <v>424</v>
      </c>
      <c r="C426" t="e">
        <f t="shared" si="20"/>
        <v>#N/A</v>
      </c>
      <c r="D426" t="e">
        <f>VLOOKUP(C426,Lookup!$K$5:$L$12,2,FALSE)</f>
        <v>#N/A</v>
      </c>
      <c r="E426" t="e">
        <f>IF(D426=Lookup!$L$5,E425+1,E425)</f>
        <v>#N/A</v>
      </c>
      <c r="F426" s="3" t="e">
        <f>INDEX(views[Entities count],MATCH('view-code'!E426,views[object_id order],0))</f>
        <v>#N/A</v>
      </c>
      <c r="G426" t="e">
        <f>IF(D425=Lookup!$L$10,1,IF(D425=Lookup!$L$11,G425+1,""))</f>
        <v>#N/A</v>
      </c>
      <c r="H426" t="e">
        <f>IF(F426=1,IF(D426=Lookup!$L$10,2,1),IF(G426&lt;F426-1,0,1))</f>
        <v>#N/A</v>
      </c>
      <c r="I426" t="e">
        <f>IF(D426&lt;&gt;Lookup!$L$7,0,IF(INDEX(views[name],MATCH(E426,views[object_id order],0))&lt;&gt;"",0,1))</f>
        <v>#N/A</v>
      </c>
      <c r="J426" t="e">
        <f>IF(D426&lt;&gt;Lookup!$L$7,0,IF(INDEX(views[icon],MATCH(E426,views[object_id order],0))&lt;&gt;"",0,1))</f>
        <v>#N/A</v>
      </c>
      <c r="K426" t="e">
        <f>IF($D426=Lookup!$L$6,INDEX(views[object_id],MATCH($E426,views[object_id order],0)),"")</f>
        <v>#N/A</v>
      </c>
      <c r="L426" t="e">
        <f>IF($D426=Lookup!$L$8,INDEX(views[name],MATCH($E426,views[object_id order],0)),"")</f>
        <v>#N/A</v>
      </c>
      <c r="M426" t="e">
        <f>IF($D426=Lookup!$L$9,INDEX(views[icon],MATCH($E426,views[object_id order],0)),"")</f>
        <v>#N/A</v>
      </c>
      <c r="N426" t="e">
        <f>IF(OR(D426=Lookup!$L$11,D426=Lookup!$L$12),INDEX(views[[1]:[25]],MATCH($E426,views[object_id order],0),G426),"")</f>
        <v>#N/A</v>
      </c>
      <c r="O426" t="str">
        <f t="shared" si="19"/>
        <v/>
      </c>
      <c r="P426" s="8" t="e">
        <f>INDEX(Lookup!$M$5:$M$12,MATCH(D426,Lookup!$L$5:$L$12,0))&amp;
K426&amp;L426&amp;M426&amp;N426&amp;
INDEX(Lookup!$N$5:$N$12,MATCH(D426,Lookup!$L$5:$L$12,0))</f>
        <v>#N/A</v>
      </c>
    </row>
    <row r="427" spans="2:16" x14ac:dyDescent="0.45">
      <c r="B427">
        <f t="shared" si="18"/>
        <v>425</v>
      </c>
      <c r="C427" t="e">
        <f t="shared" si="20"/>
        <v>#N/A</v>
      </c>
      <c r="D427" t="e">
        <f>VLOOKUP(C427,Lookup!$K$5:$L$12,2,FALSE)</f>
        <v>#N/A</v>
      </c>
      <c r="E427" t="e">
        <f>IF(D427=Lookup!$L$5,E426+1,E426)</f>
        <v>#N/A</v>
      </c>
      <c r="F427" s="3" t="e">
        <f>INDEX(views[Entities count],MATCH('view-code'!E427,views[object_id order],0))</f>
        <v>#N/A</v>
      </c>
      <c r="G427" t="e">
        <f>IF(D426=Lookup!$L$10,1,IF(D426=Lookup!$L$11,G426+1,""))</f>
        <v>#N/A</v>
      </c>
      <c r="H427" t="e">
        <f>IF(F427=1,IF(D427=Lookup!$L$10,2,1),IF(G427&lt;F427-1,0,1))</f>
        <v>#N/A</v>
      </c>
      <c r="I427" t="e">
        <f>IF(D427&lt;&gt;Lookup!$L$7,0,IF(INDEX(views[name],MATCH(E427,views[object_id order],0))&lt;&gt;"",0,1))</f>
        <v>#N/A</v>
      </c>
      <c r="J427" t="e">
        <f>IF(D427&lt;&gt;Lookup!$L$7,0,IF(INDEX(views[icon],MATCH(E427,views[object_id order],0))&lt;&gt;"",0,1))</f>
        <v>#N/A</v>
      </c>
      <c r="K427" t="e">
        <f>IF($D427=Lookup!$L$6,INDEX(views[object_id],MATCH($E427,views[object_id order],0)),"")</f>
        <v>#N/A</v>
      </c>
      <c r="L427" t="e">
        <f>IF($D427=Lookup!$L$8,INDEX(views[name],MATCH($E427,views[object_id order],0)),"")</f>
        <v>#N/A</v>
      </c>
      <c r="M427" t="e">
        <f>IF($D427=Lookup!$L$9,INDEX(views[icon],MATCH($E427,views[object_id order],0)),"")</f>
        <v>#N/A</v>
      </c>
      <c r="N427" t="e">
        <f>IF(OR(D427=Lookup!$L$11,D427=Lookup!$L$12),INDEX(views[[1]:[25]],MATCH($E427,views[object_id order],0),G427),"")</f>
        <v>#N/A</v>
      </c>
      <c r="O427" t="str">
        <f t="shared" si="19"/>
        <v/>
      </c>
      <c r="P427" s="8" t="e">
        <f>INDEX(Lookup!$M$5:$M$12,MATCH(D427,Lookup!$L$5:$L$12,0))&amp;
K427&amp;L427&amp;M427&amp;N427&amp;
INDEX(Lookup!$N$5:$N$12,MATCH(D427,Lookup!$L$5:$L$12,0))</f>
        <v>#N/A</v>
      </c>
    </row>
    <row r="428" spans="2:16" x14ac:dyDescent="0.45">
      <c r="B428">
        <f t="shared" si="18"/>
        <v>426</v>
      </c>
      <c r="C428" t="e">
        <f t="shared" si="20"/>
        <v>#N/A</v>
      </c>
      <c r="D428" t="e">
        <f>VLOOKUP(C428,Lookup!$K$5:$L$12,2,FALSE)</f>
        <v>#N/A</v>
      </c>
      <c r="E428" t="e">
        <f>IF(D428=Lookup!$L$5,E427+1,E427)</f>
        <v>#N/A</v>
      </c>
      <c r="F428" s="3" t="e">
        <f>INDEX(views[Entities count],MATCH('view-code'!E428,views[object_id order],0))</f>
        <v>#N/A</v>
      </c>
      <c r="G428" t="e">
        <f>IF(D427=Lookup!$L$10,1,IF(D427=Lookup!$L$11,G427+1,""))</f>
        <v>#N/A</v>
      </c>
      <c r="H428" t="e">
        <f>IF(F428=1,IF(D428=Lookup!$L$10,2,1),IF(G428&lt;F428-1,0,1))</f>
        <v>#N/A</v>
      </c>
      <c r="I428" t="e">
        <f>IF(D428&lt;&gt;Lookup!$L$7,0,IF(INDEX(views[name],MATCH(E428,views[object_id order],0))&lt;&gt;"",0,1))</f>
        <v>#N/A</v>
      </c>
      <c r="J428" t="e">
        <f>IF(D428&lt;&gt;Lookup!$L$7,0,IF(INDEX(views[icon],MATCH(E428,views[object_id order],0))&lt;&gt;"",0,1))</f>
        <v>#N/A</v>
      </c>
      <c r="K428" t="e">
        <f>IF($D428=Lookup!$L$6,INDEX(views[object_id],MATCH($E428,views[object_id order],0)),"")</f>
        <v>#N/A</v>
      </c>
      <c r="L428" t="e">
        <f>IF($D428=Lookup!$L$8,INDEX(views[name],MATCH($E428,views[object_id order],0)),"")</f>
        <v>#N/A</v>
      </c>
      <c r="M428" t="e">
        <f>IF($D428=Lookup!$L$9,INDEX(views[icon],MATCH($E428,views[object_id order],0)),"")</f>
        <v>#N/A</v>
      </c>
      <c r="N428" t="e">
        <f>IF(OR(D428=Lookup!$L$11,D428=Lookup!$L$12),INDEX(views[[1]:[25]],MATCH($E428,views[object_id order],0),G428),"")</f>
        <v>#N/A</v>
      </c>
      <c r="O428" t="str">
        <f t="shared" si="19"/>
        <v/>
      </c>
      <c r="P428" s="8" t="e">
        <f>INDEX(Lookup!$M$5:$M$12,MATCH(D428,Lookup!$L$5:$L$12,0))&amp;
K428&amp;L428&amp;M428&amp;N428&amp;
INDEX(Lookup!$N$5:$N$12,MATCH(D428,Lookup!$L$5:$L$12,0))</f>
        <v>#N/A</v>
      </c>
    </row>
    <row r="429" spans="2:16" x14ac:dyDescent="0.45">
      <c r="B429">
        <f t="shared" si="18"/>
        <v>427</v>
      </c>
      <c r="C429" t="e">
        <f t="shared" si="20"/>
        <v>#N/A</v>
      </c>
      <c r="D429" t="e">
        <f>VLOOKUP(C429,Lookup!$K$5:$L$12,2,FALSE)</f>
        <v>#N/A</v>
      </c>
      <c r="E429" t="e">
        <f>IF(D429=Lookup!$L$5,E428+1,E428)</f>
        <v>#N/A</v>
      </c>
      <c r="F429" s="3" t="e">
        <f>INDEX(views[Entities count],MATCH('view-code'!E429,views[object_id order],0))</f>
        <v>#N/A</v>
      </c>
      <c r="G429" t="e">
        <f>IF(D428=Lookup!$L$10,1,IF(D428=Lookup!$L$11,G428+1,""))</f>
        <v>#N/A</v>
      </c>
      <c r="H429" t="e">
        <f>IF(F429=1,IF(D429=Lookup!$L$10,2,1),IF(G429&lt;F429-1,0,1))</f>
        <v>#N/A</v>
      </c>
      <c r="I429" t="e">
        <f>IF(D429&lt;&gt;Lookup!$L$7,0,IF(INDEX(views[name],MATCH(E429,views[object_id order],0))&lt;&gt;"",0,1))</f>
        <v>#N/A</v>
      </c>
      <c r="J429" t="e">
        <f>IF(D429&lt;&gt;Lookup!$L$7,0,IF(INDEX(views[icon],MATCH(E429,views[object_id order],0))&lt;&gt;"",0,1))</f>
        <v>#N/A</v>
      </c>
      <c r="K429" t="e">
        <f>IF($D429=Lookup!$L$6,INDEX(views[object_id],MATCH($E429,views[object_id order],0)),"")</f>
        <v>#N/A</v>
      </c>
      <c r="L429" t="e">
        <f>IF($D429=Lookup!$L$8,INDEX(views[name],MATCH($E429,views[object_id order],0)),"")</f>
        <v>#N/A</v>
      </c>
      <c r="M429" t="e">
        <f>IF($D429=Lookup!$L$9,INDEX(views[icon],MATCH($E429,views[object_id order],0)),"")</f>
        <v>#N/A</v>
      </c>
      <c r="N429" t="e">
        <f>IF(OR(D429=Lookup!$L$11,D429=Lookup!$L$12),INDEX(views[[1]:[25]],MATCH($E429,views[object_id order],0),G429),"")</f>
        <v>#N/A</v>
      </c>
      <c r="O429" t="str">
        <f t="shared" si="19"/>
        <v/>
      </c>
      <c r="P429" s="8" t="e">
        <f>INDEX(Lookup!$M$5:$M$12,MATCH(D429,Lookup!$L$5:$L$12,0))&amp;
K429&amp;L429&amp;M429&amp;N429&amp;
INDEX(Lookup!$N$5:$N$12,MATCH(D429,Lookup!$L$5:$L$12,0))</f>
        <v>#N/A</v>
      </c>
    </row>
    <row r="430" spans="2:16" x14ac:dyDescent="0.45">
      <c r="B430">
        <f t="shared" si="18"/>
        <v>428</v>
      </c>
      <c r="C430" t="e">
        <f t="shared" si="20"/>
        <v>#N/A</v>
      </c>
      <c r="D430" t="e">
        <f>VLOOKUP(C430,Lookup!$K$5:$L$12,2,FALSE)</f>
        <v>#N/A</v>
      </c>
      <c r="E430" t="e">
        <f>IF(D430=Lookup!$L$5,E429+1,E429)</f>
        <v>#N/A</v>
      </c>
      <c r="F430" s="3" t="e">
        <f>INDEX(views[Entities count],MATCH('view-code'!E430,views[object_id order],0))</f>
        <v>#N/A</v>
      </c>
      <c r="G430" t="e">
        <f>IF(D429=Lookup!$L$10,1,IF(D429=Lookup!$L$11,G429+1,""))</f>
        <v>#N/A</v>
      </c>
      <c r="H430" t="e">
        <f>IF(F430=1,IF(D430=Lookup!$L$10,2,1),IF(G430&lt;F430-1,0,1))</f>
        <v>#N/A</v>
      </c>
      <c r="I430" t="e">
        <f>IF(D430&lt;&gt;Lookup!$L$7,0,IF(INDEX(views[name],MATCH(E430,views[object_id order],0))&lt;&gt;"",0,1))</f>
        <v>#N/A</v>
      </c>
      <c r="J430" t="e">
        <f>IF(D430&lt;&gt;Lookup!$L$7,0,IF(INDEX(views[icon],MATCH(E430,views[object_id order],0))&lt;&gt;"",0,1))</f>
        <v>#N/A</v>
      </c>
      <c r="K430" t="e">
        <f>IF($D430=Lookup!$L$6,INDEX(views[object_id],MATCH($E430,views[object_id order],0)),"")</f>
        <v>#N/A</v>
      </c>
      <c r="L430" t="e">
        <f>IF($D430=Lookup!$L$8,INDEX(views[name],MATCH($E430,views[object_id order],0)),"")</f>
        <v>#N/A</v>
      </c>
      <c r="M430" t="e">
        <f>IF($D430=Lookup!$L$9,INDEX(views[icon],MATCH($E430,views[object_id order],0)),"")</f>
        <v>#N/A</v>
      </c>
      <c r="N430" t="e">
        <f>IF(OR(D430=Lookup!$L$11,D430=Lookup!$L$12),INDEX(views[[1]:[25]],MATCH($E430,views[object_id order],0),G430),"")</f>
        <v>#N/A</v>
      </c>
      <c r="O430" t="str">
        <f t="shared" si="19"/>
        <v/>
      </c>
      <c r="P430" s="8" t="e">
        <f>INDEX(Lookup!$M$5:$M$12,MATCH(D430,Lookup!$L$5:$L$12,0))&amp;
K430&amp;L430&amp;M430&amp;N430&amp;
INDEX(Lookup!$N$5:$N$12,MATCH(D430,Lookup!$L$5:$L$12,0))</f>
        <v>#N/A</v>
      </c>
    </row>
    <row r="431" spans="2:16" x14ac:dyDescent="0.45">
      <c r="B431">
        <f t="shared" si="18"/>
        <v>429</v>
      </c>
      <c r="C431" t="e">
        <f t="shared" si="20"/>
        <v>#N/A</v>
      </c>
      <c r="D431" t="e">
        <f>VLOOKUP(C431,Lookup!$K$5:$L$12,2,FALSE)</f>
        <v>#N/A</v>
      </c>
      <c r="E431" t="e">
        <f>IF(D431=Lookup!$L$5,E430+1,E430)</f>
        <v>#N/A</v>
      </c>
      <c r="F431" s="3" t="e">
        <f>INDEX(views[Entities count],MATCH('view-code'!E431,views[object_id order],0))</f>
        <v>#N/A</v>
      </c>
      <c r="G431" t="e">
        <f>IF(D430=Lookup!$L$10,1,IF(D430=Lookup!$L$11,G430+1,""))</f>
        <v>#N/A</v>
      </c>
      <c r="H431" t="e">
        <f>IF(F431=1,IF(D431=Lookup!$L$10,2,1),IF(G431&lt;F431-1,0,1))</f>
        <v>#N/A</v>
      </c>
      <c r="I431" t="e">
        <f>IF(D431&lt;&gt;Lookup!$L$7,0,IF(INDEX(views[name],MATCH(E431,views[object_id order],0))&lt;&gt;"",0,1))</f>
        <v>#N/A</v>
      </c>
      <c r="J431" t="e">
        <f>IF(D431&lt;&gt;Lookup!$L$7,0,IF(INDEX(views[icon],MATCH(E431,views[object_id order],0))&lt;&gt;"",0,1))</f>
        <v>#N/A</v>
      </c>
      <c r="K431" t="e">
        <f>IF($D431=Lookup!$L$6,INDEX(views[object_id],MATCH($E431,views[object_id order],0)),"")</f>
        <v>#N/A</v>
      </c>
      <c r="L431" t="e">
        <f>IF($D431=Lookup!$L$8,INDEX(views[name],MATCH($E431,views[object_id order],0)),"")</f>
        <v>#N/A</v>
      </c>
      <c r="M431" t="e">
        <f>IF($D431=Lookup!$L$9,INDEX(views[icon],MATCH($E431,views[object_id order],0)),"")</f>
        <v>#N/A</v>
      </c>
      <c r="N431" t="e">
        <f>IF(OR(D431=Lookup!$L$11,D431=Lookup!$L$12),INDEX(views[[1]:[25]],MATCH($E431,views[object_id order],0),G431),"")</f>
        <v>#N/A</v>
      </c>
      <c r="O431" t="str">
        <f t="shared" si="19"/>
        <v/>
      </c>
      <c r="P431" s="8" t="e">
        <f>INDEX(Lookup!$M$5:$M$12,MATCH(D431,Lookup!$L$5:$L$12,0))&amp;
K431&amp;L431&amp;M431&amp;N431&amp;
INDEX(Lookup!$N$5:$N$12,MATCH(D431,Lookup!$L$5:$L$12,0))</f>
        <v>#N/A</v>
      </c>
    </row>
    <row r="432" spans="2:16" x14ac:dyDescent="0.45">
      <c r="B432">
        <f t="shared" si="18"/>
        <v>430</v>
      </c>
      <c r="C432" t="e">
        <f t="shared" si="20"/>
        <v>#N/A</v>
      </c>
      <c r="D432" t="e">
        <f>VLOOKUP(C432,Lookup!$K$5:$L$12,2,FALSE)</f>
        <v>#N/A</v>
      </c>
      <c r="E432" t="e">
        <f>IF(D432=Lookup!$L$5,E431+1,E431)</f>
        <v>#N/A</v>
      </c>
      <c r="F432" s="3" t="e">
        <f>INDEX(views[Entities count],MATCH('view-code'!E432,views[object_id order],0))</f>
        <v>#N/A</v>
      </c>
      <c r="G432" t="e">
        <f>IF(D431=Lookup!$L$10,1,IF(D431=Lookup!$L$11,G431+1,""))</f>
        <v>#N/A</v>
      </c>
      <c r="H432" t="e">
        <f>IF(F432=1,IF(D432=Lookup!$L$10,2,1),IF(G432&lt;F432-1,0,1))</f>
        <v>#N/A</v>
      </c>
      <c r="I432" t="e">
        <f>IF(D432&lt;&gt;Lookup!$L$7,0,IF(INDEX(views[name],MATCH(E432,views[object_id order],0))&lt;&gt;"",0,1))</f>
        <v>#N/A</v>
      </c>
      <c r="J432" t="e">
        <f>IF(D432&lt;&gt;Lookup!$L$7,0,IF(INDEX(views[icon],MATCH(E432,views[object_id order],0))&lt;&gt;"",0,1))</f>
        <v>#N/A</v>
      </c>
      <c r="K432" t="e">
        <f>IF($D432=Lookup!$L$6,INDEX(views[object_id],MATCH($E432,views[object_id order],0)),"")</f>
        <v>#N/A</v>
      </c>
      <c r="L432" t="e">
        <f>IF($D432=Lookup!$L$8,INDEX(views[name],MATCH($E432,views[object_id order],0)),"")</f>
        <v>#N/A</v>
      </c>
      <c r="M432" t="e">
        <f>IF($D432=Lookup!$L$9,INDEX(views[icon],MATCH($E432,views[object_id order],0)),"")</f>
        <v>#N/A</v>
      </c>
      <c r="N432" t="e">
        <f>IF(OR(D432=Lookup!$L$11,D432=Lookup!$L$12),INDEX(views[[1]:[25]],MATCH($E432,views[object_id order],0),G432),"")</f>
        <v>#N/A</v>
      </c>
      <c r="O432" t="str">
        <f t="shared" si="19"/>
        <v/>
      </c>
      <c r="P432" s="8" t="e">
        <f>INDEX(Lookup!$M$5:$M$12,MATCH(D432,Lookup!$L$5:$L$12,0))&amp;
K432&amp;L432&amp;M432&amp;N432&amp;
INDEX(Lookup!$N$5:$N$12,MATCH(D432,Lookup!$L$5:$L$12,0))</f>
        <v>#N/A</v>
      </c>
    </row>
    <row r="433" spans="2:16" x14ac:dyDescent="0.45">
      <c r="B433">
        <f t="shared" si="18"/>
        <v>431</v>
      </c>
      <c r="C433" t="e">
        <f t="shared" si="20"/>
        <v>#N/A</v>
      </c>
      <c r="D433" t="e">
        <f>VLOOKUP(C433,Lookup!$K$5:$L$12,2,FALSE)</f>
        <v>#N/A</v>
      </c>
      <c r="E433" t="e">
        <f>IF(D433=Lookup!$L$5,E432+1,E432)</f>
        <v>#N/A</v>
      </c>
      <c r="F433" s="3" t="e">
        <f>INDEX(views[Entities count],MATCH('view-code'!E433,views[object_id order],0))</f>
        <v>#N/A</v>
      </c>
      <c r="G433" t="e">
        <f>IF(D432=Lookup!$L$10,1,IF(D432=Lookup!$L$11,G432+1,""))</f>
        <v>#N/A</v>
      </c>
      <c r="H433" t="e">
        <f>IF(F433=1,IF(D433=Lookup!$L$10,2,1),IF(G433&lt;F433-1,0,1))</f>
        <v>#N/A</v>
      </c>
      <c r="I433" t="e">
        <f>IF(D433&lt;&gt;Lookup!$L$7,0,IF(INDEX(views[name],MATCH(E433,views[object_id order],0))&lt;&gt;"",0,1))</f>
        <v>#N/A</v>
      </c>
      <c r="J433" t="e">
        <f>IF(D433&lt;&gt;Lookup!$L$7,0,IF(INDEX(views[icon],MATCH(E433,views[object_id order],0))&lt;&gt;"",0,1))</f>
        <v>#N/A</v>
      </c>
      <c r="K433" t="e">
        <f>IF($D433=Lookup!$L$6,INDEX(views[object_id],MATCH($E433,views[object_id order],0)),"")</f>
        <v>#N/A</v>
      </c>
      <c r="L433" t="e">
        <f>IF($D433=Lookup!$L$8,INDEX(views[name],MATCH($E433,views[object_id order],0)),"")</f>
        <v>#N/A</v>
      </c>
      <c r="M433" t="e">
        <f>IF($D433=Lookup!$L$9,INDEX(views[icon],MATCH($E433,views[object_id order],0)),"")</f>
        <v>#N/A</v>
      </c>
      <c r="N433" t="e">
        <f>IF(OR(D433=Lookup!$L$11,D433=Lookup!$L$12),INDEX(views[[1]:[25]],MATCH($E433,views[object_id order],0),G433),"")</f>
        <v>#N/A</v>
      </c>
      <c r="O433" t="str">
        <f t="shared" si="19"/>
        <v/>
      </c>
      <c r="P433" s="8" t="e">
        <f>INDEX(Lookup!$M$5:$M$12,MATCH(D433,Lookup!$L$5:$L$12,0))&amp;
K433&amp;L433&amp;M433&amp;N433&amp;
INDEX(Lookup!$N$5:$N$12,MATCH(D433,Lookup!$L$5:$L$12,0))</f>
        <v>#N/A</v>
      </c>
    </row>
    <row r="434" spans="2:16" x14ac:dyDescent="0.45">
      <c r="B434">
        <f t="shared" si="18"/>
        <v>432</v>
      </c>
      <c r="C434" t="e">
        <f t="shared" si="20"/>
        <v>#N/A</v>
      </c>
      <c r="D434" t="e">
        <f>VLOOKUP(C434,Lookup!$K$5:$L$12,2,FALSE)</f>
        <v>#N/A</v>
      </c>
      <c r="E434" t="e">
        <f>IF(D434=Lookup!$L$5,E433+1,E433)</f>
        <v>#N/A</v>
      </c>
      <c r="F434" s="3" t="e">
        <f>INDEX(views[Entities count],MATCH('view-code'!E434,views[object_id order],0))</f>
        <v>#N/A</v>
      </c>
      <c r="G434" t="e">
        <f>IF(D433=Lookup!$L$10,1,IF(D433=Lookup!$L$11,G433+1,""))</f>
        <v>#N/A</v>
      </c>
      <c r="H434" t="e">
        <f>IF(F434=1,IF(D434=Lookup!$L$10,2,1),IF(G434&lt;F434-1,0,1))</f>
        <v>#N/A</v>
      </c>
      <c r="I434" t="e">
        <f>IF(D434&lt;&gt;Lookup!$L$7,0,IF(INDEX(views[name],MATCH(E434,views[object_id order],0))&lt;&gt;"",0,1))</f>
        <v>#N/A</v>
      </c>
      <c r="J434" t="e">
        <f>IF(D434&lt;&gt;Lookup!$L$7,0,IF(INDEX(views[icon],MATCH(E434,views[object_id order],0))&lt;&gt;"",0,1))</f>
        <v>#N/A</v>
      </c>
      <c r="K434" t="e">
        <f>IF($D434=Lookup!$L$6,INDEX(views[object_id],MATCH($E434,views[object_id order],0)),"")</f>
        <v>#N/A</v>
      </c>
      <c r="L434" t="e">
        <f>IF($D434=Lookup!$L$8,INDEX(views[name],MATCH($E434,views[object_id order],0)),"")</f>
        <v>#N/A</v>
      </c>
      <c r="M434" t="e">
        <f>IF($D434=Lookup!$L$9,INDEX(views[icon],MATCH($E434,views[object_id order],0)),"")</f>
        <v>#N/A</v>
      </c>
      <c r="N434" t="e">
        <f>IF(OR(D434=Lookup!$L$11,D434=Lookup!$L$12),INDEX(views[[1]:[25]],MATCH($E434,views[object_id order],0),G434),"")</f>
        <v>#N/A</v>
      </c>
      <c r="O434" t="str">
        <f t="shared" si="19"/>
        <v/>
      </c>
      <c r="P434" s="8" t="e">
        <f>INDEX(Lookup!$M$5:$M$12,MATCH(D434,Lookup!$L$5:$L$12,0))&amp;
K434&amp;L434&amp;M434&amp;N434&amp;
INDEX(Lookup!$N$5:$N$12,MATCH(D434,Lookup!$L$5:$L$12,0))</f>
        <v>#N/A</v>
      </c>
    </row>
    <row r="435" spans="2:16" x14ac:dyDescent="0.45">
      <c r="B435">
        <f t="shared" si="18"/>
        <v>433</v>
      </c>
      <c r="C435" t="e">
        <f t="shared" si="20"/>
        <v>#N/A</v>
      </c>
      <c r="D435" t="e">
        <f>VLOOKUP(C435,Lookup!$K$5:$L$12,2,FALSE)</f>
        <v>#N/A</v>
      </c>
      <c r="E435" t="e">
        <f>IF(D435=Lookup!$L$5,E434+1,E434)</f>
        <v>#N/A</v>
      </c>
      <c r="F435" s="3" t="e">
        <f>INDEX(views[Entities count],MATCH('view-code'!E435,views[object_id order],0))</f>
        <v>#N/A</v>
      </c>
      <c r="G435" t="e">
        <f>IF(D434=Lookup!$L$10,1,IF(D434=Lookup!$L$11,G434+1,""))</f>
        <v>#N/A</v>
      </c>
      <c r="H435" t="e">
        <f>IF(F435=1,IF(D435=Lookup!$L$10,2,1),IF(G435&lt;F435-1,0,1))</f>
        <v>#N/A</v>
      </c>
      <c r="I435" t="e">
        <f>IF(D435&lt;&gt;Lookup!$L$7,0,IF(INDEX(views[name],MATCH(E435,views[object_id order],0))&lt;&gt;"",0,1))</f>
        <v>#N/A</v>
      </c>
      <c r="J435" t="e">
        <f>IF(D435&lt;&gt;Lookup!$L$7,0,IF(INDEX(views[icon],MATCH(E435,views[object_id order],0))&lt;&gt;"",0,1))</f>
        <v>#N/A</v>
      </c>
      <c r="K435" t="e">
        <f>IF($D435=Lookup!$L$6,INDEX(views[object_id],MATCH($E435,views[object_id order],0)),"")</f>
        <v>#N/A</v>
      </c>
      <c r="L435" t="e">
        <f>IF($D435=Lookup!$L$8,INDEX(views[name],MATCH($E435,views[object_id order],0)),"")</f>
        <v>#N/A</v>
      </c>
      <c r="M435" t="e">
        <f>IF($D435=Lookup!$L$9,INDEX(views[icon],MATCH($E435,views[object_id order],0)),"")</f>
        <v>#N/A</v>
      </c>
      <c r="N435" t="e">
        <f>IF(OR(D435=Lookup!$L$11,D435=Lookup!$L$12),INDEX(views[[1]:[25]],MATCH($E435,views[object_id order],0),G435),"")</f>
        <v>#N/A</v>
      </c>
      <c r="O435" t="str">
        <f t="shared" si="19"/>
        <v/>
      </c>
      <c r="P435" s="8" t="e">
        <f>INDEX(Lookup!$M$5:$M$12,MATCH(D435,Lookup!$L$5:$L$12,0))&amp;
K435&amp;L435&amp;M435&amp;N435&amp;
INDEX(Lookup!$N$5:$N$12,MATCH(D435,Lookup!$L$5:$L$12,0))</f>
        <v>#N/A</v>
      </c>
    </row>
    <row r="436" spans="2:16" x14ac:dyDescent="0.45">
      <c r="B436">
        <f t="shared" si="18"/>
        <v>434</v>
      </c>
      <c r="C436" t="e">
        <f t="shared" si="20"/>
        <v>#N/A</v>
      </c>
      <c r="D436" t="e">
        <f>VLOOKUP(C436,Lookup!$K$5:$L$12,2,FALSE)</f>
        <v>#N/A</v>
      </c>
      <c r="E436" t="e">
        <f>IF(D436=Lookup!$L$5,E435+1,E435)</f>
        <v>#N/A</v>
      </c>
      <c r="F436" s="3" t="e">
        <f>INDEX(views[Entities count],MATCH('view-code'!E436,views[object_id order],0))</f>
        <v>#N/A</v>
      </c>
      <c r="G436" t="e">
        <f>IF(D435=Lookup!$L$10,1,IF(D435=Lookup!$L$11,G435+1,""))</f>
        <v>#N/A</v>
      </c>
      <c r="H436" t="e">
        <f>IF(F436=1,IF(D436=Lookup!$L$10,2,1),IF(G436&lt;F436-1,0,1))</f>
        <v>#N/A</v>
      </c>
      <c r="I436" t="e">
        <f>IF(D436&lt;&gt;Lookup!$L$7,0,IF(INDEX(views[name],MATCH(E436,views[object_id order],0))&lt;&gt;"",0,1))</f>
        <v>#N/A</v>
      </c>
      <c r="J436" t="e">
        <f>IF(D436&lt;&gt;Lookup!$L$7,0,IF(INDEX(views[icon],MATCH(E436,views[object_id order],0))&lt;&gt;"",0,1))</f>
        <v>#N/A</v>
      </c>
      <c r="K436" t="e">
        <f>IF($D436=Lookup!$L$6,INDEX(views[object_id],MATCH($E436,views[object_id order],0)),"")</f>
        <v>#N/A</v>
      </c>
      <c r="L436" t="e">
        <f>IF($D436=Lookup!$L$8,INDEX(views[name],MATCH($E436,views[object_id order],0)),"")</f>
        <v>#N/A</v>
      </c>
      <c r="M436" t="e">
        <f>IF($D436=Lookup!$L$9,INDEX(views[icon],MATCH($E436,views[object_id order],0)),"")</f>
        <v>#N/A</v>
      </c>
      <c r="N436" t="e">
        <f>IF(OR(D436=Lookup!$L$11,D436=Lookup!$L$12),INDEX(views[[1]:[25]],MATCH($E436,views[object_id order],0),G436),"")</f>
        <v>#N/A</v>
      </c>
      <c r="O436" t="str">
        <f t="shared" si="19"/>
        <v/>
      </c>
      <c r="P436" s="8" t="e">
        <f>INDEX(Lookup!$M$5:$M$12,MATCH(D436,Lookup!$L$5:$L$12,0))&amp;
K436&amp;L436&amp;M436&amp;N436&amp;
INDEX(Lookup!$N$5:$N$12,MATCH(D436,Lookup!$L$5:$L$12,0))</f>
        <v>#N/A</v>
      </c>
    </row>
    <row r="437" spans="2:16" x14ac:dyDescent="0.45">
      <c r="B437">
        <f t="shared" si="18"/>
        <v>435</v>
      </c>
      <c r="C437" t="e">
        <f t="shared" si="20"/>
        <v>#N/A</v>
      </c>
      <c r="D437" t="e">
        <f>VLOOKUP(C437,Lookup!$K$5:$L$12,2,FALSE)</f>
        <v>#N/A</v>
      </c>
      <c r="E437" t="e">
        <f>IF(D437=Lookup!$L$5,E436+1,E436)</f>
        <v>#N/A</v>
      </c>
      <c r="F437" s="3" t="e">
        <f>INDEX(views[Entities count],MATCH('view-code'!E437,views[object_id order],0))</f>
        <v>#N/A</v>
      </c>
      <c r="G437" t="e">
        <f>IF(D436=Lookup!$L$10,1,IF(D436=Lookup!$L$11,G436+1,""))</f>
        <v>#N/A</v>
      </c>
      <c r="H437" t="e">
        <f>IF(F437=1,IF(D437=Lookup!$L$10,2,1),IF(G437&lt;F437-1,0,1))</f>
        <v>#N/A</v>
      </c>
      <c r="I437" t="e">
        <f>IF(D437&lt;&gt;Lookup!$L$7,0,IF(INDEX(views[name],MATCH(E437,views[object_id order],0))&lt;&gt;"",0,1))</f>
        <v>#N/A</v>
      </c>
      <c r="J437" t="e">
        <f>IF(D437&lt;&gt;Lookup!$L$7,0,IF(INDEX(views[icon],MATCH(E437,views[object_id order],0))&lt;&gt;"",0,1))</f>
        <v>#N/A</v>
      </c>
      <c r="K437" t="e">
        <f>IF($D437=Lookup!$L$6,INDEX(views[object_id],MATCH($E437,views[object_id order],0)),"")</f>
        <v>#N/A</v>
      </c>
      <c r="L437" t="e">
        <f>IF($D437=Lookup!$L$8,INDEX(views[name],MATCH($E437,views[object_id order],0)),"")</f>
        <v>#N/A</v>
      </c>
      <c r="M437" t="e">
        <f>IF($D437=Lookup!$L$9,INDEX(views[icon],MATCH($E437,views[object_id order],0)),"")</f>
        <v>#N/A</v>
      </c>
      <c r="N437" t="e">
        <f>IF(OR(D437=Lookup!$L$11,D437=Lookup!$L$12),INDEX(views[[1]:[25]],MATCH($E437,views[object_id order],0),G437),"")</f>
        <v>#N/A</v>
      </c>
      <c r="O437" t="str">
        <f t="shared" si="19"/>
        <v/>
      </c>
      <c r="P437" s="8" t="e">
        <f>INDEX(Lookup!$M$5:$M$12,MATCH(D437,Lookup!$L$5:$L$12,0))&amp;
K437&amp;L437&amp;M437&amp;N437&amp;
INDEX(Lookup!$N$5:$N$12,MATCH(D437,Lookup!$L$5:$L$12,0))</f>
        <v>#N/A</v>
      </c>
    </row>
    <row r="438" spans="2:16" x14ac:dyDescent="0.45">
      <c r="B438">
        <f t="shared" si="18"/>
        <v>436</v>
      </c>
      <c r="C438" t="e">
        <f t="shared" si="20"/>
        <v>#N/A</v>
      </c>
      <c r="D438" t="e">
        <f>VLOOKUP(C438,Lookup!$K$5:$L$12,2,FALSE)</f>
        <v>#N/A</v>
      </c>
      <c r="E438" t="e">
        <f>IF(D438=Lookup!$L$5,E437+1,E437)</f>
        <v>#N/A</v>
      </c>
      <c r="F438" s="3" t="e">
        <f>INDEX(views[Entities count],MATCH('view-code'!E438,views[object_id order],0))</f>
        <v>#N/A</v>
      </c>
      <c r="G438" t="e">
        <f>IF(D437=Lookup!$L$10,1,IF(D437=Lookup!$L$11,G437+1,""))</f>
        <v>#N/A</v>
      </c>
      <c r="H438" t="e">
        <f>IF(F438=1,IF(D438=Lookup!$L$10,2,1),IF(G438&lt;F438-1,0,1))</f>
        <v>#N/A</v>
      </c>
      <c r="I438" t="e">
        <f>IF(D438&lt;&gt;Lookup!$L$7,0,IF(INDEX(views[name],MATCH(E438,views[object_id order],0))&lt;&gt;"",0,1))</f>
        <v>#N/A</v>
      </c>
      <c r="J438" t="e">
        <f>IF(D438&lt;&gt;Lookup!$L$7,0,IF(INDEX(views[icon],MATCH(E438,views[object_id order],0))&lt;&gt;"",0,1))</f>
        <v>#N/A</v>
      </c>
      <c r="K438" t="e">
        <f>IF($D438=Lookup!$L$6,INDEX(views[object_id],MATCH($E438,views[object_id order],0)),"")</f>
        <v>#N/A</v>
      </c>
      <c r="L438" t="e">
        <f>IF($D438=Lookup!$L$8,INDEX(views[name],MATCH($E438,views[object_id order],0)),"")</f>
        <v>#N/A</v>
      </c>
      <c r="M438" t="e">
        <f>IF($D438=Lookup!$L$9,INDEX(views[icon],MATCH($E438,views[object_id order],0)),"")</f>
        <v>#N/A</v>
      </c>
      <c r="N438" t="e">
        <f>IF(OR(D438=Lookup!$L$11,D438=Lookup!$L$12),INDEX(views[[1]:[25]],MATCH($E438,views[object_id order],0),G438),"")</f>
        <v>#N/A</v>
      </c>
      <c r="O438" t="str">
        <f t="shared" si="19"/>
        <v/>
      </c>
      <c r="P438" s="8" t="e">
        <f>INDEX(Lookup!$M$5:$M$12,MATCH(D438,Lookup!$L$5:$L$12,0))&amp;
K438&amp;L438&amp;M438&amp;N438&amp;
INDEX(Lookup!$N$5:$N$12,MATCH(D438,Lookup!$L$5:$L$12,0))</f>
        <v>#N/A</v>
      </c>
    </row>
    <row r="439" spans="2:16" x14ac:dyDescent="0.45">
      <c r="B439">
        <f t="shared" si="18"/>
        <v>437</v>
      </c>
      <c r="C439" t="e">
        <f t="shared" si="20"/>
        <v>#N/A</v>
      </c>
      <c r="D439" t="e">
        <f>VLOOKUP(C439,Lookup!$K$5:$L$12,2,FALSE)</f>
        <v>#N/A</v>
      </c>
      <c r="E439" t="e">
        <f>IF(D439=Lookup!$L$5,E438+1,E438)</f>
        <v>#N/A</v>
      </c>
      <c r="F439" s="3" t="e">
        <f>INDEX(views[Entities count],MATCH('view-code'!E439,views[object_id order],0))</f>
        <v>#N/A</v>
      </c>
      <c r="G439" t="e">
        <f>IF(D438=Lookup!$L$10,1,IF(D438=Lookup!$L$11,G438+1,""))</f>
        <v>#N/A</v>
      </c>
      <c r="H439" t="e">
        <f>IF(F439=1,IF(D439=Lookup!$L$10,2,1),IF(G439&lt;F439-1,0,1))</f>
        <v>#N/A</v>
      </c>
      <c r="I439" t="e">
        <f>IF(D439&lt;&gt;Lookup!$L$7,0,IF(INDEX(views[name],MATCH(E439,views[object_id order],0))&lt;&gt;"",0,1))</f>
        <v>#N/A</v>
      </c>
      <c r="J439" t="e">
        <f>IF(D439&lt;&gt;Lookup!$L$7,0,IF(INDEX(views[icon],MATCH(E439,views[object_id order],0))&lt;&gt;"",0,1))</f>
        <v>#N/A</v>
      </c>
      <c r="K439" t="e">
        <f>IF($D439=Lookup!$L$6,INDEX(views[object_id],MATCH($E439,views[object_id order],0)),"")</f>
        <v>#N/A</v>
      </c>
      <c r="L439" t="e">
        <f>IF($D439=Lookup!$L$8,INDEX(views[name],MATCH($E439,views[object_id order],0)),"")</f>
        <v>#N/A</v>
      </c>
      <c r="M439" t="e">
        <f>IF($D439=Lookup!$L$9,INDEX(views[icon],MATCH($E439,views[object_id order],0)),"")</f>
        <v>#N/A</v>
      </c>
      <c r="N439" t="e">
        <f>IF(OR(D439=Lookup!$L$11,D439=Lookup!$L$12),INDEX(views[[1]:[25]],MATCH($E439,views[object_id order],0),G439),"")</f>
        <v>#N/A</v>
      </c>
      <c r="O439" t="str">
        <f t="shared" si="19"/>
        <v/>
      </c>
      <c r="P439" s="8" t="e">
        <f>INDEX(Lookup!$M$5:$M$12,MATCH(D439,Lookup!$L$5:$L$12,0))&amp;
K439&amp;L439&amp;M439&amp;N439&amp;
INDEX(Lookup!$N$5:$N$12,MATCH(D439,Lookup!$L$5:$L$12,0))</f>
        <v>#N/A</v>
      </c>
    </row>
    <row r="440" spans="2:16" x14ac:dyDescent="0.45">
      <c r="B440">
        <f t="shared" si="18"/>
        <v>438</v>
      </c>
      <c r="C440" t="e">
        <f t="shared" si="20"/>
        <v>#N/A</v>
      </c>
      <c r="D440" t="e">
        <f>VLOOKUP(C440,Lookup!$K$5:$L$12,2,FALSE)</f>
        <v>#N/A</v>
      </c>
      <c r="E440" t="e">
        <f>IF(D440=Lookup!$L$5,E439+1,E439)</f>
        <v>#N/A</v>
      </c>
      <c r="F440" s="3" t="e">
        <f>INDEX(views[Entities count],MATCH('view-code'!E440,views[object_id order],0))</f>
        <v>#N/A</v>
      </c>
      <c r="G440" t="e">
        <f>IF(D439=Lookup!$L$10,1,IF(D439=Lookup!$L$11,G439+1,""))</f>
        <v>#N/A</v>
      </c>
      <c r="H440" t="e">
        <f>IF(F440=1,IF(D440=Lookup!$L$10,2,1),IF(G440&lt;F440-1,0,1))</f>
        <v>#N/A</v>
      </c>
      <c r="I440" t="e">
        <f>IF(D440&lt;&gt;Lookup!$L$7,0,IF(INDEX(views[name],MATCH(E440,views[object_id order],0))&lt;&gt;"",0,1))</f>
        <v>#N/A</v>
      </c>
      <c r="J440" t="e">
        <f>IF(D440&lt;&gt;Lookup!$L$7,0,IF(INDEX(views[icon],MATCH(E440,views[object_id order],0))&lt;&gt;"",0,1))</f>
        <v>#N/A</v>
      </c>
      <c r="K440" t="e">
        <f>IF($D440=Lookup!$L$6,INDEX(views[object_id],MATCH($E440,views[object_id order],0)),"")</f>
        <v>#N/A</v>
      </c>
      <c r="L440" t="e">
        <f>IF($D440=Lookup!$L$8,INDEX(views[name],MATCH($E440,views[object_id order],0)),"")</f>
        <v>#N/A</v>
      </c>
      <c r="M440" t="e">
        <f>IF($D440=Lookup!$L$9,INDEX(views[icon],MATCH($E440,views[object_id order],0)),"")</f>
        <v>#N/A</v>
      </c>
      <c r="N440" t="e">
        <f>IF(OR(D440=Lookup!$L$11,D440=Lookup!$L$12),INDEX(views[[1]:[25]],MATCH($E440,views[object_id order],0),G440),"")</f>
        <v>#N/A</v>
      </c>
      <c r="O440" t="str">
        <f t="shared" si="19"/>
        <v/>
      </c>
      <c r="P440" s="8" t="e">
        <f>INDEX(Lookup!$M$5:$M$12,MATCH(D440,Lookup!$L$5:$L$12,0))&amp;
K440&amp;L440&amp;M440&amp;N440&amp;
INDEX(Lookup!$N$5:$N$12,MATCH(D440,Lookup!$L$5:$L$12,0))</f>
        <v>#N/A</v>
      </c>
    </row>
    <row r="441" spans="2:16" x14ac:dyDescent="0.45">
      <c r="B441">
        <f t="shared" si="18"/>
        <v>439</v>
      </c>
      <c r="C441" t="e">
        <f t="shared" si="20"/>
        <v>#N/A</v>
      </c>
      <c r="D441" t="e">
        <f>VLOOKUP(C441,Lookup!$K$5:$L$12,2,FALSE)</f>
        <v>#N/A</v>
      </c>
      <c r="E441" t="e">
        <f>IF(D441=Lookup!$L$5,E440+1,E440)</f>
        <v>#N/A</v>
      </c>
      <c r="F441" s="3" t="e">
        <f>INDEX(views[Entities count],MATCH('view-code'!E441,views[object_id order],0))</f>
        <v>#N/A</v>
      </c>
      <c r="G441" t="e">
        <f>IF(D440=Lookup!$L$10,1,IF(D440=Lookup!$L$11,G440+1,""))</f>
        <v>#N/A</v>
      </c>
      <c r="H441" t="e">
        <f>IF(F441=1,IF(D441=Lookup!$L$10,2,1),IF(G441&lt;F441-1,0,1))</f>
        <v>#N/A</v>
      </c>
      <c r="I441" t="e">
        <f>IF(D441&lt;&gt;Lookup!$L$7,0,IF(INDEX(views[name],MATCH(E441,views[object_id order],0))&lt;&gt;"",0,1))</f>
        <v>#N/A</v>
      </c>
      <c r="J441" t="e">
        <f>IF(D441&lt;&gt;Lookup!$L$7,0,IF(INDEX(views[icon],MATCH(E441,views[object_id order],0))&lt;&gt;"",0,1))</f>
        <v>#N/A</v>
      </c>
      <c r="K441" t="e">
        <f>IF($D441=Lookup!$L$6,INDEX(views[object_id],MATCH($E441,views[object_id order],0)),"")</f>
        <v>#N/A</v>
      </c>
      <c r="L441" t="e">
        <f>IF($D441=Lookup!$L$8,INDEX(views[name],MATCH($E441,views[object_id order],0)),"")</f>
        <v>#N/A</v>
      </c>
      <c r="M441" t="e">
        <f>IF($D441=Lookup!$L$9,INDEX(views[icon],MATCH($E441,views[object_id order],0)),"")</f>
        <v>#N/A</v>
      </c>
      <c r="N441" t="e">
        <f>IF(OR(D441=Lookup!$L$11,D441=Lookup!$L$12),INDEX(views[[1]:[25]],MATCH($E441,views[object_id order],0),G441),"")</f>
        <v>#N/A</v>
      </c>
      <c r="O441" t="str">
        <f t="shared" si="19"/>
        <v/>
      </c>
      <c r="P441" s="8" t="e">
        <f>INDEX(Lookup!$M$5:$M$12,MATCH(D441,Lookup!$L$5:$L$12,0))&amp;
K441&amp;L441&amp;M441&amp;N441&amp;
INDEX(Lookup!$N$5:$N$12,MATCH(D441,Lookup!$L$5:$L$12,0))</f>
        <v>#N/A</v>
      </c>
    </row>
    <row r="442" spans="2:16" x14ac:dyDescent="0.45">
      <c r="B442">
        <f t="shared" si="18"/>
        <v>440</v>
      </c>
      <c r="C442" t="e">
        <f t="shared" si="20"/>
        <v>#N/A</v>
      </c>
      <c r="D442" t="e">
        <f>VLOOKUP(C442,Lookup!$K$5:$L$12,2,FALSE)</f>
        <v>#N/A</v>
      </c>
      <c r="E442" t="e">
        <f>IF(D442=Lookup!$L$5,E441+1,E441)</f>
        <v>#N/A</v>
      </c>
      <c r="F442" s="3" t="e">
        <f>INDEX(views[Entities count],MATCH('view-code'!E442,views[object_id order],0))</f>
        <v>#N/A</v>
      </c>
      <c r="G442" t="e">
        <f>IF(D441=Lookup!$L$10,1,IF(D441=Lookup!$L$11,G441+1,""))</f>
        <v>#N/A</v>
      </c>
      <c r="H442" t="e">
        <f>IF(F442=1,IF(D442=Lookup!$L$10,2,1),IF(G442&lt;F442-1,0,1))</f>
        <v>#N/A</v>
      </c>
      <c r="I442" t="e">
        <f>IF(D442&lt;&gt;Lookup!$L$7,0,IF(INDEX(views[name],MATCH(E442,views[object_id order],0))&lt;&gt;"",0,1))</f>
        <v>#N/A</v>
      </c>
      <c r="J442" t="e">
        <f>IF(D442&lt;&gt;Lookup!$L$7,0,IF(INDEX(views[icon],MATCH(E442,views[object_id order],0))&lt;&gt;"",0,1))</f>
        <v>#N/A</v>
      </c>
      <c r="K442" t="e">
        <f>IF($D442=Lookup!$L$6,INDEX(views[object_id],MATCH($E442,views[object_id order],0)),"")</f>
        <v>#N/A</v>
      </c>
      <c r="L442" t="e">
        <f>IF($D442=Lookup!$L$8,INDEX(views[name],MATCH($E442,views[object_id order],0)),"")</f>
        <v>#N/A</v>
      </c>
      <c r="M442" t="e">
        <f>IF($D442=Lookup!$L$9,INDEX(views[icon],MATCH($E442,views[object_id order],0)),"")</f>
        <v>#N/A</v>
      </c>
      <c r="N442" t="e">
        <f>IF(OR(D442=Lookup!$L$11,D442=Lookup!$L$12),INDEX(views[[1]:[25]],MATCH($E442,views[object_id order],0),G442),"")</f>
        <v>#N/A</v>
      </c>
      <c r="O442" t="str">
        <f t="shared" si="19"/>
        <v/>
      </c>
      <c r="P442" s="8" t="e">
        <f>INDEX(Lookup!$M$5:$M$12,MATCH(D442,Lookup!$L$5:$L$12,0))&amp;
K442&amp;L442&amp;M442&amp;N442&amp;
INDEX(Lookup!$N$5:$N$12,MATCH(D442,Lookup!$L$5:$L$12,0))</f>
        <v>#N/A</v>
      </c>
    </row>
    <row r="443" spans="2:16" x14ac:dyDescent="0.45">
      <c r="B443">
        <f t="shared" si="18"/>
        <v>441</v>
      </c>
      <c r="C443" t="e">
        <f t="shared" si="20"/>
        <v>#N/A</v>
      </c>
      <c r="D443" t="e">
        <f>VLOOKUP(C443,Lookup!$K$5:$L$12,2,FALSE)</f>
        <v>#N/A</v>
      </c>
      <c r="E443" t="e">
        <f>IF(D443=Lookup!$L$5,E442+1,E442)</f>
        <v>#N/A</v>
      </c>
      <c r="F443" s="3" t="e">
        <f>INDEX(views[Entities count],MATCH('view-code'!E443,views[object_id order],0))</f>
        <v>#N/A</v>
      </c>
      <c r="G443" t="e">
        <f>IF(D442=Lookup!$L$10,1,IF(D442=Lookup!$L$11,G442+1,""))</f>
        <v>#N/A</v>
      </c>
      <c r="H443" t="e">
        <f>IF(F443=1,IF(D443=Lookup!$L$10,2,1),IF(G443&lt;F443-1,0,1))</f>
        <v>#N/A</v>
      </c>
      <c r="I443" t="e">
        <f>IF(D443&lt;&gt;Lookup!$L$7,0,IF(INDEX(views[name],MATCH(E443,views[object_id order],0))&lt;&gt;"",0,1))</f>
        <v>#N/A</v>
      </c>
      <c r="J443" t="e">
        <f>IF(D443&lt;&gt;Lookup!$L$7,0,IF(INDEX(views[icon],MATCH(E443,views[object_id order],0))&lt;&gt;"",0,1))</f>
        <v>#N/A</v>
      </c>
      <c r="K443" t="e">
        <f>IF($D443=Lookup!$L$6,INDEX(views[object_id],MATCH($E443,views[object_id order],0)),"")</f>
        <v>#N/A</v>
      </c>
      <c r="L443" t="e">
        <f>IF($D443=Lookup!$L$8,INDEX(views[name],MATCH($E443,views[object_id order],0)),"")</f>
        <v>#N/A</v>
      </c>
      <c r="M443" t="e">
        <f>IF($D443=Lookup!$L$9,INDEX(views[icon],MATCH($E443,views[object_id order],0)),"")</f>
        <v>#N/A</v>
      </c>
      <c r="N443" t="e">
        <f>IF(OR(D443=Lookup!$L$11,D443=Lookup!$L$12),INDEX(views[[1]:[25]],MATCH($E443,views[object_id order],0),G443),"")</f>
        <v>#N/A</v>
      </c>
      <c r="O443" t="str">
        <f t="shared" si="19"/>
        <v/>
      </c>
      <c r="P443" s="8" t="e">
        <f>INDEX(Lookup!$M$5:$M$12,MATCH(D443,Lookup!$L$5:$L$12,0))&amp;
K443&amp;L443&amp;M443&amp;N443&amp;
INDEX(Lookup!$N$5:$N$12,MATCH(D443,Lookup!$L$5:$L$12,0))</f>
        <v>#N/A</v>
      </c>
    </row>
    <row r="444" spans="2:16" x14ac:dyDescent="0.45">
      <c r="B444">
        <f t="shared" si="18"/>
        <v>442</v>
      </c>
      <c r="C444" t="e">
        <f t="shared" si="20"/>
        <v>#N/A</v>
      </c>
      <c r="D444" t="e">
        <f>VLOOKUP(C444,Lookup!$K$5:$L$12,2,FALSE)</f>
        <v>#N/A</v>
      </c>
      <c r="E444" t="e">
        <f>IF(D444=Lookup!$L$5,E443+1,E443)</f>
        <v>#N/A</v>
      </c>
      <c r="F444" s="3" t="e">
        <f>INDEX(views[Entities count],MATCH('view-code'!E444,views[object_id order],0))</f>
        <v>#N/A</v>
      </c>
      <c r="G444" t="e">
        <f>IF(D443=Lookup!$L$10,1,IF(D443=Lookup!$L$11,G443+1,""))</f>
        <v>#N/A</v>
      </c>
      <c r="H444" t="e">
        <f>IF(F444=1,IF(D444=Lookup!$L$10,2,1),IF(G444&lt;F444-1,0,1))</f>
        <v>#N/A</v>
      </c>
      <c r="I444" t="e">
        <f>IF(D444&lt;&gt;Lookup!$L$7,0,IF(INDEX(views[name],MATCH(E444,views[object_id order],0))&lt;&gt;"",0,1))</f>
        <v>#N/A</v>
      </c>
      <c r="J444" t="e">
        <f>IF(D444&lt;&gt;Lookup!$L$7,0,IF(INDEX(views[icon],MATCH(E444,views[object_id order],0))&lt;&gt;"",0,1))</f>
        <v>#N/A</v>
      </c>
      <c r="K444" t="e">
        <f>IF($D444=Lookup!$L$6,INDEX(views[object_id],MATCH($E444,views[object_id order],0)),"")</f>
        <v>#N/A</v>
      </c>
      <c r="L444" t="e">
        <f>IF($D444=Lookup!$L$8,INDEX(views[name],MATCH($E444,views[object_id order],0)),"")</f>
        <v>#N/A</v>
      </c>
      <c r="M444" t="e">
        <f>IF($D444=Lookup!$L$9,INDEX(views[icon],MATCH($E444,views[object_id order],0)),"")</f>
        <v>#N/A</v>
      </c>
      <c r="N444" t="e">
        <f>IF(OR(D444=Lookup!$L$11,D444=Lookup!$L$12),INDEX(views[[1]:[25]],MATCH($E444,views[object_id order],0),G444),"")</f>
        <v>#N/A</v>
      </c>
      <c r="O444" t="str">
        <f t="shared" si="19"/>
        <v/>
      </c>
      <c r="P444" s="8" t="e">
        <f>INDEX(Lookup!$M$5:$M$12,MATCH(D444,Lookup!$L$5:$L$12,0))&amp;
K444&amp;L444&amp;M444&amp;N444&amp;
INDEX(Lookup!$N$5:$N$12,MATCH(D444,Lookup!$L$5:$L$12,0))</f>
        <v>#N/A</v>
      </c>
    </row>
    <row r="445" spans="2:16" x14ac:dyDescent="0.45">
      <c r="B445">
        <f t="shared" si="18"/>
        <v>443</v>
      </c>
      <c r="C445" t="e">
        <f t="shared" si="20"/>
        <v>#N/A</v>
      </c>
      <c r="D445" t="e">
        <f>VLOOKUP(C445,Lookup!$K$5:$L$12,2,FALSE)</f>
        <v>#N/A</v>
      </c>
      <c r="E445" t="e">
        <f>IF(D445=Lookup!$L$5,E444+1,E444)</f>
        <v>#N/A</v>
      </c>
      <c r="F445" s="3" t="e">
        <f>INDEX(views[Entities count],MATCH('view-code'!E445,views[object_id order],0))</f>
        <v>#N/A</v>
      </c>
      <c r="G445" t="e">
        <f>IF(D444=Lookup!$L$10,1,IF(D444=Lookup!$L$11,G444+1,""))</f>
        <v>#N/A</v>
      </c>
      <c r="H445" t="e">
        <f>IF(F445=1,IF(D445=Lookup!$L$10,2,1),IF(G445&lt;F445-1,0,1))</f>
        <v>#N/A</v>
      </c>
      <c r="I445" t="e">
        <f>IF(D445&lt;&gt;Lookup!$L$7,0,IF(INDEX(views[name],MATCH(E445,views[object_id order],0))&lt;&gt;"",0,1))</f>
        <v>#N/A</v>
      </c>
      <c r="J445" t="e">
        <f>IF(D445&lt;&gt;Lookup!$L$7,0,IF(INDEX(views[icon],MATCH(E445,views[object_id order],0))&lt;&gt;"",0,1))</f>
        <v>#N/A</v>
      </c>
      <c r="K445" t="e">
        <f>IF($D445=Lookup!$L$6,INDEX(views[object_id],MATCH($E445,views[object_id order],0)),"")</f>
        <v>#N/A</v>
      </c>
      <c r="L445" t="e">
        <f>IF($D445=Lookup!$L$8,INDEX(views[name],MATCH($E445,views[object_id order],0)),"")</f>
        <v>#N/A</v>
      </c>
      <c r="M445" t="e">
        <f>IF($D445=Lookup!$L$9,INDEX(views[icon],MATCH($E445,views[object_id order],0)),"")</f>
        <v>#N/A</v>
      </c>
      <c r="N445" t="e">
        <f>IF(OR(D445=Lookup!$L$11,D445=Lookup!$L$12),INDEX(views[[1]:[25]],MATCH($E445,views[object_id order],0),G445),"")</f>
        <v>#N/A</v>
      </c>
      <c r="O445" t="str">
        <f t="shared" si="19"/>
        <v/>
      </c>
      <c r="P445" s="8" t="e">
        <f>INDEX(Lookup!$M$5:$M$12,MATCH(D445,Lookup!$L$5:$L$12,0))&amp;
K445&amp;L445&amp;M445&amp;N445&amp;
INDEX(Lookup!$N$5:$N$12,MATCH(D445,Lookup!$L$5:$L$12,0))</f>
        <v>#N/A</v>
      </c>
    </row>
    <row r="446" spans="2:16" x14ac:dyDescent="0.45">
      <c r="B446">
        <f t="shared" si="18"/>
        <v>444</v>
      </c>
      <c r="C446" t="e">
        <f t="shared" si="20"/>
        <v>#N/A</v>
      </c>
      <c r="D446" t="e">
        <f>VLOOKUP(C446,Lookup!$K$5:$L$12,2,FALSE)</f>
        <v>#N/A</v>
      </c>
      <c r="E446" t="e">
        <f>IF(D446=Lookup!$L$5,E445+1,E445)</f>
        <v>#N/A</v>
      </c>
      <c r="F446" s="3" t="e">
        <f>INDEX(views[Entities count],MATCH('view-code'!E446,views[object_id order],0))</f>
        <v>#N/A</v>
      </c>
      <c r="G446" t="e">
        <f>IF(D445=Lookup!$L$10,1,IF(D445=Lookup!$L$11,G445+1,""))</f>
        <v>#N/A</v>
      </c>
      <c r="H446" t="e">
        <f>IF(F446=1,IF(D446=Lookup!$L$10,2,1),IF(G446&lt;F446-1,0,1))</f>
        <v>#N/A</v>
      </c>
      <c r="I446" t="e">
        <f>IF(D446&lt;&gt;Lookup!$L$7,0,IF(INDEX(views[name],MATCH(E446,views[object_id order],0))&lt;&gt;"",0,1))</f>
        <v>#N/A</v>
      </c>
      <c r="J446" t="e">
        <f>IF(D446&lt;&gt;Lookup!$L$7,0,IF(INDEX(views[icon],MATCH(E446,views[object_id order],0))&lt;&gt;"",0,1))</f>
        <v>#N/A</v>
      </c>
      <c r="K446" t="e">
        <f>IF($D446=Lookup!$L$6,INDEX(views[object_id],MATCH($E446,views[object_id order],0)),"")</f>
        <v>#N/A</v>
      </c>
      <c r="L446" t="e">
        <f>IF($D446=Lookup!$L$8,INDEX(views[name],MATCH($E446,views[object_id order],0)),"")</f>
        <v>#N/A</v>
      </c>
      <c r="M446" t="e">
        <f>IF($D446=Lookup!$L$9,INDEX(views[icon],MATCH($E446,views[object_id order],0)),"")</f>
        <v>#N/A</v>
      </c>
      <c r="N446" t="e">
        <f>IF(OR(D446=Lookup!$L$11,D446=Lookup!$L$12),INDEX(views[[1]:[25]],MATCH($E446,views[object_id order],0),G446),"")</f>
        <v>#N/A</v>
      </c>
      <c r="O446" t="str">
        <f t="shared" si="19"/>
        <v/>
      </c>
      <c r="P446" s="8" t="e">
        <f>INDEX(Lookup!$M$5:$M$12,MATCH(D446,Lookup!$L$5:$L$12,0))&amp;
K446&amp;L446&amp;M446&amp;N446&amp;
INDEX(Lookup!$N$5:$N$12,MATCH(D446,Lookup!$L$5:$L$12,0))</f>
        <v>#N/A</v>
      </c>
    </row>
    <row r="447" spans="2:16" x14ac:dyDescent="0.45">
      <c r="B447">
        <f t="shared" si="18"/>
        <v>445</v>
      </c>
      <c r="C447" t="e">
        <f t="shared" si="20"/>
        <v>#N/A</v>
      </c>
      <c r="D447" t="e">
        <f>VLOOKUP(C447,Lookup!$K$5:$L$12,2,FALSE)</f>
        <v>#N/A</v>
      </c>
      <c r="E447" t="e">
        <f>IF(D447=Lookup!$L$5,E446+1,E446)</f>
        <v>#N/A</v>
      </c>
      <c r="F447" s="3" t="e">
        <f>INDEX(views[Entities count],MATCH('view-code'!E447,views[object_id order],0))</f>
        <v>#N/A</v>
      </c>
      <c r="G447" t="e">
        <f>IF(D446=Lookup!$L$10,1,IF(D446=Lookup!$L$11,G446+1,""))</f>
        <v>#N/A</v>
      </c>
      <c r="H447" t="e">
        <f>IF(F447=1,IF(D447=Lookup!$L$10,2,1),IF(G447&lt;F447-1,0,1))</f>
        <v>#N/A</v>
      </c>
      <c r="I447" t="e">
        <f>IF(D447&lt;&gt;Lookup!$L$7,0,IF(INDEX(views[name],MATCH(E447,views[object_id order],0))&lt;&gt;"",0,1))</f>
        <v>#N/A</v>
      </c>
      <c r="J447" t="e">
        <f>IF(D447&lt;&gt;Lookup!$L$7,0,IF(INDEX(views[icon],MATCH(E447,views[object_id order],0))&lt;&gt;"",0,1))</f>
        <v>#N/A</v>
      </c>
      <c r="K447" t="e">
        <f>IF($D447=Lookup!$L$6,INDEX(views[object_id],MATCH($E447,views[object_id order],0)),"")</f>
        <v>#N/A</v>
      </c>
      <c r="L447" t="e">
        <f>IF($D447=Lookup!$L$8,INDEX(views[name],MATCH($E447,views[object_id order],0)),"")</f>
        <v>#N/A</v>
      </c>
      <c r="M447" t="e">
        <f>IF($D447=Lookup!$L$9,INDEX(views[icon],MATCH($E447,views[object_id order],0)),"")</f>
        <v>#N/A</v>
      </c>
      <c r="N447" t="e">
        <f>IF(OR(D447=Lookup!$L$11,D447=Lookup!$L$12),INDEX(views[[1]:[25]],MATCH($E447,views[object_id order],0),G447),"")</f>
        <v>#N/A</v>
      </c>
      <c r="O447" t="str">
        <f t="shared" si="19"/>
        <v/>
      </c>
      <c r="P447" s="8" t="e">
        <f>INDEX(Lookup!$M$5:$M$12,MATCH(D447,Lookup!$L$5:$L$12,0))&amp;
K447&amp;L447&amp;M447&amp;N447&amp;
INDEX(Lookup!$N$5:$N$12,MATCH(D447,Lookup!$L$5:$L$12,0))</f>
        <v>#N/A</v>
      </c>
    </row>
    <row r="448" spans="2:16" x14ac:dyDescent="0.45">
      <c r="B448">
        <f t="shared" si="18"/>
        <v>446</v>
      </c>
      <c r="C448" t="e">
        <f t="shared" si="20"/>
        <v>#N/A</v>
      </c>
      <c r="D448" t="e">
        <f>VLOOKUP(C448,Lookup!$K$5:$L$12,2,FALSE)</f>
        <v>#N/A</v>
      </c>
      <c r="E448" t="e">
        <f>IF(D448=Lookup!$L$5,E447+1,E447)</f>
        <v>#N/A</v>
      </c>
      <c r="F448" s="3" t="e">
        <f>INDEX(views[Entities count],MATCH('view-code'!E448,views[object_id order],0))</f>
        <v>#N/A</v>
      </c>
      <c r="G448" t="e">
        <f>IF(D447=Lookup!$L$10,1,IF(D447=Lookup!$L$11,G447+1,""))</f>
        <v>#N/A</v>
      </c>
      <c r="H448" t="e">
        <f>IF(F448=1,IF(D448=Lookup!$L$10,2,1),IF(G448&lt;F448-1,0,1))</f>
        <v>#N/A</v>
      </c>
      <c r="I448" t="e">
        <f>IF(D448&lt;&gt;Lookup!$L$7,0,IF(INDEX(views[name],MATCH(E448,views[object_id order],0))&lt;&gt;"",0,1))</f>
        <v>#N/A</v>
      </c>
      <c r="J448" t="e">
        <f>IF(D448&lt;&gt;Lookup!$L$7,0,IF(INDEX(views[icon],MATCH(E448,views[object_id order],0))&lt;&gt;"",0,1))</f>
        <v>#N/A</v>
      </c>
      <c r="K448" t="e">
        <f>IF($D448=Lookup!$L$6,INDEX(views[object_id],MATCH($E448,views[object_id order],0)),"")</f>
        <v>#N/A</v>
      </c>
      <c r="L448" t="e">
        <f>IF($D448=Lookup!$L$8,INDEX(views[name],MATCH($E448,views[object_id order],0)),"")</f>
        <v>#N/A</v>
      </c>
      <c r="M448" t="e">
        <f>IF($D448=Lookup!$L$9,INDEX(views[icon],MATCH($E448,views[object_id order],0)),"")</f>
        <v>#N/A</v>
      </c>
      <c r="N448" t="e">
        <f>IF(OR(D448=Lookup!$L$11,D448=Lookup!$L$12),INDEX(views[[1]:[25]],MATCH($E448,views[object_id order],0),G448),"")</f>
        <v>#N/A</v>
      </c>
      <c r="O448" t="str">
        <f t="shared" si="19"/>
        <v/>
      </c>
      <c r="P448" s="8" t="e">
        <f>INDEX(Lookup!$M$5:$M$12,MATCH(D448,Lookup!$L$5:$L$12,0))&amp;
K448&amp;L448&amp;M448&amp;N448&amp;
INDEX(Lookup!$N$5:$N$12,MATCH(D448,Lookup!$L$5:$L$12,0))</f>
        <v>#N/A</v>
      </c>
    </row>
    <row r="449" spans="2:16" x14ac:dyDescent="0.45">
      <c r="B449">
        <f t="shared" si="18"/>
        <v>447</v>
      </c>
      <c r="C449" t="e">
        <f t="shared" si="20"/>
        <v>#N/A</v>
      </c>
      <c r="D449" t="e">
        <f>VLOOKUP(C449,Lookup!$K$5:$L$12,2,FALSE)</f>
        <v>#N/A</v>
      </c>
      <c r="E449" t="e">
        <f>IF(D449=Lookup!$L$5,E448+1,E448)</f>
        <v>#N/A</v>
      </c>
      <c r="F449" s="3" t="e">
        <f>INDEX(views[Entities count],MATCH('view-code'!E449,views[object_id order],0))</f>
        <v>#N/A</v>
      </c>
      <c r="G449" t="e">
        <f>IF(D448=Lookup!$L$10,1,IF(D448=Lookup!$L$11,G448+1,""))</f>
        <v>#N/A</v>
      </c>
      <c r="H449" t="e">
        <f>IF(F449=1,IF(D449=Lookup!$L$10,2,1),IF(G449&lt;F449-1,0,1))</f>
        <v>#N/A</v>
      </c>
      <c r="I449" t="e">
        <f>IF(D449&lt;&gt;Lookup!$L$7,0,IF(INDEX(views[name],MATCH(E449,views[object_id order],0))&lt;&gt;"",0,1))</f>
        <v>#N/A</v>
      </c>
      <c r="J449" t="e">
        <f>IF(D449&lt;&gt;Lookup!$L$7,0,IF(INDEX(views[icon],MATCH(E449,views[object_id order],0))&lt;&gt;"",0,1))</f>
        <v>#N/A</v>
      </c>
      <c r="K449" t="e">
        <f>IF($D449=Lookup!$L$6,INDEX(views[object_id],MATCH($E449,views[object_id order],0)),"")</f>
        <v>#N/A</v>
      </c>
      <c r="L449" t="e">
        <f>IF($D449=Lookup!$L$8,INDEX(views[name],MATCH($E449,views[object_id order],0)),"")</f>
        <v>#N/A</v>
      </c>
      <c r="M449" t="e">
        <f>IF($D449=Lookup!$L$9,INDEX(views[icon],MATCH($E449,views[object_id order],0)),"")</f>
        <v>#N/A</v>
      </c>
      <c r="N449" t="e">
        <f>IF(OR(D449=Lookup!$L$11,D449=Lookup!$L$12),INDEX(views[[1]:[25]],MATCH($E449,views[object_id order],0),G449),"")</f>
        <v>#N/A</v>
      </c>
      <c r="O449" t="str">
        <f t="shared" si="19"/>
        <v/>
      </c>
      <c r="P449" s="8" t="e">
        <f>INDEX(Lookup!$M$5:$M$12,MATCH(D449,Lookup!$L$5:$L$12,0))&amp;
K449&amp;L449&amp;M449&amp;N449&amp;
INDEX(Lookup!$N$5:$N$12,MATCH(D449,Lookup!$L$5:$L$12,0))</f>
        <v>#N/A</v>
      </c>
    </row>
    <row r="450" spans="2:16" x14ac:dyDescent="0.45">
      <c r="B450">
        <f t="shared" si="18"/>
        <v>448</v>
      </c>
      <c r="C450" t="e">
        <f t="shared" si="20"/>
        <v>#N/A</v>
      </c>
      <c r="D450" t="e">
        <f>VLOOKUP(C450,Lookup!$K$5:$L$12,2,FALSE)</f>
        <v>#N/A</v>
      </c>
      <c r="E450" t="e">
        <f>IF(D450=Lookup!$L$5,E449+1,E449)</f>
        <v>#N/A</v>
      </c>
      <c r="F450" s="3" t="e">
        <f>INDEX(views[Entities count],MATCH('view-code'!E450,views[object_id order],0))</f>
        <v>#N/A</v>
      </c>
      <c r="G450" t="e">
        <f>IF(D449=Lookup!$L$10,1,IF(D449=Lookup!$L$11,G449+1,""))</f>
        <v>#N/A</v>
      </c>
      <c r="H450" t="e">
        <f>IF(F450=1,IF(D450=Lookup!$L$10,2,1),IF(G450&lt;F450-1,0,1))</f>
        <v>#N/A</v>
      </c>
      <c r="I450" t="e">
        <f>IF(D450&lt;&gt;Lookup!$L$7,0,IF(INDEX(views[name],MATCH(E450,views[object_id order],0))&lt;&gt;"",0,1))</f>
        <v>#N/A</v>
      </c>
      <c r="J450" t="e">
        <f>IF(D450&lt;&gt;Lookup!$L$7,0,IF(INDEX(views[icon],MATCH(E450,views[object_id order],0))&lt;&gt;"",0,1))</f>
        <v>#N/A</v>
      </c>
      <c r="K450" t="e">
        <f>IF($D450=Lookup!$L$6,INDEX(views[object_id],MATCH($E450,views[object_id order],0)),"")</f>
        <v>#N/A</v>
      </c>
      <c r="L450" t="e">
        <f>IF($D450=Lookup!$L$8,INDEX(views[name],MATCH($E450,views[object_id order],0)),"")</f>
        <v>#N/A</v>
      </c>
      <c r="M450" t="e">
        <f>IF($D450=Lookup!$L$9,INDEX(views[icon],MATCH($E450,views[object_id order],0)),"")</f>
        <v>#N/A</v>
      </c>
      <c r="N450" t="e">
        <f>IF(OR(D450=Lookup!$L$11,D450=Lookup!$L$12),INDEX(views[[1]:[25]],MATCH($E450,views[object_id order],0),G450),"")</f>
        <v>#N/A</v>
      </c>
      <c r="O450" t="str">
        <f t="shared" si="19"/>
        <v/>
      </c>
      <c r="P450" s="8" t="e">
        <f>INDEX(Lookup!$M$5:$M$12,MATCH(D450,Lookup!$L$5:$L$12,0))&amp;
K450&amp;L450&amp;M450&amp;N450&amp;
INDEX(Lookup!$N$5:$N$12,MATCH(D450,Lookup!$L$5:$L$12,0))</f>
        <v>#N/A</v>
      </c>
    </row>
    <row r="451" spans="2:16" x14ac:dyDescent="0.45">
      <c r="B451">
        <f t="shared" si="18"/>
        <v>449</v>
      </c>
      <c r="C451" t="e">
        <f t="shared" si="20"/>
        <v>#N/A</v>
      </c>
      <c r="D451" t="e">
        <f>VLOOKUP(C451,Lookup!$K$5:$L$12,2,FALSE)</f>
        <v>#N/A</v>
      </c>
      <c r="E451" t="e">
        <f>IF(D451=Lookup!$L$5,E450+1,E450)</f>
        <v>#N/A</v>
      </c>
      <c r="F451" s="3" t="e">
        <f>INDEX(views[Entities count],MATCH('view-code'!E451,views[object_id order],0))</f>
        <v>#N/A</v>
      </c>
      <c r="G451" t="e">
        <f>IF(D450=Lookup!$L$10,1,IF(D450=Lookup!$L$11,G450+1,""))</f>
        <v>#N/A</v>
      </c>
      <c r="H451" t="e">
        <f>IF(F451=1,IF(D451=Lookup!$L$10,2,1),IF(G451&lt;F451-1,0,1))</f>
        <v>#N/A</v>
      </c>
      <c r="I451" t="e">
        <f>IF(D451&lt;&gt;Lookup!$L$7,0,IF(INDEX(views[name],MATCH(E451,views[object_id order],0))&lt;&gt;"",0,1))</f>
        <v>#N/A</v>
      </c>
      <c r="J451" t="e">
        <f>IF(D451&lt;&gt;Lookup!$L$7,0,IF(INDEX(views[icon],MATCH(E451,views[object_id order],0))&lt;&gt;"",0,1))</f>
        <v>#N/A</v>
      </c>
      <c r="K451" t="e">
        <f>IF($D451=Lookup!$L$6,INDEX(views[object_id],MATCH($E451,views[object_id order],0)),"")</f>
        <v>#N/A</v>
      </c>
      <c r="L451" t="e">
        <f>IF($D451=Lookup!$L$8,INDEX(views[name],MATCH($E451,views[object_id order],0)),"")</f>
        <v>#N/A</v>
      </c>
      <c r="M451" t="e">
        <f>IF($D451=Lookup!$L$9,INDEX(views[icon],MATCH($E451,views[object_id order],0)),"")</f>
        <v>#N/A</v>
      </c>
      <c r="N451" t="e">
        <f>IF(OR(D451=Lookup!$L$11,D451=Lookup!$L$12),INDEX(views[[1]:[25]],MATCH($E451,views[object_id order],0),G451),"")</f>
        <v>#N/A</v>
      </c>
      <c r="O451" t="str">
        <f t="shared" si="19"/>
        <v/>
      </c>
      <c r="P451" s="8" t="e">
        <f>INDEX(Lookup!$M$5:$M$12,MATCH(D451,Lookup!$L$5:$L$12,0))&amp;
K451&amp;L451&amp;M451&amp;N451&amp;
INDEX(Lookup!$N$5:$N$12,MATCH(D451,Lookup!$L$5:$L$12,0))</f>
        <v>#N/A</v>
      </c>
    </row>
    <row r="452" spans="2:16" x14ac:dyDescent="0.45">
      <c r="B452">
        <f t="shared" si="18"/>
        <v>450</v>
      </c>
      <c r="C452" t="e">
        <f t="shared" si="20"/>
        <v>#N/A</v>
      </c>
      <c r="D452" t="e">
        <f>VLOOKUP(C452,Lookup!$K$5:$L$12,2,FALSE)</f>
        <v>#N/A</v>
      </c>
      <c r="E452" t="e">
        <f>IF(D452=Lookup!$L$5,E451+1,E451)</f>
        <v>#N/A</v>
      </c>
      <c r="F452" s="3" t="e">
        <f>INDEX(views[Entities count],MATCH('view-code'!E452,views[object_id order],0))</f>
        <v>#N/A</v>
      </c>
      <c r="G452" t="e">
        <f>IF(D451=Lookup!$L$10,1,IF(D451=Lookup!$L$11,G451+1,""))</f>
        <v>#N/A</v>
      </c>
      <c r="H452" t="e">
        <f>IF(F452=1,IF(D452=Lookup!$L$10,2,1),IF(G452&lt;F452-1,0,1))</f>
        <v>#N/A</v>
      </c>
      <c r="I452" t="e">
        <f>IF(D452&lt;&gt;Lookup!$L$7,0,IF(INDEX(views[name],MATCH(E452,views[object_id order],0))&lt;&gt;"",0,1))</f>
        <v>#N/A</v>
      </c>
      <c r="J452" t="e">
        <f>IF(D452&lt;&gt;Lookup!$L$7,0,IF(INDEX(views[icon],MATCH(E452,views[object_id order],0))&lt;&gt;"",0,1))</f>
        <v>#N/A</v>
      </c>
      <c r="K452" t="e">
        <f>IF($D452=Lookup!$L$6,INDEX(views[object_id],MATCH($E452,views[object_id order],0)),"")</f>
        <v>#N/A</v>
      </c>
      <c r="L452" t="e">
        <f>IF($D452=Lookup!$L$8,INDEX(views[name],MATCH($E452,views[object_id order],0)),"")</f>
        <v>#N/A</v>
      </c>
      <c r="M452" t="e">
        <f>IF($D452=Lookup!$L$9,INDEX(views[icon],MATCH($E452,views[object_id order],0)),"")</f>
        <v>#N/A</v>
      </c>
      <c r="N452" t="e">
        <f>IF(OR(D452=Lookup!$L$11,D452=Lookup!$L$12),INDEX(views[[1]:[25]],MATCH($E452,views[object_id order],0),G452),"")</f>
        <v>#N/A</v>
      </c>
      <c r="O452" t="str">
        <f t="shared" si="19"/>
        <v/>
      </c>
      <c r="P452" s="8" t="e">
        <f>INDEX(Lookup!$M$5:$M$12,MATCH(D452,Lookup!$L$5:$L$12,0))&amp;
K452&amp;L452&amp;M452&amp;N452&amp;
INDEX(Lookup!$N$5:$N$12,MATCH(D452,Lookup!$L$5:$L$12,0))</f>
        <v>#N/A</v>
      </c>
    </row>
    <row r="453" spans="2:16" x14ac:dyDescent="0.45">
      <c r="B453">
        <f t="shared" ref="B453:B502" si="21">B452+1</f>
        <v>451</v>
      </c>
      <c r="C453" t="e">
        <f t="shared" si="20"/>
        <v>#N/A</v>
      </c>
      <c r="D453" t="e">
        <f>VLOOKUP(C453,Lookup!$K$5:$L$12,2,FALSE)</f>
        <v>#N/A</v>
      </c>
      <c r="E453" t="e">
        <f>IF(D453=Lookup!$L$5,E452+1,E452)</f>
        <v>#N/A</v>
      </c>
      <c r="F453" s="3" t="e">
        <f>INDEX(views[Entities count],MATCH('view-code'!E453,views[object_id order],0))</f>
        <v>#N/A</v>
      </c>
      <c r="G453" t="e">
        <f>IF(D452=Lookup!$L$10,1,IF(D452=Lookup!$L$11,G452+1,""))</f>
        <v>#N/A</v>
      </c>
      <c r="H453" t="e">
        <f>IF(F453=1,IF(D453=Lookup!$L$10,2,1),IF(G453&lt;F453-1,0,1))</f>
        <v>#N/A</v>
      </c>
      <c r="I453" t="e">
        <f>IF(D453&lt;&gt;Lookup!$L$7,0,IF(INDEX(views[name],MATCH(E453,views[object_id order],0))&lt;&gt;"",0,1))</f>
        <v>#N/A</v>
      </c>
      <c r="J453" t="e">
        <f>IF(D453&lt;&gt;Lookup!$L$7,0,IF(INDEX(views[icon],MATCH(E453,views[object_id order],0))&lt;&gt;"",0,1))</f>
        <v>#N/A</v>
      </c>
      <c r="K453" t="e">
        <f>IF($D453=Lookup!$L$6,INDEX(views[object_id],MATCH($E453,views[object_id order],0)),"")</f>
        <v>#N/A</v>
      </c>
      <c r="L453" t="e">
        <f>IF($D453=Lookup!$L$8,INDEX(views[name],MATCH($E453,views[object_id order],0)),"")</f>
        <v>#N/A</v>
      </c>
      <c r="M453" t="e">
        <f>IF($D453=Lookup!$L$9,INDEX(views[icon],MATCH($E453,views[object_id order],0)),"")</f>
        <v>#N/A</v>
      </c>
      <c r="N453" t="e">
        <f>IF(OR(D453=Lookup!$L$11,D453=Lookup!$L$12),INDEX(views[[1]:[25]],MATCH($E453,views[object_id order],0),G453),"")</f>
        <v>#N/A</v>
      </c>
      <c r="O453" t="str">
        <f t="shared" ref="O453:O502" si="22">IF(AND(NOT(ISNA(F452)),ISNA(F453)),"END","")</f>
        <v/>
      </c>
      <c r="P453" s="8" t="e">
        <f>INDEX(Lookup!$M$5:$M$12,MATCH(D453,Lookup!$L$5:$L$12,0))&amp;
K453&amp;L453&amp;M453&amp;N453&amp;
INDEX(Lookup!$N$5:$N$12,MATCH(D453,Lookup!$L$5:$L$12,0))</f>
        <v>#N/A</v>
      </c>
    </row>
    <row r="454" spans="2:16" x14ac:dyDescent="0.45">
      <c r="B454">
        <f t="shared" si="21"/>
        <v>452</v>
      </c>
      <c r="C454" t="e">
        <f t="shared" si="20"/>
        <v>#N/A</v>
      </c>
      <c r="D454" t="e">
        <f>VLOOKUP(C454,Lookup!$K$5:$L$12,2,FALSE)</f>
        <v>#N/A</v>
      </c>
      <c r="E454" t="e">
        <f>IF(D454=Lookup!$L$5,E453+1,E453)</f>
        <v>#N/A</v>
      </c>
      <c r="F454" s="3" t="e">
        <f>INDEX(views[Entities count],MATCH('view-code'!E454,views[object_id order],0))</f>
        <v>#N/A</v>
      </c>
      <c r="G454" t="e">
        <f>IF(D453=Lookup!$L$10,1,IF(D453=Lookup!$L$11,G453+1,""))</f>
        <v>#N/A</v>
      </c>
      <c r="H454" t="e">
        <f>IF(F454=1,IF(D454=Lookup!$L$10,2,1),IF(G454&lt;F454-1,0,1))</f>
        <v>#N/A</v>
      </c>
      <c r="I454" t="e">
        <f>IF(D454&lt;&gt;Lookup!$L$7,0,IF(INDEX(views[name],MATCH(E454,views[object_id order],0))&lt;&gt;"",0,1))</f>
        <v>#N/A</v>
      </c>
      <c r="J454" t="e">
        <f>IF(D454&lt;&gt;Lookup!$L$7,0,IF(INDEX(views[icon],MATCH(E454,views[object_id order],0))&lt;&gt;"",0,1))</f>
        <v>#N/A</v>
      </c>
      <c r="K454" t="e">
        <f>IF($D454=Lookup!$L$6,INDEX(views[object_id],MATCH($E454,views[object_id order],0)),"")</f>
        <v>#N/A</v>
      </c>
      <c r="L454" t="e">
        <f>IF($D454=Lookup!$L$8,INDEX(views[name],MATCH($E454,views[object_id order],0)),"")</f>
        <v>#N/A</v>
      </c>
      <c r="M454" t="e">
        <f>IF($D454=Lookup!$L$9,INDEX(views[icon],MATCH($E454,views[object_id order],0)),"")</f>
        <v>#N/A</v>
      </c>
      <c r="N454" t="e">
        <f>IF(OR(D454=Lookup!$L$11,D454=Lookup!$L$12),INDEX(views[[1]:[25]],MATCH($E454,views[object_id order],0),G454),"")</f>
        <v>#N/A</v>
      </c>
      <c r="O454" t="str">
        <f t="shared" si="22"/>
        <v/>
      </c>
      <c r="P454" s="8" t="e">
        <f>INDEX(Lookup!$M$5:$M$12,MATCH(D454,Lookup!$L$5:$L$12,0))&amp;
K454&amp;L454&amp;M454&amp;N454&amp;
INDEX(Lookup!$N$5:$N$12,MATCH(D454,Lookup!$L$5:$L$12,0))</f>
        <v>#N/A</v>
      </c>
    </row>
    <row r="455" spans="2:16" x14ac:dyDescent="0.45">
      <c r="B455">
        <f t="shared" si="21"/>
        <v>453</v>
      </c>
      <c r="C455" t="e">
        <f t="shared" ref="C455:C502" si="23">IF(C454=8,  1,  C454+SUM(H454:J454)  )</f>
        <v>#N/A</v>
      </c>
      <c r="D455" t="e">
        <f>VLOOKUP(C455,Lookup!$K$5:$L$12,2,FALSE)</f>
        <v>#N/A</v>
      </c>
      <c r="E455" t="e">
        <f>IF(D455=Lookup!$L$5,E454+1,E454)</f>
        <v>#N/A</v>
      </c>
      <c r="F455" s="3" t="e">
        <f>INDEX(views[Entities count],MATCH('view-code'!E455,views[object_id order],0))</f>
        <v>#N/A</v>
      </c>
      <c r="G455" t="e">
        <f>IF(D454=Lookup!$L$10,1,IF(D454=Lookup!$L$11,G454+1,""))</f>
        <v>#N/A</v>
      </c>
      <c r="H455" t="e">
        <f>IF(F455=1,IF(D455=Lookup!$L$10,2,1),IF(G455&lt;F455-1,0,1))</f>
        <v>#N/A</v>
      </c>
      <c r="I455" t="e">
        <f>IF(D455&lt;&gt;Lookup!$L$7,0,IF(INDEX(views[name],MATCH(E455,views[object_id order],0))&lt;&gt;"",0,1))</f>
        <v>#N/A</v>
      </c>
      <c r="J455" t="e">
        <f>IF(D455&lt;&gt;Lookup!$L$7,0,IF(INDEX(views[icon],MATCH(E455,views[object_id order],0))&lt;&gt;"",0,1))</f>
        <v>#N/A</v>
      </c>
      <c r="K455" t="e">
        <f>IF($D455=Lookup!$L$6,INDEX(views[object_id],MATCH($E455,views[object_id order],0)),"")</f>
        <v>#N/A</v>
      </c>
      <c r="L455" t="e">
        <f>IF($D455=Lookup!$L$8,INDEX(views[name],MATCH($E455,views[object_id order],0)),"")</f>
        <v>#N/A</v>
      </c>
      <c r="M455" t="e">
        <f>IF($D455=Lookup!$L$9,INDEX(views[icon],MATCH($E455,views[object_id order],0)),"")</f>
        <v>#N/A</v>
      </c>
      <c r="N455" t="e">
        <f>IF(OR(D455=Lookup!$L$11,D455=Lookup!$L$12),INDEX(views[[1]:[25]],MATCH($E455,views[object_id order],0),G455),"")</f>
        <v>#N/A</v>
      </c>
      <c r="O455" t="str">
        <f t="shared" si="22"/>
        <v/>
      </c>
      <c r="P455" s="8" t="e">
        <f>INDEX(Lookup!$M$5:$M$12,MATCH(D455,Lookup!$L$5:$L$12,0))&amp;
K455&amp;L455&amp;M455&amp;N455&amp;
INDEX(Lookup!$N$5:$N$12,MATCH(D455,Lookup!$L$5:$L$12,0))</f>
        <v>#N/A</v>
      </c>
    </row>
    <row r="456" spans="2:16" x14ac:dyDescent="0.45">
      <c r="B456">
        <f t="shared" si="21"/>
        <v>454</v>
      </c>
      <c r="C456" t="e">
        <f t="shared" si="23"/>
        <v>#N/A</v>
      </c>
      <c r="D456" t="e">
        <f>VLOOKUP(C456,Lookup!$K$5:$L$12,2,FALSE)</f>
        <v>#N/A</v>
      </c>
      <c r="E456" t="e">
        <f>IF(D456=Lookup!$L$5,E455+1,E455)</f>
        <v>#N/A</v>
      </c>
      <c r="F456" s="3" t="e">
        <f>INDEX(views[Entities count],MATCH('view-code'!E456,views[object_id order],0))</f>
        <v>#N/A</v>
      </c>
      <c r="G456" t="e">
        <f>IF(D455=Lookup!$L$10,1,IF(D455=Lookup!$L$11,G455+1,""))</f>
        <v>#N/A</v>
      </c>
      <c r="H456" t="e">
        <f>IF(F456=1,IF(D456=Lookup!$L$10,2,1),IF(G456&lt;F456-1,0,1))</f>
        <v>#N/A</v>
      </c>
      <c r="I456" t="e">
        <f>IF(D456&lt;&gt;Lookup!$L$7,0,IF(INDEX(views[name],MATCH(E456,views[object_id order],0))&lt;&gt;"",0,1))</f>
        <v>#N/A</v>
      </c>
      <c r="J456" t="e">
        <f>IF(D456&lt;&gt;Lookup!$L$7,0,IF(INDEX(views[icon],MATCH(E456,views[object_id order],0))&lt;&gt;"",0,1))</f>
        <v>#N/A</v>
      </c>
      <c r="K456" t="e">
        <f>IF($D456=Lookup!$L$6,INDEX(views[object_id],MATCH($E456,views[object_id order],0)),"")</f>
        <v>#N/A</v>
      </c>
      <c r="L456" t="e">
        <f>IF($D456=Lookup!$L$8,INDEX(views[name],MATCH($E456,views[object_id order],0)),"")</f>
        <v>#N/A</v>
      </c>
      <c r="M456" t="e">
        <f>IF($D456=Lookup!$L$9,INDEX(views[icon],MATCH($E456,views[object_id order],0)),"")</f>
        <v>#N/A</v>
      </c>
      <c r="N456" t="e">
        <f>IF(OR(D456=Lookup!$L$11,D456=Lookup!$L$12),INDEX(views[[1]:[25]],MATCH($E456,views[object_id order],0),G456),"")</f>
        <v>#N/A</v>
      </c>
      <c r="O456" t="str">
        <f t="shared" si="22"/>
        <v/>
      </c>
      <c r="P456" s="8" t="e">
        <f>INDEX(Lookup!$M$5:$M$12,MATCH(D456,Lookup!$L$5:$L$12,0))&amp;
K456&amp;L456&amp;M456&amp;N456&amp;
INDEX(Lookup!$N$5:$N$12,MATCH(D456,Lookup!$L$5:$L$12,0))</f>
        <v>#N/A</v>
      </c>
    </row>
    <row r="457" spans="2:16" x14ac:dyDescent="0.45">
      <c r="B457">
        <f t="shared" si="21"/>
        <v>455</v>
      </c>
      <c r="C457" t="e">
        <f t="shared" si="23"/>
        <v>#N/A</v>
      </c>
      <c r="D457" t="e">
        <f>VLOOKUP(C457,Lookup!$K$5:$L$12,2,FALSE)</f>
        <v>#N/A</v>
      </c>
      <c r="E457" t="e">
        <f>IF(D457=Lookup!$L$5,E456+1,E456)</f>
        <v>#N/A</v>
      </c>
      <c r="F457" s="3" t="e">
        <f>INDEX(views[Entities count],MATCH('view-code'!E457,views[object_id order],0))</f>
        <v>#N/A</v>
      </c>
      <c r="G457" t="e">
        <f>IF(D456=Lookup!$L$10,1,IF(D456=Lookup!$L$11,G456+1,""))</f>
        <v>#N/A</v>
      </c>
      <c r="H457" t="e">
        <f>IF(F457=1,IF(D457=Lookup!$L$10,2,1),IF(G457&lt;F457-1,0,1))</f>
        <v>#N/A</v>
      </c>
      <c r="I457" t="e">
        <f>IF(D457&lt;&gt;Lookup!$L$7,0,IF(INDEX(views[name],MATCH(E457,views[object_id order],0))&lt;&gt;"",0,1))</f>
        <v>#N/A</v>
      </c>
      <c r="J457" t="e">
        <f>IF(D457&lt;&gt;Lookup!$L$7,0,IF(INDEX(views[icon],MATCH(E457,views[object_id order],0))&lt;&gt;"",0,1))</f>
        <v>#N/A</v>
      </c>
      <c r="K457" t="e">
        <f>IF($D457=Lookup!$L$6,INDEX(views[object_id],MATCH($E457,views[object_id order],0)),"")</f>
        <v>#N/A</v>
      </c>
      <c r="L457" t="e">
        <f>IF($D457=Lookup!$L$8,INDEX(views[name],MATCH($E457,views[object_id order],0)),"")</f>
        <v>#N/A</v>
      </c>
      <c r="M457" t="e">
        <f>IF($D457=Lookup!$L$9,INDEX(views[icon],MATCH($E457,views[object_id order],0)),"")</f>
        <v>#N/A</v>
      </c>
      <c r="N457" t="e">
        <f>IF(OR(D457=Lookup!$L$11,D457=Lookup!$L$12),INDEX(views[[1]:[25]],MATCH($E457,views[object_id order],0),G457),"")</f>
        <v>#N/A</v>
      </c>
      <c r="O457" t="str">
        <f t="shared" si="22"/>
        <v/>
      </c>
      <c r="P457" s="8" t="e">
        <f>INDEX(Lookup!$M$5:$M$12,MATCH(D457,Lookup!$L$5:$L$12,0))&amp;
K457&amp;L457&amp;M457&amp;N457&amp;
INDEX(Lookup!$N$5:$N$12,MATCH(D457,Lookup!$L$5:$L$12,0))</f>
        <v>#N/A</v>
      </c>
    </row>
    <row r="458" spans="2:16" x14ac:dyDescent="0.45">
      <c r="B458">
        <f t="shared" si="21"/>
        <v>456</v>
      </c>
      <c r="C458" t="e">
        <f t="shared" si="23"/>
        <v>#N/A</v>
      </c>
      <c r="D458" t="e">
        <f>VLOOKUP(C458,Lookup!$K$5:$L$12,2,FALSE)</f>
        <v>#N/A</v>
      </c>
      <c r="E458" t="e">
        <f>IF(D458=Lookup!$L$5,E457+1,E457)</f>
        <v>#N/A</v>
      </c>
      <c r="F458" s="3" t="e">
        <f>INDEX(views[Entities count],MATCH('view-code'!E458,views[object_id order],0))</f>
        <v>#N/A</v>
      </c>
      <c r="G458" t="e">
        <f>IF(D457=Lookup!$L$10,1,IF(D457=Lookup!$L$11,G457+1,""))</f>
        <v>#N/A</v>
      </c>
      <c r="H458" t="e">
        <f>IF(F458=1,IF(D458=Lookup!$L$10,2,1),IF(G458&lt;F458-1,0,1))</f>
        <v>#N/A</v>
      </c>
      <c r="I458" t="e">
        <f>IF(D458&lt;&gt;Lookup!$L$7,0,IF(INDEX(views[name],MATCH(E458,views[object_id order],0))&lt;&gt;"",0,1))</f>
        <v>#N/A</v>
      </c>
      <c r="J458" t="e">
        <f>IF(D458&lt;&gt;Lookup!$L$7,0,IF(INDEX(views[icon],MATCH(E458,views[object_id order],0))&lt;&gt;"",0,1))</f>
        <v>#N/A</v>
      </c>
      <c r="K458" t="e">
        <f>IF($D458=Lookup!$L$6,INDEX(views[object_id],MATCH($E458,views[object_id order],0)),"")</f>
        <v>#N/A</v>
      </c>
      <c r="L458" t="e">
        <f>IF($D458=Lookup!$L$8,INDEX(views[name],MATCH($E458,views[object_id order],0)),"")</f>
        <v>#N/A</v>
      </c>
      <c r="M458" t="e">
        <f>IF($D458=Lookup!$L$9,INDEX(views[icon],MATCH($E458,views[object_id order],0)),"")</f>
        <v>#N/A</v>
      </c>
      <c r="N458" t="e">
        <f>IF(OR(D458=Lookup!$L$11,D458=Lookup!$L$12),INDEX(views[[1]:[25]],MATCH($E458,views[object_id order],0),G458),"")</f>
        <v>#N/A</v>
      </c>
      <c r="O458" t="str">
        <f t="shared" si="22"/>
        <v/>
      </c>
      <c r="P458" s="8" t="e">
        <f>INDEX(Lookup!$M$5:$M$12,MATCH(D458,Lookup!$L$5:$L$12,0))&amp;
K458&amp;L458&amp;M458&amp;N458&amp;
INDEX(Lookup!$N$5:$N$12,MATCH(D458,Lookup!$L$5:$L$12,0))</f>
        <v>#N/A</v>
      </c>
    </row>
    <row r="459" spans="2:16" x14ac:dyDescent="0.45">
      <c r="B459">
        <f t="shared" si="21"/>
        <v>457</v>
      </c>
      <c r="C459" t="e">
        <f t="shared" si="23"/>
        <v>#N/A</v>
      </c>
      <c r="D459" t="e">
        <f>VLOOKUP(C459,Lookup!$K$5:$L$12,2,FALSE)</f>
        <v>#N/A</v>
      </c>
      <c r="E459" t="e">
        <f>IF(D459=Lookup!$L$5,E458+1,E458)</f>
        <v>#N/A</v>
      </c>
      <c r="F459" s="3" t="e">
        <f>INDEX(views[Entities count],MATCH('view-code'!E459,views[object_id order],0))</f>
        <v>#N/A</v>
      </c>
      <c r="G459" t="e">
        <f>IF(D458=Lookup!$L$10,1,IF(D458=Lookup!$L$11,G458+1,""))</f>
        <v>#N/A</v>
      </c>
      <c r="H459" t="e">
        <f>IF(F459=1,IF(D459=Lookup!$L$10,2,1),IF(G459&lt;F459-1,0,1))</f>
        <v>#N/A</v>
      </c>
      <c r="I459" t="e">
        <f>IF(D459&lt;&gt;Lookup!$L$7,0,IF(INDEX(views[name],MATCH(E459,views[object_id order],0))&lt;&gt;"",0,1))</f>
        <v>#N/A</v>
      </c>
      <c r="J459" t="e">
        <f>IF(D459&lt;&gt;Lookup!$L$7,0,IF(INDEX(views[icon],MATCH(E459,views[object_id order],0))&lt;&gt;"",0,1))</f>
        <v>#N/A</v>
      </c>
      <c r="K459" t="e">
        <f>IF($D459=Lookup!$L$6,INDEX(views[object_id],MATCH($E459,views[object_id order],0)),"")</f>
        <v>#N/A</v>
      </c>
      <c r="L459" t="e">
        <f>IF($D459=Lookup!$L$8,INDEX(views[name],MATCH($E459,views[object_id order],0)),"")</f>
        <v>#N/A</v>
      </c>
      <c r="M459" t="e">
        <f>IF($D459=Lookup!$L$9,INDEX(views[icon],MATCH($E459,views[object_id order],0)),"")</f>
        <v>#N/A</v>
      </c>
      <c r="N459" t="e">
        <f>IF(OR(D459=Lookup!$L$11,D459=Lookup!$L$12),INDEX(views[[1]:[25]],MATCH($E459,views[object_id order],0),G459),"")</f>
        <v>#N/A</v>
      </c>
      <c r="O459" t="str">
        <f t="shared" si="22"/>
        <v/>
      </c>
      <c r="P459" s="8" t="e">
        <f>INDEX(Lookup!$M$5:$M$12,MATCH(D459,Lookup!$L$5:$L$12,0))&amp;
K459&amp;L459&amp;M459&amp;N459&amp;
INDEX(Lookup!$N$5:$N$12,MATCH(D459,Lookup!$L$5:$L$12,0))</f>
        <v>#N/A</v>
      </c>
    </row>
    <row r="460" spans="2:16" x14ac:dyDescent="0.45">
      <c r="B460">
        <f t="shared" si="21"/>
        <v>458</v>
      </c>
      <c r="C460" t="e">
        <f t="shared" si="23"/>
        <v>#N/A</v>
      </c>
      <c r="D460" t="e">
        <f>VLOOKUP(C460,Lookup!$K$5:$L$12,2,FALSE)</f>
        <v>#N/A</v>
      </c>
      <c r="E460" t="e">
        <f>IF(D460=Lookup!$L$5,E459+1,E459)</f>
        <v>#N/A</v>
      </c>
      <c r="F460" s="3" t="e">
        <f>INDEX(views[Entities count],MATCH('view-code'!E460,views[object_id order],0))</f>
        <v>#N/A</v>
      </c>
      <c r="G460" t="e">
        <f>IF(D459=Lookup!$L$10,1,IF(D459=Lookup!$L$11,G459+1,""))</f>
        <v>#N/A</v>
      </c>
      <c r="H460" t="e">
        <f>IF(F460=1,IF(D460=Lookup!$L$10,2,1),IF(G460&lt;F460-1,0,1))</f>
        <v>#N/A</v>
      </c>
      <c r="I460" t="e">
        <f>IF(D460&lt;&gt;Lookup!$L$7,0,IF(INDEX(views[name],MATCH(E460,views[object_id order],0))&lt;&gt;"",0,1))</f>
        <v>#N/A</v>
      </c>
      <c r="J460" t="e">
        <f>IF(D460&lt;&gt;Lookup!$L$7,0,IF(INDEX(views[icon],MATCH(E460,views[object_id order],0))&lt;&gt;"",0,1))</f>
        <v>#N/A</v>
      </c>
      <c r="K460" t="e">
        <f>IF($D460=Lookup!$L$6,INDEX(views[object_id],MATCH($E460,views[object_id order],0)),"")</f>
        <v>#N/A</v>
      </c>
      <c r="L460" t="e">
        <f>IF($D460=Lookup!$L$8,INDEX(views[name],MATCH($E460,views[object_id order],0)),"")</f>
        <v>#N/A</v>
      </c>
      <c r="M460" t="e">
        <f>IF($D460=Lookup!$L$9,INDEX(views[icon],MATCH($E460,views[object_id order],0)),"")</f>
        <v>#N/A</v>
      </c>
      <c r="N460" t="e">
        <f>IF(OR(D460=Lookup!$L$11,D460=Lookup!$L$12),INDEX(views[[1]:[25]],MATCH($E460,views[object_id order],0),G460),"")</f>
        <v>#N/A</v>
      </c>
      <c r="O460" t="str">
        <f t="shared" si="22"/>
        <v/>
      </c>
      <c r="P460" s="8" t="e">
        <f>INDEX(Lookup!$M$5:$M$12,MATCH(D460,Lookup!$L$5:$L$12,0))&amp;
K460&amp;L460&amp;M460&amp;N460&amp;
INDEX(Lookup!$N$5:$N$12,MATCH(D460,Lookup!$L$5:$L$12,0))</f>
        <v>#N/A</v>
      </c>
    </row>
    <row r="461" spans="2:16" x14ac:dyDescent="0.45">
      <c r="B461">
        <f t="shared" si="21"/>
        <v>459</v>
      </c>
      <c r="C461" t="e">
        <f t="shared" si="23"/>
        <v>#N/A</v>
      </c>
      <c r="D461" t="e">
        <f>VLOOKUP(C461,Lookup!$K$5:$L$12,2,FALSE)</f>
        <v>#N/A</v>
      </c>
      <c r="E461" t="e">
        <f>IF(D461=Lookup!$L$5,E460+1,E460)</f>
        <v>#N/A</v>
      </c>
      <c r="F461" s="3" t="e">
        <f>INDEX(views[Entities count],MATCH('view-code'!E461,views[object_id order],0))</f>
        <v>#N/A</v>
      </c>
      <c r="G461" t="e">
        <f>IF(D460=Lookup!$L$10,1,IF(D460=Lookup!$L$11,G460+1,""))</f>
        <v>#N/A</v>
      </c>
      <c r="H461" t="e">
        <f>IF(F461=1,IF(D461=Lookup!$L$10,2,1),IF(G461&lt;F461-1,0,1))</f>
        <v>#N/A</v>
      </c>
      <c r="I461" t="e">
        <f>IF(D461&lt;&gt;Lookup!$L$7,0,IF(INDEX(views[name],MATCH(E461,views[object_id order],0))&lt;&gt;"",0,1))</f>
        <v>#N/A</v>
      </c>
      <c r="J461" t="e">
        <f>IF(D461&lt;&gt;Lookup!$L$7,0,IF(INDEX(views[icon],MATCH(E461,views[object_id order],0))&lt;&gt;"",0,1))</f>
        <v>#N/A</v>
      </c>
      <c r="K461" t="e">
        <f>IF($D461=Lookup!$L$6,INDEX(views[object_id],MATCH($E461,views[object_id order],0)),"")</f>
        <v>#N/A</v>
      </c>
      <c r="L461" t="e">
        <f>IF($D461=Lookup!$L$8,INDEX(views[name],MATCH($E461,views[object_id order],0)),"")</f>
        <v>#N/A</v>
      </c>
      <c r="M461" t="e">
        <f>IF($D461=Lookup!$L$9,INDEX(views[icon],MATCH($E461,views[object_id order],0)),"")</f>
        <v>#N/A</v>
      </c>
      <c r="N461" t="e">
        <f>IF(OR(D461=Lookup!$L$11,D461=Lookup!$L$12),INDEX(views[[1]:[25]],MATCH($E461,views[object_id order],0),G461),"")</f>
        <v>#N/A</v>
      </c>
      <c r="O461" t="str">
        <f t="shared" si="22"/>
        <v/>
      </c>
      <c r="P461" s="8" t="e">
        <f>INDEX(Lookup!$M$5:$M$12,MATCH(D461,Lookup!$L$5:$L$12,0))&amp;
K461&amp;L461&amp;M461&amp;N461&amp;
INDEX(Lookup!$N$5:$N$12,MATCH(D461,Lookup!$L$5:$L$12,0))</f>
        <v>#N/A</v>
      </c>
    </row>
    <row r="462" spans="2:16" x14ac:dyDescent="0.45">
      <c r="B462">
        <f t="shared" si="21"/>
        <v>460</v>
      </c>
      <c r="C462" t="e">
        <f t="shared" si="23"/>
        <v>#N/A</v>
      </c>
      <c r="D462" t="e">
        <f>VLOOKUP(C462,Lookup!$K$5:$L$12,2,FALSE)</f>
        <v>#N/A</v>
      </c>
      <c r="E462" t="e">
        <f>IF(D462=Lookup!$L$5,E461+1,E461)</f>
        <v>#N/A</v>
      </c>
      <c r="F462" s="3" t="e">
        <f>INDEX(views[Entities count],MATCH('view-code'!E462,views[object_id order],0))</f>
        <v>#N/A</v>
      </c>
      <c r="G462" t="e">
        <f>IF(D461=Lookup!$L$10,1,IF(D461=Lookup!$L$11,G461+1,""))</f>
        <v>#N/A</v>
      </c>
      <c r="H462" t="e">
        <f>IF(F462=1,IF(D462=Lookup!$L$10,2,1),IF(G462&lt;F462-1,0,1))</f>
        <v>#N/A</v>
      </c>
      <c r="I462" t="e">
        <f>IF(D462&lt;&gt;Lookup!$L$7,0,IF(INDEX(views[name],MATCH(E462,views[object_id order],0))&lt;&gt;"",0,1))</f>
        <v>#N/A</v>
      </c>
      <c r="J462" t="e">
        <f>IF(D462&lt;&gt;Lookup!$L$7,0,IF(INDEX(views[icon],MATCH(E462,views[object_id order],0))&lt;&gt;"",0,1))</f>
        <v>#N/A</v>
      </c>
      <c r="K462" t="e">
        <f>IF($D462=Lookup!$L$6,INDEX(views[object_id],MATCH($E462,views[object_id order],0)),"")</f>
        <v>#N/A</v>
      </c>
      <c r="L462" t="e">
        <f>IF($D462=Lookup!$L$8,INDEX(views[name],MATCH($E462,views[object_id order],0)),"")</f>
        <v>#N/A</v>
      </c>
      <c r="M462" t="e">
        <f>IF($D462=Lookup!$L$9,INDEX(views[icon],MATCH($E462,views[object_id order],0)),"")</f>
        <v>#N/A</v>
      </c>
      <c r="N462" t="e">
        <f>IF(OR(D462=Lookup!$L$11,D462=Lookup!$L$12),INDEX(views[[1]:[25]],MATCH($E462,views[object_id order],0),G462),"")</f>
        <v>#N/A</v>
      </c>
      <c r="O462" t="str">
        <f t="shared" si="22"/>
        <v/>
      </c>
      <c r="P462" s="8" t="e">
        <f>INDEX(Lookup!$M$5:$M$12,MATCH(D462,Lookup!$L$5:$L$12,0))&amp;
K462&amp;L462&amp;M462&amp;N462&amp;
INDEX(Lookup!$N$5:$N$12,MATCH(D462,Lookup!$L$5:$L$12,0))</f>
        <v>#N/A</v>
      </c>
    </row>
    <row r="463" spans="2:16" x14ac:dyDescent="0.45">
      <c r="B463">
        <f t="shared" si="21"/>
        <v>461</v>
      </c>
      <c r="C463" t="e">
        <f t="shared" si="23"/>
        <v>#N/A</v>
      </c>
      <c r="D463" t="e">
        <f>VLOOKUP(C463,Lookup!$K$5:$L$12,2,FALSE)</f>
        <v>#N/A</v>
      </c>
      <c r="E463" t="e">
        <f>IF(D463=Lookup!$L$5,E462+1,E462)</f>
        <v>#N/A</v>
      </c>
      <c r="F463" s="3" t="e">
        <f>INDEX(views[Entities count],MATCH('view-code'!E463,views[object_id order],0))</f>
        <v>#N/A</v>
      </c>
      <c r="G463" t="e">
        <f>IF(D462=Lookup!$L$10,1,IF(D462=Lookup!$L$11,G462+1,""))</f>
        <v>#N/A</v>
      </c>
      <c r="H463" t="e">
        <f>IF(F463=1,IF(D463=Lookup!$L$10,2,1),IF(G463&lt;F463-1,0,1))</f>
        <v>#N/A</v>
      </c>
      <c r="I463" t="e">
        <f>IF(D463&lt;&gt;Lookup!$L$7,0,IF(INDEX(views[name],MATCH(E463,views[object_id order],0))&lt;&gt;"",0,1))</f>
        <v>#N/A</v>
      </c>
      <c r="J463" t="e">
        <f>IF(D463&lt;&gt;Lookup!$L$7,0,IF(INDEX(views[icon],MATCH(E463,views[object_id order],0))&lt;&gt;"",0,1))</f>
        <v>#N/A</v>
      </c>
      <c r="K463" t="e">
        <f>IF($D463=Lookup!$L$6,INDEX(views[object_id],MATCH($E463,views[object_id order],0)),"")</f>
        <v>#N/A</v>
      </c>
      <c r="L463" t="e">
        <f>IF($D463=Lookup!$L$8,INDEX(views[name],MATCH($E463,views[object_id order],0)),"")</f>
        <v>#N/A</v>
      </c>
      <c r="M463" t="e">
        <f>IF($D463=Lookup!$L$9,INDEX(views[icon],MATCH($E463,views[object_id order],0)),"")</f>
        <v>#N/A</v>
      </c>
      <c r="N463" t="e">
        <f>IF(OR(D463=Lookup!$L$11,D463=Lookup!$L$12),INDEX(views[[1]:[25]],MATCH($E463,views[object_id order],0),G463),"")</f>
        <v>#N/A</v>
      </c>
      <c r="O463" t="str">
        <f t="shared" si="22"/>
        <v/>
      </c>
      <c r="P463" s="8" t="e">
        <f>INDEX(Lookup!$M$5:$M$12,MATCH(D463,Lookup!$L$5:$L$12,0))&amp;
K463&amp;L463&amp;M463&amp;N463&amp;
INDEX(Lookup!$N$5:$N$12,MATCH(D463,Lookup!$L$5:$L$12,0))</f>
        <v>#N/A</v>
      </c>
    </row>
    <row r="464" spans="2:16" x14ac:dyDescent="0.45">
      <c r="B464">
        <f t="shared" si="21"/>
        <v>462</v>
      </c>
      <c r="C464" t="e">
        <f t="shared" si="23"/>
        <v>#N/A</v>
      </c>
      <c r="D464" t="e">
        <f>VLOOKUP(C464,Lookup!$K$5:$L$12,2,FALSE)</f>
        <v>#N/A</v>
      </c>
      <c r="E464" t="e">
        <f>IF(D464=Lookup!$L$5,E463+1,E463)</f>
        <v>#N/A</v>
      </c>
      <c r="F464" s="3" t="e">
        <f>INDEX(views[Entities count],MATCH('view-code'!E464,views[object_id order],0))</f>
        <v>#N/A</v>
      </c>
      <c r="G464" t="e">
        <f>IF(D463=Lookup!$L$10,1,IF(D463=Lookup!$L$11,G463+1,""))</f>
        <v>#N/A</v>
      </c>
      <c r="H464" t="e">
        <f>IF(F464=1,IF(D464=Lookup!$L$10,2,1),IF(G464&lt;F464-1,0,1))</f>
        <v>#N/A</v>
      </c>
      <c r="I464" t="e">
        <f>IF(D464&lt;&gt;Lookup!$L$7,0,IF(INDEX(views[name],MATCH(E464,views[object_id order],0))&lt;&gt;"",0,1))</f>
        <v>#N/A</v>
      </c>
      <c r="J464" t="e">
        <f>IF(D464&lt;&gt;Lookup!$L$7,0,IF(INDEX(views[icon],MATCH(E464,views[object_id order],0))&lt;&gt;"",0,1))</f>
        <v>#N/A</v>
      </c>
      <c r="K464" t="e">
        <f>IF($D464=Lookup!$L$6,INDEX(views[object_id],MATCH($E464,views[object_id order],0)),"")</f>
        <v>#N/A</v>
      </c>
      <c r="L464" t="e">
        <f>IF($D464=Lookup!$L$8,INDEX(views[name],MATCH($E464,views[object_id order],0)),"")</f>
        <v>#N/A</v>
      </c>
      <c r="M464" t="e">
        <f>IF($D464=Lookup!$L$9,INDEX(views[icon],MATCH($E464,views[object_id order],0)),"")</f>
        <v>#N/A</v>
      </c>
      <c r="N464" t="e">
        <f>IF(OR(D464=Lookup!$L$11,D464=Lookup!$L$12),INDEX(views[[1]:[25]],MATCH($E464,views[object_id order],0),G464),"")</f>
        <v>#N/A</v>
      </c>
      <c r="O464" t="str">
        <f t="shared" si="22"/>
        <v/>
      </c>
      <c r="P464" s="8" t="e">
        <f>INDEX(Lookup!$M$5:$M$12,MATCH(D464,Lookup!$L$5:$L$12,0))&amp;
K464&amp;L464&amp;M464&amp;N464&amp;
INDEX(Lookup!$N$5:$N$12,MATCH(D464,Lookup!$L$5:$L$12,0))</f>
        <v>#N/A</v>
      </c>
    </row>
    <row r="465" spans="2:16" x14ac:dyDescent="0.45">
      <c r="B465">
        <f t="shared" si="21"/>
        <v>463</v>
      </c>
      <c r="C465" t="e">
        <f t="shared" si="23"/>
        <v>#N/A</v>
      </c>
      <c r="D465" t="e">
        <f>VLOOKUP(C465,Lookup!$K$5:$L$12,2,FALSE)</f>
        <v>#N/A</v>
      </c>
      <c r="E465" t="e">
        <f>IF(D465=Lookup!$L$5,E464+1,E464)</f>
        <v>#N/A</v>
      </c>
      <c r="F465" s="3" t="e">
        <f>INDEX(views[Entities count],MATCH('view-code'!E465,views[object_id order],0))</f>
        <v>#N/A</v>
      </c>
      <c r="G465" t="e">
        <f>IF(D464=Lookup!$L$10,1,IF(D464=Lookup!$L$11,G464+1,""))</f>
        <v>#N/A</v>
      </c>
      <c r="H465" t="e">
        <f>IF(F465=1,IF(D465=Lookup!$L$10,2,1),IF(G465&lt;F465-1,0,1))</f>
        <v>#N/A</v>
      </c>
      <c r="I465" t="e">
        <f>IF(D465&lt;&gt;Lookup!$L$7,0,IF(INDEX(views[name],MATCH(E465,views[object_id order],0))&lt;&gt;"",0,1))</f>
        <v>#N/A</v>
      </c>
      <c r="J465" t="e">
        <f>IF(D465&lt;&gt;Lookup!$L$7,0,IF(INDEX(views[icon],MATCH(E465,views[object_id order],0))&lt;&gt;"",0,1))</f>
        <v>#N/A</v>
      </c>
      <c r="K465" t="e">
        <f>IF($D465=Lookup!$L$6,INDEX(views[object_id],MATCH($E465,views[object_id order],0)),"")</f>
        <v>#N/A</v>
      </c>
      <c r="L465" t="e">
        <f>IF($D465=Lookup!$L$8,INDEX(views[name],MATCH($E465,views[object_id order],0)),"")</f>
        <v>#N/A</v>
      </c>
      <c r="M465" t="e">
        <f>IF($D465=Lookup!$L$9,INDEX(views[icon],MATCH($E465,views[object_id order],0)),"")</f>
        <v>#N/A</v>
      </c>
      <c r="N465" t="e">
        <f>IF(OR(D465=Lookup!$L$11,D465=Lookup!$L$12),INDEX(views[[1]:[25]],MATCH($E465,views[object_id order],0),G465),"")</f>
        <v>#N/A</v>
      </c>
      <c r="O465" t="str">
        <f t="shared" si="22"/>
        <v/>
      </c>
      <c r="P465" s="8" t="e">
        <f>INDEX(Lookup!$M$5:$M$12,MATCH(D465,Lookup!$L$5:$L$12,0))&amp;
K465&amp;L465&amp;M465&amp;N465&amp;
INDEX(Lookup!$N$5:$N$12,MATCH(D465,Lookup!$L$5:$L$12,0))</f>
        <v>#N/A</v>
      </c>
    </row>
    <row r="466" spans="2:16" x14ac:dyDescent="0.45">
      <c r="B466">
        <f t="shared" si="21"/>
        <v>464</v>
      </c>
      <c r="C466" t="e">
        <f t="shared" si="23"/>
        <v>#N/A</v>
      </c>
      <c r="D466" t="e">
        <f>VLOOKUP(C466,Lookup!$K$5:$L$12,2,FALSE)</f>
        <v>#N/A</v>
      </c>
      <c r="E466" t="e">
        <f>IF(D466=Lookup!$L$5,E465+1,E465)</f>
        <v>#N/A</v>
      </c>
      <c r="F466" s="3" t="e">
        <f>INDEX(views[Entities count],MATCH('view-code'!E466,views[object_id order],0))</f>
        <v>#N/A</v>
      </c>
      <c r="G466" t="e">
        <f>IF(D465=Lookup!$L$10,1,IF(D465=Lookup!$L$11,G465+1,""))</f>
        <v>#N/A</v>
      </c>
      <c r="H466" t="e">
        <f>IF(F466=1,IF(D466=Lookup!$L$10,2,1),IF(G466&lt;F466-1,0,1))</f>
        <v>#N/A</v>
      </c>
      <c r="I466" t="e">
        <f>IF(D466&lt;&gt;Lookup!$L$7,0,IF(INDEX(views[name],MATCH(E466,views[object_id order],0))&lt;&gt;"",0,1))</f>
        <v>#N/A</v>
      </c>
      <c r="J466" t="e">
        <f>IF(D466&lt;&gt;Lookup!$L$7,0,IF(INDEX(views[icon],MATCH(E466,views[object_id order],0))&lt;&gt;"",0,1))</f>
        <v>#N/A</v>
      </c>
      <c r="K466" t="e">
        <f>IF($D466=Lookup!$L$6,INDEX(views[object_id],MATCH($E466,views[object_id order],0)),"")</f>
        <v>#N/A</v>
      </c>
      <c r="L466" t="e">
        <f>IF($D466=Lookup!$L$8,INDEX(views[name],MATCH($E466,views[object_id order],0)),"")</f>
        <v>#N/A</v>
      </c>
      <c r="M466" t="e">
        <f>IF($D466=Lookup!$L$9,INDEX(views[icon],MATCH($E466,views[object_id order],0)),"")</f>
        <v>#N/A</v>
      </c>
      <c r="N466" t="e">
        <f>IF(OR(D466=Lookup!$L$11,D466=Lookup!$L$12),INDEX(views[[1]:[25]],MATCH($E466,views[object_id order],0),G466),"")</f>
        <v>#N/A</v>
      </c>
      <c r="O466" t="str">
        <f t="shared" si="22"/>
        <v/>
      </c>
      <c r="P466" s="8" t="e">
        <f>INDEX(Lookup!$M$5:$M$12,MATCH(D466,Lookup!$L$5:$L$12,0))&amp;
K466&amp;L466&amp;M466&amp;N466&amp;
INDEX(Lookup!$N$5:$N$12,MATCH(D466,Lookup!$L$5:$L$12,0))</f>
        <v>#N/A</v>
      </c>
    </row>
    <row r="467" spans="2:16" x14ac:dyDescent="0.45">
      <c r="B467">
        <f t="shared" si="21"/>
        <v>465</v>
      </c>
      <c r="C467" t="e">
        <f t="shared" si="23"/>
        <v>#N/A</v>
      </c>
      <c r="D467" t="e">
        <f>VLOOKUP(C467,Lookup!$K$5:$L$12,2,FALSE)</f>
        <v>#N/A</v>
      </c>
      <c r="E467" t="e">
        <f>IF(D467=Lookup!$L$5,E466+1,E466)</f>
        <v>#N/A</v>
      </c>
      <c r="F467" s="3" t="e">
        <f>INDEX(views[Entities count],MATCH('view-code'!E467,views[object_id order],0))</f>
        <v>#N/A</v>
      </c>
      <c r="G467" t="e">
        <f>IF(D466=Lookup!$L$10,1,IF(D466=Lookup!$L$11,G466+1,""))</f>
        <v>#N/A</v>
      </c>
      <c r="H467" t="e">
        <f>IF(F467=1,IF(D467=Lookup!$L$10,2,1),IF(G467&lt;F467-1,0,1))</f>
        <v>#N/A</v>
      </c>
      <c r="I467" t="e">
        <f>IF(D467&lt;&gt;Lookup!$L$7,0,IF(INDEX(views[name],MATCH(E467,views[object_id order],0))&lt;&gt;"",0,1))</f>
        <v>#N/A</v>
      </c>
      <c r="J467" t="e">
        <f>IF(D467&lt;&gt;Lookup!$L$7,0,IF(INDEX(views[icon],MATCH(E467,views[object_id order],0))&lt;&gt;"",0,1))</f>
        <v>#N/A</v>
      </c>
      <c r="K467" t="e">
        <f>IF($D467=Lookup!$L$6,INDEX(views[object_id],MATCH($E467,views[object_id order],0)),"")</f>
        <v>#N/A</v>
      </c>
      <c r="L467" t="e">
        <f>IF($D467=Lookup!$L$8,INDEX(views[name],MATCH($E467,views[object_id order],0)),"")</f>
        <v>#N/A</v>
      </c>
      <c r="M467" t="e">
        <f>IF($D467=Lookup!$L$9,INDEX(views[icon],MATCH($E467,views[object_id order],0)),"")</f>
        <v>#N/A</v>
      </c>
      <c r="N467" t="e">
        <f>IF(OR(D467=Lookup!$L$11,D467=Lookup!$L$12),INDEX(views[[1]:[25]],MATCH($E467,views[object_id order],0),G467),"")</f>
        <v>#N/A</v>
      </c>
      <c r="O467" t="str">
        <f t="shared" si="22"/>
        <v/>
      </c>
      <c r="P467" s="8" t="e">
        <f>INDEX(Lookup!$M$5:$M$12,MATCH(D467,Lookup!$L$5:$L$12,0))&amp;
K467&amp;L467&amp;M467&amp;N467&amp;
INDEX(Lookup!$N$5:$N$12,MATCH(D467,Lookup!$L$5:$L$12,0))</f>
        <v>#N/A</v>
      </c>
    </row>
    <row r="468" spans="2:16" x14ac:dyDescent="0.45">
      <c r="B468">
        <f t="shared" si="21"/>
        <v>466</v>
      </c>
      <c r="C468" t="e">
        <f t="shared" si="23"/>
        <v>#N/A</v>
      </c>
      <c r="D468" t="e">
        <f>VLOOKUP(C468,Lookup!$K$5:$L$12,2,FALSE)</f>
        <v>#N/A</v>
      </c>
      <c r="E468" t="e">
        <f>IF(D468=Lookup!$L$5,E467+1,E467)</f>
        <v>#N/A</v>
      </c>
      <c r="F468" s="3" t="e">
        <f>INDEX(views[Entities count],MATCH('view-code'!E468,views[object_id order],0))</f>
        <v>#N/A</v>
      </c>
      <c r="G468" t="e">
        <f>IF(D467=Lookup!$L$10,1,IF(D467=Lookup!$L$11,G467+1,""))</f>
        <v>#N/A</v>
      </c>
      <c r="H468" t="e">
        <f>IF(F468=1,IF(D468=Lookup!$L$10,2,1),IF(G468&lt;F468-1,0,1))</f>
        <v>#N/A</v>
      </c>
      <c r="I468" t="e">
        <f>IF(D468&lt;&gt;Lookup!$L$7,0,IF(INDEX(views[name],MATCH(E468,views[object_id order],0))&lt;&gt;"",0,1))</f>
        <v>#N/A</v>
      </c>
      <c r="J468" t="e">
        <f>IF(D468&lt;&gt;Lookup!$L$7,0,IF(INDEX(views[icon],MATCH(E468,views[object_id order],0))&lt;&gt;"",0,1))</f>
        <v>#N/A</v>
      </c>
      <c r="K468" t="e">
        <f>IF($D468=Lookup!$L$6,INDEX(views[object_id],MATCH($E468,views[object_id order],0)),"")</f>
        <v>#N/A</v>
      </c>
      <c r="L468" t="e">
        <f>IF($D468=Lookup!$L$8,INDEX(views[name],MATCH($E468,views[object_id order],0)),"")</f>
        <v>#N/A</v>
      </c>
      <c r="M468" t="e">
        <f>IF($D468=Lookup!$L$9,INDEX(views[icon],MATCH($E468,views[object_id order],0)),"")</f>
        <v>#N/A</v>
      </c>
      <c r="N468" t="e">
        <f>IF(OR(D468=Lookup!$L$11,D468=Lookup!$L$12),INDEX(views[[1]:[25]],MATCH($E468,views[object_id order],0),G468),"")</f>
        <v>#N/A</v>
      </c>
      <c r="O468" t="str">
        <f t="shared" si="22"/>
        <v/>
      </c>
      <c r="P468" s="8" t="e">
        <f>INDEX(Lookup!$M$5:$M$12,MATCH(D468,Lookup!$L$5:$L$12,0))&amp;
K468&amp;L468&amp;M468&amp;N468&amp;
INDEX(Lookup!$N$5:$N$12,MATCH(D468,Lookup!$L$5:$L$12,0))</f>
        <v>#N/A</v>
      </c>
    </row>
    <row r="469" spans="2:16" x14ac:dyDescent="0.45">
      <c r="B469">
        <f t="shared" si="21"/>
        <v>467</v>
      </c>
      <c r="C469" t="e">
        <f t="shared" si="23"/>
        <v>#N/A</v>
      </c>
      <c r="D469" t="e">
        <f>VLOOKUP(C469,Lookup!$K$5:$L$12,2,FALSE)</f>
        <v>#N/A</v>
      </c>
      <c r="E469" t="e">
        <f>IF(D469=Lookup!$L$5,E468+1,E468)</f>
        <v>#N/A</v>
      </c>
      <c r="F469" s="3" t="e">
        <f>INDEX(views[Entities count],MATCH('view-code'!E469,views[object_id order],0))</f>
        <v>#N/A</v>
      </c>
      <c r="G469" t="e">
        <f>IF(D468=Lookup!$L$10,1,IF(D468=Lookup!$L$11,G468+1,""))</f>
        <v>#N/A</v>
      </c>
      <c r="H469" t="e">
        <f>IF(F469=1,IF(D469=Lookup!$L$10,2,1),IF(G469&lt;F469-1,0,1))</f>
        <v>#N/A</v>
      </c>
      <c r="I469" t="e">
        <f>IF(D469&lt;&gt;Lookup!$L$7,0,IF(INDEX(views[name],MATCH(E469,views[object_id order],0))&lt;&gt;"",0,1))</f>
        <v>#N/A</v>
      </c>
      <c r="J469" t="e">
        <f>IF(D469&lt;&gt;Lookup!$L$7,0,IF(INDEX(views[icon],MATCH(E469,views[object_id order],0))&lt;&gt;"",0,1))</f>
        <v>#N/A</v>
      </c>
      <c r="K469" t="e">
        <f>IF($D469=Lookup!$L$6,INDEX(views[object_id],MATCH($E469,views[object_id order],0)),"")</f>
        <v>#N/A</v>
      </c>
      <c r="L469" t="e">
        <f>IF($D469=Lookup!$L$8,INDEX(views[name],MATCH($E469,views[object_id order],0)),"")</f>
        <v>#N/A</v>
      </c>
      <c r="M469" t="e">
        <f>IF($D469=Lookup!$L$9,INDEX(views[icon],MATCH($E469,views[object_id order],0)),"")</f>
        <v>#N/A</v>
      </c>
      <c r="N469" t="e">
        <f>IF(OR(D469=Lookup!$L$11,D469=Lookup!$L$12),INDEX(views[[1]:[25]],MATCH($E469,views[object_id order],0),G469),"")</f>
        <v>#N/A</v>
      </c>
      <c r="O469" t="str">
        <f t="shared" si="22"/>
        <v/>
      </c>
      <c r="P469" s="8" t="e">
        <f>INDEX(Lookup!$M$5:$M$12,MATCH(D469,Lookup!$L$5:$L$12,0))&amp;
K469&amp;L469&amp;M469&amp;N469&amp;
INDEX(Lookup!$N$5:$N$12,MATCH(D469,Lookup!$L$5:$L$12,0))</f>
        <v>#N/A</v>
      </c>
    </row>
    <row r="470" spans="2:16" x14ac:dyDescent="0.45">
      <c r="B470">
        <f t="shared" si="21"/>
        <v>468</v>
      </c>
      <c r="C470" t="e">
        <f t="shared" si="23"/>
        <v>#N/A</v>
      </c>
      <c r="D470" t="e">
        <f>VLOOKUP(C470,Lookup!$K$5:$L$12,2,FALSE)</f>
        <v>#N/A</v>
      </c>
      <c r="E470" t="e">
        <f>IF(D470=Lookup!$L$5,E469+1,E469)</f>
        <v>#N/A</v>
      </c>
      <c r="F470" s="3" t="e">
        <f>INDEX(views[Entities count],MATCH('view-code'!E470,views[object_id order],0))</f>
        <v>#N/A</v>
      </c>
      <c r="G470" t="e">
        <f>IF(D469=Lookup!$L$10,1,IF(D469=Lookup!$L$11,G469+1,""))</f>
        <v>#N/A</v>
      </c>
      <c r="H470" t="e">
        <f>IF(F470=1,IF(D470=Lookup!$L$10,2,1),IF(G470&lt;F470-1,0,1))</f>
        <v>#N/A</v>
      </c>
      <c r="I470" t="e">
        <f>IF(D470&lt;&gt;Lookup!$L$7,0,IF(INDEX(views[name],MATCH(E470,views[object_id order],0))&lt;&gt;"",0,1))</f>
        <v>#N/A</v>
      </c>
      <c r="J470" t="e">
        <f>IF(D470&lt;&gt;Lookup!$L$7,0,IF(INDEX(views[icon],MATCH(E470,views[object_id order],0))&lt;&gt;"",0,1))</f>
        <v>#N/A</v>
      </c>
      <c r="K470" t="e">
        <f>IF($D470=Lookup!$L$6,INDEX(views[object_id],MATCH($E470,views[object_id order],0)),"")</f>
        <v>#N/A</v>
      </c>
      <c r="L470" t="e">
        <f>IF($D470=Lookup!$L$8,INDEX(views[name],MATCH($E470,views[object_id order],0)),"")</f>
        <v>#N/A</v>
      </c>
      <c r="M470" t="e">
        <f>IF($D470=Lookup!$L$9,INDEX(views[icon],MATCH($E470,views[object_id order],0)),"")</f>
        <v>#N/A</v>
      </c>
      <c r="N470" t="e">
        <f>IF(OR(D470=Lookup!$L$11,D470=Lookup!$L$12),INDEX(views[[1]:[25]],MATCH($E470,views[object_id order],0),G470),"")</f>
        <v>#N/A</v>
      </c>
      <c r="O470" t="str">
        <f t="shared" si="22"/>
        <v/>
      </c>
      <c r="P470" s="8" t="e">
        <f>INDEX(Lookup!$M$5:$M$12,MATCH(D470,Lookup!$L$5:$L$12,0))&amp;
K470&amp;L470&amp;M470&amp;N470&amp;
INDEX(Lookup!$N$5:$N$12,MATCH(D470,Lookup!$L$5:$L$12,0))</f>
        <v>#N/A</v>
      </c>
    </row>
    <row r="471" spans="2:16" x14ac:dyDescent="0.45">
      <c r="B471">
        <f t="shared" si="21"/>
        <v>469</v>
      </c>
      <c r="C471" t="e">
        <f t="shared" si="23"/>
        <v>#N/A</v>
      </c>
      <c r="D471" t="e">
        <f>VLOOKUP(C471,Lookup!$K$5:$L$12,2,FALSE)</f>
        <v>#N/A</v>
      </c>
      <c r="E471" t="e">
        <f>IF(D471=Lookup!$L$5,E470+1,E470)</f>
        <v>#N/A</v>
      </c>
      <c r="F471" s="3" t="e">
        <f>INDEX(views[Entities count],MATCH('view-code'!E471,views[object_id order],0))</f>
        <v>#N/A</v>
      </c>
      <c r="G471" t="e">
        <f>IF(D470=Lookup!$L$10,1,IF(D470=Lookup!$L$11,G470+1,""))</f>
        <v>#N/A</v>
      </c>
      <c r="H471" t="e">
        <f>IF(F471=1,IF(D471=Lookup!$L$10,2,1),IF(G471&lt;F471-1,0,1))</f>
        <v>#N/A</v>
      </c>
      <c r="I471" t="e">
        <f>IF(D471&lt;&gt;Lookup!$L$7,0,IF(INDEX(views[name],MATCH(E471,views[object_id order],0))&lt;&gt;"",0,1))</f>
        <v>#N/A</v>
      </c>
      <c r="J471" t="e">
        <f>IF(D471&lt;&gt;Lookup!$L$7,0,IF(INDEX(views[icon],MATCH(E471,views[object_id order],0))&lt;&gt;"",0,1))</f>
        <v>#N/A</v>
      </c>
      <c r="K471" t="e">
        <f>IF($D471=Lookup!$L$6,INDEX(views[object_id],MATCH($E471,views[object_id order],0)),"")</f>
        <v>#N/A</v>
      </c>
      <c r="L471" t="e">
        <f>IF($D471=Lookup!$L$8,INDEX(views[name],MATCH($E471,views[object_id order],0)),"")</f>
        <v>#N/A</v>
      </c>
      <c r="M471" t="e">
        <f>IF($D471=Lookup!$L$9,INDEX(views[icon],MATCH($E471,views[object_id order],0)),"")</f>
        <v>#N/A</v>
      </c>
      <c r="N471" t="e">
        <f>IF(OR(D471=Lookup!$L$11,D471=Lookup!$L$12),INDEX(views[[1]:[25]],MATCH($E471,views[object_id order],0),G471),"")</f>
        <v>#N/A</v>
      </c>
      <c r="O471" t="str">
        <f t="shared" si="22"/>
        <v/>
      </c>
      <c r="P471" s="8" t="e">
        <f>INDEX(Lookup!$M$5:$M$12,MATCH(D471,Lookup!$L$5:$L$12,0))&amp;
K471&amp;L471&amp;M471&amp;N471&amp;
INDEX(Lookup!$N$5:$N$12,MATCH(D471,Lookup!$L$5:$L$12,0))</f>
        <v>#N/A</v>
      </c>
    </row>
    <row r="472" spans="2:16" x14ac:dyDescent="0.45">
      <c r="B472">
        <f t="shared" si="21"/>
        <v>470</v>
      </c>
      <c r="C472" t="e">
        <f t="shared" si="23"/>
        <v>#N/A</v>
      </c>
      <c r="D472" t="e">
        <f>VLOOKUP(C472,Lookup!$K$5:$L$12,2,FALSE)</f>
        <v>#N/A</v>
      </c>
      <c r="E472" t="e">
        <f>IF(D472=Lookup!$L$5,E471+1,E471)</f>
        <v>#N/A</v>
      </c>
      <c r="F472" s="3" t="e">
        <f>INDEX(views[Entities count],MATCH('view-code'!E472,views[object_id order],0))</f>
        <v>#N/A</v>
      </c>
      <c r="G472" t="e">
        <f>IF(D471=Lookup!$L$10,1,IF(D471=Lookup!$L$11,G471+1,""))</f>
        <v>#N/A</v>
      </c>
      <c r="H472" t="e">
        <f>IF(F472=1,IF(D472=Lookup!$L$10,2,1),IF(G472&lt;F472-1,0,1))</f>
        <v>#N/A</v>
      </c>
      <c r="I472" t="e">
        <f>IF(D472&lt;&gt;Lookup!$L$7,0,IF(INDEX(views[name],MATCH(E472,views[object_id order],0))&lt;&gt;"",0,1))</f>
        <v>#N/A</v>
      </c>
      <c r="J472" t="e">
        <f>IF(D472&lt;&gt;Lookup!$L$7,0,IF(INDEX(views[icon],MATCH(E472,views[object_id order],0))&lt;&gt;"",0,1))</f>
        <v>#N/A</v>
      </c>
      <c r="K472" t="e">
        <f>IF($D472=Lookup!$L$6,INDEX(views[object_id],MATCH($E472,views[object_id order],0)),"")</f>
        <v>#N/A</v>
      </c>
      <c r="L472" t="e">
        <f>IF($D472=Lookup!$L$8,INDEX(views[name],MATCH($E472,views[object_id order],0)),"")</f>
        <v>#N/A</v>
      </c>
      <c r="M472" t="e">
        <f>IF($D472=Lookup!$L$9,INDEX(views[icon],MATCH($E472,views[object_id order],0)),"")</f>
        <v>#N/A</v>
      </c>
      <c r="N472" t="e">
        <f>IF(OR(D472=Lookup!$L$11,D472=Lookup!$L$12),INDEX(views[[1]:[25]],MATCH($E472,views[object_id order],0),G472),"")</f>
        <v>#N/A</v>
      </c>
      <c r="O472" t="str">
        <f t="shared" si="22"/>
        <v/>
      </c>
      <c r="P472" s="8" t="e">
        <f>INDEX(Lookup!$M$5:$M$12,MATCH(D472,Lookup!$L$5:$L$12,0))&amp;
K472&amp;L472&amp;M472&amp;N472&amp;
INDEX(Lookup!$N$5:$N$12,MATCH(D472,Lookup!$L$5:$L$12,0))</f>
        <v>#N/A</v>
      </c>
    </row>
    <row r="473" spans="2:16" x14ac:dyDescent="0.45">
      <c r="B473">
        <f t="shared" si="21"/>
        <v>471</v>
      </c>
      <c r="C473" t="e">
        <f t="shared" si="23"/>
        <v>#N/A</v>
      </c>
      <c r="D473" t="e">
        <f>VLOOKUP(C473,Lookup!$K$5:$L$12,2,FALSE)</f>
        <v>#N/A</v>
      </c>
      <c r="E473" t="e">
        <f>IF(D473=Lookup!$L$5,E472+1,E472)</f>
        <v>#N/A</v>
      </c>
      <c r="F473" s="3" t="e">
        <f>INDEX(views[Entities count],MATCH('view-code'!E473,views[object_id order],0))</f>
        <v>#N/A</v>
      </c>
      <c r="G473" t="e">
        <f>IF(D472=Lookup!$L$10,1,IF(D472=Lookup!$L$11,G472+1,""))</f>
        <v>#N/A</v>
      </c>
      <c r="H473" t="e">
        <f>IF(F473=1,IF(D473=Lookup!$L$10,2,1),IF(G473&lt;F473-1,0,1))</f>
        <v>#N/A</v>
      </c>
      <c r="I473" t="e">
        <f>IF(D473&lt;&gt;Lookup!$L$7,0,IF(INDEX(views[name],MATCH(E473,views[object_id order],0))&lt;&gt;"",0,1))</f>
        <v>#N/A</v>
      </c>
      <c r="J473" t="e">
        <f>IF(D473&lt;&gt;Lookup!$L$7,0,IF(INDEX(views[icon],MATCH(E473,views[object_id order],0))&lt;&gt;"",0,1))</f>
        <v>#N/A</v>
      </c>
      <c r="K473" t="e">
        <f>IF($D473=Lookup!$L$6,INDEX(views[object_id],MATCH($E473,views[object_id order],0)),"")</f>
        <v>#N/A</v>
      </c>
      <c r="L473" t="e">
        <f>IF($D473=Lookup!$L$8,INDEX(views[name],MATCH($E473,views[object_id order],0)),"")</f>
        <v>#N/A</v>
      </c>
      <c r="M473" t="e">
        <f>IF($D473=Lookup!$L$9,INDEX(views[icon],MATCH($E473,views[object_id order],0)),"")</f>
        <v>#N/A</v>
      </c>
      <c r="N473" t="e">
        <f>IF(OR(D473=Lookup!$L$11,D473=Lookup!$L$12),INDEX(views[[1]:[25]],MATCH($E473,views[object_id order],0),G473),"")</f>
        <v>#N/A</v>
      </c>
      <c r="O473" t="str">
        <f t="shared" si="22"/>
        <v/>
      </c>
      <c r="P473" s="8" t="e">
        <f>INDEX(Lookup!$M$5:$M$12,MATCH(D473,Lookup!$L$5:$L$12,0))&amp;
K473&amp;L473&amp;M473&amp;N473&amp;
INDEX(Lookup!$N$5:$N$12,MATCH(D473,Lookup!$L$5:$L$12,0))</f>
        <v>#N/A</v>
      </c>
    </row>
    <row r="474" spans="2:16" x14ac:dyDescent="0.45">
      <c r="B474">
        <f t="shared" si="21"/>
        <v>472</v>
      </c>
      <c r="C474" t="e">
        <f t="shared" si="23"/>
        <v>#N/A</v>
      </c>
      <c r="D474" t="e">
        <f>VLOOKUP(C474,Lookup!$K$5:$L$12,2,FALSE)</f>
        <v>#N/A</v>
      </c>
      <c r="E474" t="e">
        <f>IF(D474=Lookup!$L$5,E473+1,E473)</f>
        <v>#N/A</v>
      </c>
      <c r="F474" s="3" t="e">
        <f>INDEX(views[Entities count],MATCH('view-code'!E474,views[object_id order],0))</f>
        <v>#N/A</v>
      </c>
      <c r="G474" t="e">
        <f>IF(D473=Lookup!$L$10,1,IF(D473=Lookup!$L$11,G473+1,""))</f>
        <v>#N/A</v>
      </c>
      <c r="H474" t="e">
        <f>IF(F474=1,IF(D474=Lookup!$L$10,2,1),IF(G474&lt;F474-1,0,1))</f>
        <v>#N/A</v>
      </c>
      <c r="I474" t="e">
        <f>IF(D474&lt;&gt;Lookup!$L$7,0,IF(INDEX(views[name],MATCH(E474,views[object_id order],0))&lt;&gt;"",0,1))</f>
        <v>#N/A</v>
      </c>
      <c r="J474" t="e">
        <f>IF(D474&lt;&gt;Lookup!$L$7,0,IF(INDEX(views[icon],MATCH(E474,views[object_id order],0))&lt;&gt;"",0,1))</f>
        <v>#N/A</v>
      </c>
      <c r="K474" t="e">
        <f>IF($D474=Lookup!$L$6,INDEX(views[object_id],MATCH($E474,views[object_id order],0)),"")</f>
        <v>#N/A</v>
      </c>
      <c r="L474" t="e">
        <f>IF($D474=Lookup!$L$8,INDEX(views[name],MATCH($E474,views[object_id order],0)),"")</f>
        <v>#N/A</v>
      </c>
      <c r="M474" t="e">
        <f>IF($D474=Lookup!$L$9,INDEX(views[icon],MATCH($E474,views[object_id order],0)),"")</f>
        <v>#N/A</v>
      </c>
      <c r="N474" t="e">
        <f>IF(OR(D474=Lookup!$L$11,D474=Lookup!$L$12),INDEX(views[[1]:[25]],MATCH($E474,views[object_id order],0),G474),"")</f>
        <v>#N/A</v>
      </c>
      <c r="O474" t="str">
        <f t="shared" si="22"/>
        <v/>
      </c>
      <c r="P474" s="8" t="e">
        <f>INDEX(Lookup!$M$5:$M$12,MATCH(D474,Lookup!$L$5:$L$12,0))&amp;
K474&amp;L474&amp;M474&amp;N474&amp;
INDEX(Lookup!$N$5:$N$12,MATCH(D474,Lookup!$L$5:$L$12,0))</f>
        <v>#N/A</v>
      </c>
    </row>
    <row r="475" spans="2:16" x14ac:dyDescent="0.45">
      <c r="B475">
        <f t="shared" si="21"/>
        <v>473</v>
      </c>
      <c r="C475" t="e">
        <f t="shared" si="23"/>
        <v>#N/A</v>
      </c>
      <c r="D475" t="e">
        <f>VLOOKUP(C475,Lookup!$K$5:$L$12,2,FALSE)</f>
        <v>#N/A</v>
      </c>
      <c r="E475" t="e">
        <f>IF(D475=Lookup!$L$5,E474+1,E474)</f>
        <v>#N/A</v>
      </c>
      <c r="F475" s="3" t="e">
        <f>INDEX(views[Entities count],MATCH('view-code'!E475,views[object_id order],0))</f>
        <v>#N/A</v>
      </c>
      <c r="G475" t="e">
        <f>IF(D474=Lookup!$L$10,1,IF(D474=Lookup!$L$11,G474+1,""))</f>
        <v>#N/A</v>
      </c>
      <c r="H475" t="e">
        <f>IF(F475=1,IF(D475=Lookup!$L$10,2,1),IF(G475&lt;F475-1,0,1))</f>
        <v>#N/A</v>
      </c>
      <c r="I475" t="e">
        <f>IF(D475&lt;&gt;Lookup!$L$7,0,IF(INDEX(views[name],MATCH(E475,views[object_id order],0))&lt;&gt;"",0,1))</f>
        <v>#N/A</v>
      </c>
      <c r="J475" t="e">
        <f>IF(D475&lt;&gt;Lookup!$L$7,0,IF(INDEX(views[icon],MATCH(E475,views[object_id order],0))&lt;&gt;"",0,1))</f>
        <v>#N/A</v>
      </c>
      <c r="K475" t="e">
        <f>IF($D475=Lookup!$L$6,INDEX(views[object_id],MATCH($E475,views[object_id order],0)),"")</f>
        <v>#N/A</v>
      </c>
      <c r="L475" t="e">
        <f>IF($D475=Lookup!$L$8,INDEX(views[name],MATCH($E475,views[object_id order],0)),"")</f>
        <v>#N/A</v>
      </c>
      <c r="M475" t="e">
        <f>IF($D475=Lookup!$L$9,INDEX(views[icon],MATCH($E475,views[object_id order],0)),"")</f>
        <v>#N/A</v>
      </c>
      <c r="N475" t="e">
        <f>IF(OR(D475=Lookup!$L$11,D475=Lookup!$L$12),INDEX(views[[1]:[25]],MATCH($E475,views[object_id order],0),G475),"")</f>
        <v>#N/A</v>
      </c>
      <c r="O475" t="str">
        <f t="shared" si="22"/>
        <v/>
      </c>
      <c r="P475" s="8" t="e">
        <f>INDEX(Lookup!$M$5:$M$12,MATCH(D475,Lookup!$L$5:$L$12,0))&amp;
K475&amp;L475&amp;M475&amp;N475&amp;
INDEX(Lookup!$N$5:$N$12,MATCH(D475,Lookup!$L$5:$L$12,0))</f>
        <v>#N/A</v>
      </c>
    </row>
    <row r="476" spans="2:16" x14ac:dyDescent="0.45">
      <c r="B476">
        <f t="shared" si="21"/>
        <v>474</v>
      </c>
      <c r="C476" t="e">
        <f t="shared" si="23"/>
        <v>#N/A</v>
      </c>
      <c r="D476" t="e">
        <f>VLOOKUP(C476,Lookup!$K$5:$L$12,2,FALSE)</f>
        <v>#N/A</v>
      </c>
      <c r="E476" t="e">
        <f>IF(D476=Lookup!$L$5,E475+1,E475)</f>
        <v>#N/A</v>
      </c>
      <c r="F476" s="3" t="e">
        <f>INDEX(views[Entities count],MATCH('view-code'!E476,views[object_id order],0))</f>
        <v>#N/A</v>
      </c>
      <c r="G476" t="e">
        <f>IF(D475=Lookup!$L$10,1,IF(D475=Lookup!$L$11,G475+1,""))</f>
        <v>#N/A</v>
      </c>
      <c r="H476" t="e">
        <f>IF(F476=1,IF(D476=Lookup!$L$10,2,1),IF(G476&lt;F476-1,0,1))</f>
        <v>#N/A</v>
      </c>
      <c r="I476" t="e">
        <f>IF(D476&lt;&gt;Lookup!$L$7,0,IF(INDEX(views[name],MATCH(E476,views[object_id order],0))&lt;&gt;"",0,1))</f>
        <v>#N/A</v>
      </c>
      <c r="J476" t="e">
        <f>IF(D476&lt;&gt;Lookup!$L$7,0,IF(INDEX(views[icon],MATCH(E476,views[object_id order],0))&lt;&gt;"",0,1))</f>
        <v>#N/A</v>
      </c>
      <c r="K476" t="e">
        <f>IF($D476=Lookup!$L$6,INDEX(views[object_id],MATCH($E476,views[object_id order],0)),"")</f>
        <v>#N/A</v>
      </c>
      <c r="L476" t="e">
        <f>IF($D476=Lookup!$L$8,INDEX(views[name],MATCH($E476,views[object_id order],0)),"")</f>
        <v>#N/A</v>
      </c>
      <c r="M476" t="e">
        <f>IF($D476=Lookup!$L$9,INDEX(views[icon],MATCH($E476,views[object_id order],0)),"")</f>
        <v>#N/A</v>
      </c>
      <c r="N476" t="e">
        <f>IF(OR(D476=Lookup!$L$11,D476=Lookup!$L$12),INDEX(views[[1]:[25]],MATCH($E476,views[object_id order],0),G476),"")</f>
        <v>#N/A</v>
      </c>
      <c r="O476" t="str">
        <f t="shared" si="22"/>
        <v/>
      </c>
      <c r="P476" s="8" t="e">
        <f>INDEX(Lookup!$M$5:$M$12,MATCH(D476,Lookup!$L$5:$L$12,0))&amp;
K476&amp;L476&amp;M476&amp;N476&amp;
INDEX(Lookup!$N$5:$N$12,MATCH(D476,Lookup!$L$5:$L$12,0))</f>
        <v>#N/A</v>
      </c>
    </row>
    <row r="477" spans="2:16" x14ac:dyDescent="0.45">
      <c r="B477">
        <f t="shared" si="21"/>
        <v>475</v>
      </c>
      <c r="C477" t="e">
        <f t="shared" si="23"/>
        <v>#N/A</v>
      </c>
      <c r="D477" t="e">
        <f>VLOOKUP(C477,Lookup!$K$5:$L$12,2,FALSE)</f>
        <v>#N/A</v>
      </c>
      <c r="E477" t="e">
        <f>IF(D477=Lookup!$L$5,E476+1,E476)</f>
        <v>#N/A</v>
      </c>
      <c r="F477" s="3" t="e">
        <f>INDEX(views[Entities count],MATCH('view-code'!E477,views[object_id order],0))</f>
        <v>#N/A</v>
      </c>
      <c r="G477" t="e">
        <f>IF(D476=Lookup!$L$10,1,IF(D476=Lookup!$L$11,G476+1,""))</f>
        <v>#N/A</v>
      </c>
      <c r="H477" t="e">
        <f>IF(F477=1,IF(D477=Lookup!$L$10,2,1),IF(G477&lt;F477-1,0,1))</f>
        <v>#N/A</v>
      </c>
      <c r="I477" t="e">
        <f>IF(D477&lt;&gt;Lookup!$L$7,0,IF(INDEX(views[name],MATCH(E477,views[object_id order],0))&lt;&gt;"",0,1))</f>
        <v>#N/A</v>
      </c>
      <c r="J477" t="e">
        <f>IF(D477&lt;&gt;Lookup!$L$7,0,IF(INDEX(views[icon],MATCH(E477,views[object_id order],0))&lt;&gt;"",0,1))</f>
        <v>#N/A</v>
      </c>
      <c r="K477" t="e">
        <f>IF($D477=Lookup!$L$6,INDEX(views[object_id],MATCH($E477,views[object_id order],0)),"")</f>
        <v>#N/A</v>
      </c>
      <c r="L477" t="e">
        <f>IF($D477=Lookup!$L$8,INDEX(views[name],MATCH($E477,views[object_id order],0)),"")</f>
        <v>#N/A</v>
      </c>
      <c r="M477" t="e">
        <f>IF($D477=Lookup!$L$9,INDEX(views[icon],MATCH($E477,views[object_id order],0)),"")</f>
        <v>#N/A</v>
      </c>
      <c r="N477" t="e">
        <f>IF(OR(D477=Lookup!$L$11,D477=Lookup!$L$12),INDEX(views[[1]:[25]],MATCH($E477,views[object_id order],0),G477),"")</f>
        <v>#N/A</v>
      </c>
      <c r="O477" t="str">
        <f t="shared" si="22"/>
        <v/>
      </c>
      <c r="P477" s="8" t="e">
        <f>INDEX(Lookup!$M$5:$M$12,MATCH(D477,Lookup!$L$5:$L$12,0))&amp;
K477&amp;L477&amp;M477&amp;N477&amp;
INDEX(Lookup!$N$5:$N$12,MATCH(D477,Lookup!$L$5:$L$12,0))</f>
        <v>#N/A</v>
      </c>
    </row>
    <row r="478" spans="2:16" x14ac:dyDescent="0.45">
      <c r="B478">
        <f t="shared" si="21"/>
        <v>476</v>
      </c>
      <c r="C478" t="e">
        <f t="shared" si="23"/>
        <v>#N/A</v>
      </c>
      <c r="D478" t="e">
        <f>VLOOKUP(C478,Lookup!$K$5:$L$12,2,FALSE)</f>
        <v>#N/A</v>
      </c>
      <c r="E478" t="e">
        <f>IF(D478=Lookup!$L$5,E477+1,E477)</f>
        <v>#N/A</v>
      </c>
      <c r="F478" s="3" t="e">
        <f>INDEX(views[Entities count],MATCH('view-code'!E478,views[object_id order],0))</f>
        <v>#N/A</v>
      </c>
      <c r="G478" t="e">
        <f>IF(D477=Lookup!$L$10,1,IF(D477=Lookup!$L$11,G477+1,""))</f>
        <v>#N/A</v>
      </c>
      <c r="H478" t="e">
        <f>IF(F478=1,IF(D478=Lookup!$L$10,2,1),IF(G478&lt;F478-1,0,1))</f>
        <v>#N/A</v>
      </c>
      <c r="I478" t="e">
        <f>IF(D478&lt;&gt;Lookup!$L$7,0,IF(INDEX(views[name],MATCH(E478,views[object_id order],0))&lt;&gt;"",0,1))</f>
        <v>#N/A</v>
      </c>
      <c r="J478" t="e">
        <f>IF(D478&lt;&gt;Lookup!$L$7,0,IF(INDEX(views[icon],MATCH(E478,views[object_id order],0))&lt;&gt;"",0,1))</f>
        <v>#N/A</v>
      </c>
      <c r="K478" t="e">
        <f>IF($D478=Lookup!$L$6,INDEX(views[object_id],MATCH($E478,views[object_id order],0)),"")</f>
        <v>#N/A</v>
      </c>
      <c r="L478" t="e">
        <f>IF($D478=Lookup!$L$8,INDEX(views[name],MATCH($E478,views[object_id order],0)),"")</f>
        <v>#N/A</v>
      </c>
      <c r="M478" t="e">
        <f>IF($D478=Lookup!$L$9,INDEX(views[icon],MATCH($E478,views[object_id order],0)),"")</f>
        <v>#N/A</v>
      </c>
      <c r="N478" t="e">
        <f>IF(OR(D478=Lookup!$L$11,D478=Lookup!$L$12),INDEX(views[[1]:[25]],MATCH($E478,views[object_id order],0),G478),"")</f>
        <v>#N/A</v>
      </c>
      <c r="O478" t="str">
        <f t="shared" si="22"/>
        <v/>
      </c>
      <c r="P478" s="8" t="e">
        <f>INDEX(Lookup!$M$5:$M$12,MATCH(D478,Lookup!$L$5:$L$12,0))&amp;
K478&amp;L478&amp;M478&amp;N478&amp;
INDEX(Lookup!$N$5:$N$12,MATCH(D478,Lookup!$L$5:$L$12,0))</f>
        <v>#N/A</v>
      </c>
    </row>
    <row r="479" spans="2:16" x14ac:dyDescent="0.45">
      <c r="B479">
        <f t="shared" si="21"/>
        <v>477</v>
      </c>
      <c r="C479" t="e">
        <f t="shared" si="23"/>
        <v>#N/A</v>
      </c>
      <c r="D479" t="e">
        <f>VLOOKUP(C479,Lookup!$K$5:$L$12,2,FALSE)</f>
        <v>#N/A</v>
      </c>
      <c r="E479" t="e">
        <f>IF(D479=Lookup!$L$5,E478+1,E478)</f>
        <v>#N/A</v>
      </c>
      <c r="F479" s="3" t="e">
        <f>INDEX(views[Entities count],MATCH('view-code'!E479,views[object_id order],0))</f>
        <v>#N/A</v>
      </c>
      <c r="G479" t="e">
        <f>IF(D478=Lookup!$L$10,1,IF(D478=Lookup!$L$11,G478+1,""))</f>
        <v>#N/A</v>
      </c>
      <c r="H479" t="e">
        <f>IF(F479=1,IF(D479=Lookup!$L$10,2,1),IF(G479&lt;F479-1,0,1))</f>
        <v>#N/A</v>
      </c>
      <c r="I479" t="e">
        <f>IF(D479&lt;&gt;Lookup!$L$7,0,IF(INDEX(views[name],MATCH(E479,views[object_id order],0))&lt;&gt;"",0,1))</f>
        <v>#N/A</v>
      </c>
      <c r="J479" t="e">
        <f>IF(D479&lt;&gt;Lookup!$L$7,0,IF(INDEX(views[icon],MATCH(E479,views[object_id order],0))&lt;&gt;"",0,1))</f>
        <v>#N/A</v>
      </c>
      <c r="K479" t="e">
        <f>IF($D479=Lookup!$L$6,INDEX(views[object_id],MATCH($E479,views[object_id order],0)),"")</f>
        <v>#N/A</v>
      </c>
      <c r="L479" t="e">
        <f>IF($D479=Lookup!$L$8,INDEX(views[name],MATCH($E479,views[object_id order],0)),"")</f>
        <v>#N/A</v>
      </c>
      <c r="M479" t="e">
        <f>IF($D479=Lookup!$L$9,INDEX(views[icon],MATCH($E479,views[object_id order],0)),"")</f>
        <v>#N/A</v>
      </c>
      <c r="N479" t="e">
        <f>IF(OR(D479=Lookup!$L$11,D479=Lookup!$L$12),INDEX(views[[1]:[25]],MATCH($E479,views[object_id order],0),G479),"")</f>
        <v>#N/A</v>
      </c>
      <c r="O479" t="str">
        <f t="shared" si="22"/>
        <v/>
      </c>
      <c r="P479" s="8" t="e">
        <f>INDEX(Lookup!$M$5:$M$12,MATCH(D479,Lookup!$L$5:$L$12,0))&amp;
K479&amp;L479&amp;M479&amp;N479&amp;
INDEX(Lookup!$N$5:$N$12,MATCH(D479,Lookup!$L$5:$L$12,0))</f>
        <v>#N/A</v>
      </c>
    </row>
    <row r="480" spans="2:16" x14ac:dyDescent="0.45">
      <c r="B480">
        <f t="shared" si="21"/>
        <v>478</v>
      </c>
      <c r="C480" t="e">
        <f t="shared" si="23"/>
        <v>#N/A</v>
      </c>
      <c r="D480" t="e">
        <f>VLOOKUP(C480,Lookup!$K$5:$L$12,2,FALSE)</f>
        <v>#N/A</v>
      </c>
      <c r="E480" t="e">
        <f>IF(D480=Lookup!$L$5,E479+1,E479)</f>
        <v>#N/A</v>
      </c>
      <c r="F480" s="3" t="e">
        <f>INDEX(views[Entities count],MATCH('view-code'!E480,views[object_id order],0))</f>
        <v>#N/A</v>
      </c>
      <c r="G480" t="e">
        <f>IF(D479=Lookup!$L$10,1,IF(D479=Lookup!$L$11,G479+1,""))</f>
        <v>#N/A</v>
      </c>
      <c r="H480" t="e">
        <f>IF(F480=1,IF(D480=Lookup!$L$10,2,1),IF(G480&lt;F480-1,0,1))</f>
        <v>#N/A</v>
      </c>
      <c r="I480" t="e">
        <f>IF(D480&lt;&gt;Lookup!$L$7,0,IF(INDEX(views[name],MATCH(E480,views[object_id order],0))&lt;&gt;"",0,1))</f>
        <v>#N/A</v>
      </c>
      <c r="J480" t="e">
        <f>IF(D480&lt;&gt;Lookup!$L$7,0,IF(INDEX(views[icon],MATCH(E480,views[object_id order],0))&lt;&gt;"",0,1))</f>
        <v>#N/A</v>
      </c>
      <c r="K480" t="e">
        <f>IF($D480=Lookup!$L$6,INDEX(views[object_id],MATCH($E480,views[object_id order],0)),"")</f>
        <v>#N/A</v>
      </c>
      <c r="L480" t="e">
        <f>IF($D480=Lookup!$L$8,INDEX(views[name],MATCH($E480,views[object_id order],0)),"")</f>
        <v>#N/A</v>
      </c>
      <c r="M480" t="e">
        <f>IF($D480=Lookup!$L$9,INDEX(views[icon],MATCH($E480,views[object_id order],0)),"")</f>
        <v>#N/A</v>
      </c>
      <c r="N480" t="e">
        <f>IF(OR(D480=Lookup!$L$11,D480=Lookup!$L$12),INDEX(views[[1]:[25]],MATCH($E480,views[object_id order],0),G480),"")</f>
        <v>#N/A</v>
      </c>
      <c r="O480" t="str">
        <f t="shared" si="22"/>
        <v/>
      </c>
      <c r="P480" s="8" t="e">
        <f>INDEX(Lookup!$M$5:$M$12,MATCH(D480,Lookup!$L$5:$L$12,0))&amp;
K480&amp;L480&amp;M480&amp;N480&amp;
INDEX(Lookup!$N$5:$N$12,MATCH(D480,Lookup!$L$5:$L$12,0))</f>
        <v>#N/A</v>
      </c>
    </row>
    <row r="481" spans="2:16" x14ac:dyDescent="0.45">
      <c r="B481">
        <f t="shared" si="21"/>
        <v>479</v>
      </c>
      <c r="C481" t="e">
        <f t="shared" si="23"/>
        <v>#N/A</v>
      </c>
      <c r="D481" t="e">
        <f>VLOOKUP(C481,Lookup!$K$5:$L$12,2,FALSE)</f>
        <v>#N/A</v>
      </c>
      <c r="E481" t="e">
        <f>IF(D481=Lookup!$L$5,E480+1,E480)</f>
        <v>#N/A</v>
      </c>
      <c r="F481" s="3" t="e">
        <f>INDEX(views[Entities count],MATCH('view-code'!E481,views[object_id order],0))</f>
        <v>#N/A</v>
      </c>
      <c r="G481" t="e">
        <f>IF(D480=Lookup!$L$10,1,IF(D480=Lookup!$L$11,G480+1,""))</f>
        <v>#N/A</v>
      </c>
      <c r="H481" t="e">
        <f>IF(F481=1,IF(D481=Lookup!$L$10,2,1),IF(G481&lt;F481-1,0,1))</f>
        <v>#N/A</v>
      </c>
      <c r="I481" t="e">
        <f>IF(D481&lt;&gt;Lookup!$L$7,0,IF(INDEX(views[name],MATCH(E481,views[object_id order],0))&lt;&gt;"",0,1))</f>
        <v>#N/A</v>
      </c>
      <c r="J481" t="e">
        <f>IF(D481&lt;&gt;Lookup!$L$7,0,IF(INDEX(views[icon],MATCH(E481,views[object_id order],0))&lt;&gt;"",0,1))</f>
        <v>#N/A</v>
      </c>
      <c r="K481" t="e">
        <f>IF($D481=Lookup!$L$6,INDEX(views[object_id],MATCH($E481,views[object_id order],0)),"")</f>
        <v>#N/A</v>
      </c>
      <c r="L481" t="e">
        <f>IF($D481=Lookup!$L$8,INDEX(views[name],MATCH($E481,views[object_id order],0)),"")</f>
        <v>#N/A</v>
      </c>
      <c r="M481" t="e">
        <f>IF($D481=Lookup!$L$9,INDEX(views[icon],MATCH($E481,views[object_id order],0)),"")</f>
        <v>#N/A</v>
      </c>
      <c r="N481" t="e">
        <f>IF(OR(D481=Lookup!$L$11,D481=Lookup!$L$12),INDEX(views[[1]:[25]],MATCH($E481,views[object_id order],0),G481),"")</f>
        <v>#N/A</v>
      </c>
      <c r="O481" t="str">
        <f t="shared" si="22"/>
        <v/>
      </c>
      <c r="P481" s="8" t="e">
        <f>INDEX(Lookup!$M$5:$M$12,MATCH(D481,Lookup!$L$5:$L$12,0))&amp;
K481&amp;L481&amp;M481&amp;N481&amp;
INDEX(Lookup!$N$5:$N$12,MATCH(D481,Lookup!$L$5:$L$12,0))</f>
        <v>#N/A</v>
      </c>
    </row>
    <row r="482" spans="2:16" x14ac:dyDescent="0.45">
      <c r="B482">
        <f t="shared" si="21"/>
        <v>480</v>
      </c>
      <c r="C482" t="e">
        <f t="shared" si="23"/>
        <v>#N/A</v>
      </c>
      <c r="D482" t="e">
        <f>VLOOKUP(C482,Lookup!$K$5:$L$12,2,FALSE)</f>
        <v>#N/A</v>
      </c>
      <c r="E482" t="e">
        <f>IF(D482=Lookup!$L$5,E481+1,E481)</f>
        <v>#N/A</v>
      </c>
      <c r="F482" s="3" t="e">
        <f>INDEX(views[Entities count],MATCH('view-code'!E482,views[object_id order],0))</f>
        <v>#N/A</v>
      </c>
      <c r="G482" t="e">
        <f>IF(D481=Lookup!$L$10,1,IF(D481=Lookup!$L$11,G481+1,""))</f>
        <v>#N/A</v>
      </c>
      <c r="H482" t="e">
        <f>IF(F482=1,IF(D482=Lookup!$L$10,2,1),IF(G482&lt;F482-1,0,1))</f>
        <v>#N/A</v>
      </c>
      <c r="I482" t="e">
        <f>IF(D482&lt;&gt;Lookup!$L$7,0,IF(INDEX(views[name],MATCH(E482,views[object_id order],0))&lt;&gt;"",0,1))</f>
        <v>#N/A</v>
      </c>
      <c r="J482" t="e">
        <f>IF(D482&lt;&gt;Lookup!$L$7,0,IF(INDEX(views[icon],MATCH(E482,views[object_id order],0))&lt;&gt;"",0,1))</f>
        <v>#N/A</v>
      </c>
      <c r="K482" t="e">
        <f>IF($D482=Lookup!$L$6,INDEX(views[object_id],MATCH($E482,views[object_id order],0)),"")</f>
        <v>#N/A</v>
      </c>
      <c r="L482" t="e">
        <f>IF($D482=Lookup!$L$8,INDEX(views[name],MATCH($E482,views[object_id order],0)),"")</f>
        <v>#N/A</v>
      </c>
      <c r="M482" t="e">
        <f>IF($D482=Lookup!$L$9,INDEX(views[icon],MATCH($E482,views[object_id order],0)),"")</f>
        <v>#N/A</v>
      </c>
      <c r="N482" t="e">
        <f>IF(OR(D482=Lookup!$L$11,D482=Lookup!$L$12),INDEX(views[[1]:[25]],MATCH($E482,views[object_id order],0),G482),"")</f>
        <v>#N/A</v>
      </c>
      <c r="O482" t="str">
        <f t="shared" si="22"/>
        <v/>
      </c>
      <c r="P482" s="8" t="e">
        <f>INDEX(Lookup!$M$5:$M$12,MATCH(D482,Lookup!$L$5:$L$12,0))&amp;
K482&amp;L482&amp;M482&amp;N482&amp;
INDEX(Lookup!$N$5:$N$12,MATCH(D482,Lookup!$L$5:$L$12,0))</f>
        <v>#N/A</v>
      </c>
    </row>
    <row r="483" spans="2:16" x14ac:dyDescent="0.45">
      <c r="B483">
        <f t="shared" si="21"/>
        <v>481</v>
      </c>
      <c r="C483" t="e">
        <f t="shared" si="23"/>
        <v>#N/A</v>
      </c>
      <c r="D483" t="e">
        <f>VLOOKUP(C483,Lookup!$K$5:$L$12,2,FALSE)</f>
        <v>#N/A</v>
      </c>
      <c r="E483" t="e">
        <f>IF(D483=Lookup!$L$5,E482+1,E482)</f>
        <v>#N/A</v>
      </c>
      <c r="F483" s="3" t="e">
        <f>INDEX(views[Entities count],MATCH('view-code'!E483,views[object_id order],0))</f>
        <v>#N/A</v>
      </c>
      <c r="G483" t="e">
        <f>IF(D482=Lookup!$L$10,1,IF(D482=Lookup!$L$11,G482+1,""))</f>
        <v>#N/A</v>
      </c>
      <c r="H483" t="e">
        <f>IF(F483=1,IF(D483=Lookup!$L$10,2,1),IF(G483&lt;F483-1,0,1))</f>
        <v>#N/A</v>
      </c>
      <c r="I483" t="e">
        <f>IF(D483&lt;&gt;Lookup!$L$7,0,IF(INDEX(views[name],MATCH(E483,views[object_id order],0))&lt;&gt;"",0,1))</f>
        <v>#N/A</v>
      </c>
      <c r="J483" t="e">
        <f>IF(D483&lt;&gt;Lookup!$L$7,0,IF(INDEX(views[icon],MATCH(E483,views[object_id order],0))&lt;&gt;"",0,1))</f>
        <v>#N/A</v>
      </c>
      <c r="K483" t="e">
        <f>IF($D483=Lookup!$L$6,INDEX(views[object_id],MATCH($E483,views[object_id order],0)),"")</f>
        <v>#N/A</v>
      </c>
      <c r="L483" t="e">
        <f>IF($D483=Lookup!$L$8,INDEX(views[name],MATCH($E483,views[object_id order],0)),"")</f>
        <v>#N/A</v>
      </c>
      <c r="M483" t="e">
        <f>IF($D483=Lookup!$L$9,INDEX(views[icon],MATCH($E483,views[object_id order],0)),"")</f>
        <v>#N/A</v>
      </c>
      <c r="N483" t="e">
        <f>IF(OR(D483=Lookup!$L$11,D483=Lookup!$L$12),INDEX(views[[1]:[25]],MATCH($E483,views[object_id order],0),G483),"")</f>
        <v>#N/A</v>
      </c>
      <c r="O483" t="str">
        <f t="shared" si="22"/>
        <v/>
      </c>
      <c r="P483" s="8" t="e">
        <f>INDEX(Lookup!$M$5:$M$12,MATCH(D483,Lookup!$L$5:$L$12,0))&amp;
K483&amp;L483&amp;M483&amp;N483&amp;
INDEX(Lookup!$N$5:$N$12,MATCH(D483,Lookup!$L$5:$L$12,0))</f>
        <v>#N/A</v>
      </c>
    </row>
    <row r="484" spans="2:16" x14ac:dyDescent="0.45">
      <c r="B484">
        <f t="shared" si="21"/>
        <v>482</v>
      </c>
      <c r="C484" t="e">
        <f t="shared" si="23"/>
        <v>#N/A</v>
      </c>
      <c r="D484" t="e">
        <f>VLOOKUP(C484,Lookup!$K$5:$L$12,2,FALSE)</f>
        <v>#N/A</v>
      </c>
      <c r="E484" t="e">
        <f>IF(D484=Lookup!$L$5,E483+1,E483)</f>
        <v>#N/A</v>
      </c>
      <c r="F484" s="3" t="e">
        <f>INDEX(views[Entities count],MATCH('view-code'!E484,views[object_id order],0))</f>
        <v>#N/A</v>
      </c>
      <c r="G484" t="e">
        <f>IF(D483=Lookup!$L$10,1,IF(D483=Lookup!$L$11,G483+1,""))</f>
        <v>#N/A</v>
      </c>
      <c r="H484" t="e">
        <f>IF(F484=1,IF(D484=Lookup!$L$10,2,1),IF(G484&lt;F484-1,0,1))</f>
        <v>#N/A</v>
      </c>
      <c r="I484" t="e">
        <f>IF(D484&lt;&gt;Lookup!$L$7,0,IF(INDEX(views[name],MATCH(E484,views[object_id order],0))&lt;&gt;"",0,1))</f>
        <v>#N/A</v>
      </c>
      <c r="J484" t="e">
        <f>IF(D484&lt;&gt;Lookup!$L$7,0,IF(INDEX(views[icon],MATCH(E484,views[object_id order],0))&lt;&gt;"",0,1))</f>
        <v>#N/A</v>
      </c>
      <c r="K484" t="e">
        <f>IF($D484=Lookup!$L$6,INDEX(views[object_id],MATCH($E484,views[object_id order],0)),"")</f>
        <v>#N/A</v>
      </c>
      <c r="L484" t="e">
        <f>IF($D484=Lookup!$L$8,INDEX(views[name],MATCH($E484,views[object_id order],0)),"")</f>
        <v>#N/A</v>
      </c>
      <c r="M484" t="e">
        <f>IF($D484=Lookup!$L$9,INDEX(views[icon],MATCH($E484,views[object_id order],0)),"")</f>
        <v>#N/A</v>
      </c>
      <c r="N484" t="e">
        <f>IF(OR(D484=Lookup!$L$11,D484=Lookup!$L$12),INDEX(views[[1]:[25]],MATCH($E484,views[object_id order],0),G484),"")</f>
        <v>#N/A</v>
      </c>
      <c r="O484" t="str">
        <f t="shared" si="22"/>
        <v/>
      </c>
      <c r="P484" s="8" t="e">
        <f>INDEX(Lookup!$M$5:$M$12,MATCH(D484,Lookup!$L$5:$L$12,0))&amp;
K484&amp;L484&amp;M484&amp;N484&amp;
INDEX(Lookup!$N$5:$N$12,MATCH(D484,Lookup!$L$5:$L$12,0))</f>
        <v>#N/A</v>
      </c>
    </row>
    <row r="485" spans="2:16" x14ac:dyDescent="0.45">
      <c r="B485">
        <f t="shared" si="21"/>
        <v>483</v>
      </c>
      <c r="C485" t="e">
        <f t="shared" si="23"/>
        <v>#N/A</v>
      </c>
      <c r="D485" t="e">
        <f>VLOOKUP(C485,Lookup!$K$5:$L$12,2,FALSE)</f>
        <v>#N/A</v>
      </c>
      <c r="E485" t="e">
        <f>IF(D485=Lookup!$L$5,E484+1,E484)</f>
        <v>#N/A</v>
      </c>
      <c r="F485" s="3" t="e">
        <f>INDEX(views[Entities count],MATCH('view-code'!E485,views[object_id order],0))</f>
        <v>#N/A</v>
      </c>
      <c r="G485" t="e">
        <f>IF(D484=Lookup!$L$10,1,IF(D484=Lookup!$L$11,G484+1,""))</f>
        <v>#N/A</v>
      </c>
      <c r="H485" t="e">
        <f>IF(F485=1,IF(D485=Lookup!$L$10,2,1),IF(G485&lt;F485-1,0,1))</f>
        <v>#N/A</v>
      </c>
      <c r="I485" t="e">
        <f>IF(D485&lt;&gt;Lookup!$L$7,0,IF(INDEX(views[name],MATCH(E485,views[object_id order],0))&lt;&gt;"",0,1))</f>
        <v>#N/A</v>
      </c>
      <c r="J485" t="e">
        <f>IF(D485&lt;&gt;Lookup!$L$7,0,IF(INDEX(views[icon],MATCH(E485,views[object_id order],0))&lt;&gt;"",0,1))</f>
        <v>#N/A</v>
      </c>
      <c r="K485" t="e">
        <f>IF($D485=Lookup!$L$6,INDEX(views[object_id],MATCH($E485,views[object_id order],0)),"")</f>
        <v>#N/A</v>
      </c>
      <c r="L485" t="e">
        <f>IF($D485=Lookup!$L$8,INDEX(views[name],MATCH($E485,views[object_id order],0)),"")</f>
        <v>#N/A</v>
      </c>
      <c r="M485" t="e">
        <f>IF($D485=Lookup!$L$9,INDEX(views[icon],MATCH($E485,views[object_id order],0)),"")</f>
        <v>#N/A</v>
      </c>
      <c r="N485" t="e">
        <f>IF(OR(D485=Lookup!$L$11,D485=Lookup!$L$12),INDEX(views[[1]:[25]],MATCH($E485,views[object_id order],0),G485),"")</f>
        <v>#N/A</v>
      </c>
      <c r="O485" t="str">
        <f t="shared" si="22"/>
        <v/>
      </c>
      <c r="P485" s="8" t="e">
        <f>INDEX(Lookup!$M$5:$M$12,MATCH(D485,Lookup!$L$5:$L$12,0))&amp;
K485&amp;L485&amp;M485&amp;N485&amp;
INDEX(Lookup!$N$5:$N$12,MATCH(D485,Lookup!$L$5:$L$12,0))</f>
        <v>#N/A</v>
      </c>
    </row>
    <row r="486" spans="2:16" x14ac:dyDescent="0.45">
      <c r="B486">
        <f t="shared" si="21"/>
        <v>484</v>
      </c>
      <c r="C486" t="e">
        <f t="shared" si="23"/>
        <v>#N/A</v>
      </c>
      <c r="D486" t="e">
        <f>VLOOKUP(C486,Lookup!$K$5:$L$12,2,FALSE)</f>
        <v>#N/A</v>
      </c>
      <c r="E486" t="e">
        <f>IF(D486=Lookup!$L$5,E485+1,E485)</f>
        <v>#N/A</v>
      </c>
      <c r="F486" s="3" t="e">
        <f>INDEX(views[Entities count],MATCH('view-code'!E486,views[object_id order],0))</f>
        <v>#N/A</v>
      </c>
      <c r="G486" t="e">
        <f>IF(D485=Lookup!$L$10,1,IF(D485=Lookup!$L$11,G485+1,""))</f>
        <v>#N/A</v>
      </c>
      <c r="H486" t="e">
        <f>IF(F486=1,IF(D486=Lookup!$L$10,2,1),IF(G486&lt;F486-1,0,1))</f>
        <v>#N/A</v>
      </c>
      <c r="I486" t="e">
        <f>IF(D486&lt;&gt;Lookup!$L$7,0,IF(INDEX(views[name],MATCH(E486,views[object_id order],0))&lt;&gt;"",0,1))</f>
        <v>#N/A</v>
      </c>
      <c r="J486" t="e">
        <f>IF(D486&lt;&gt;Lookup!$L$7,0,IF(INDEX(views[icon],MATCH(E486,views[object_id order],0))&lt;&gt;"",0,1))</f>
        <v>#N/A</v>
      </c>
      <c r="K486" t="e">
        <f>IF($D486=Lookup!$L$6,INDEX(views[object_id],MATCH($E486,views[object_id order],0)),"")</f>
        <v>#N/A</v>
      </c>
      <c r="L486" t="e">
        <f>IF($D486=Lookup!$L$8,INDEX(views[name],MATCH($E486,views[object_id order],0)),"")</f>
        <v>#N/A</v>
      </c>
      <c r="M486" t="e">
        <f>IF($D486=Lookup!$L$9,INDEX(views[icon],MATCH($E486,views[object_id order],0)),"")</f>
        <v>#N/A</v>
      </c>
      <c r="N486" t="e">
        <f>IF(OR(D486=Lookup!$L$11,D486=Lookup!$L$12),INDEX(views[[1]:[25]],MATCH($E486,views[object_id order],0),G486),"")</f>
        <v>#N/A</v>
      </c>
      <c r="O486" t="str">
        <f t="shared" si="22"/>
        <v/>
      </c>
      <c r="P486" s="8" t="e">
        <f>INDEX(Lookup!$M$5:$M$12,MATCH(D486,Lookup!$L$5:$L$12,0))&amp;
K486&amp;L486&amp;M486&amp;N486&amp;
INDEX(Lookup!$N$5:$N$12,MATCH(D486,Lookup!$L$5:$L$12,0))</f>
        <v>#N/A</v>
      </c>
    </row>
    <row r="487" spans="2:16" x14ac:dyDescent="0.45">
      <c r="B487">
        <f t="shared" si="21"/>
        <v>485</v>
      </c>
      <c r="C487" t="e">
        <f t="shared" si="23"/>
        <v>#N/A</v>
      </c>
      <c r="D487" t="e">
        <f>VLOOKUP(C487,Lookup!$K$5:$L$12,2,FALSE)</f>
        <v>#N/A</v>
      </c>
      <c r="E487" t="e">
        <f>IF(D487=Lookup!$L$5,E486+1,E486)</f>
        <v>#N/A</v>
      </c>
      <c r="F487" s="3" t="e">
        <f>INDEX(views[Entities count],MATCH('view-code'!E487,views[object_id order],0))</f>
        <v>#N/A</v>
      </c>
      <c r="G487" t="e">
        <f>IF(D486=Lookup!$L$10,1,IF(D486=Lookup!$L$11,G486+1,""))</f>
        <v>#N/A</v>
      </c>
      <c r="H487" t="e">
        <f>IF(F487=1,IF(D487=Lookup!$L$10,2,1),IF(G487&lt;F487-1,0,1))</f>
        <v>#N/A</v>
      </c>
      <c r="I487" t="e">
        <f>IF(D487&lt;&gt;Lookup!$L$7,0,IF(INDEX(views[name],MATCH(E487,views[object_id order],0))&lt;&gt;"",0,1))</f>
        <v>#N/A</v>
      </c>
      <c r="J487" t="e">
        <f>IF(D487&lt;&gt;Lookup!$L$7,0,IF(INDEX(views[icon],MATCH(E487,views[object_id order],0))&lt;&gt;"",0,1))</f>
        <v>#N/A</v>
      </c>
      <c r="K487" t="e">
        <f>IF($D487=Lookup!$L$6,INDEX(views[object_id],MATCH($E487,views[object_id order],0)),"")</f>
        <v>#N/A</v>
      </c>
      <c r="L487" t="e">
        <f>IF($D487=Lookup!$L$8,INDEX(views[name],MATCH($E487,views[object_id order],0)),"")</f>
        <v>#N/A</v>
      </c>
      <c r="M487" t="e">
        <f>IF($D487=Lookup!$L$9,INDEX(views[icon],MATCH($E487,views[object_id order],0)),"")</f>
        <v>#N/A</v>
      </c>
      <c r="N487" t="e">
        <f>IF(OR(D487=Lookup!$L$11,D487=Lookup!$L$12),INDEX(views[[1]:[25]],MATCH($E487,views[object_id order],0),G487),"")</f>
        <v>#N/A</v>
      </c>
      <c r="O487" t="str">
        <f t="shared" si="22"/>
        <v/>
      </c>
      <c r="P487" s="8" t="e">
        <f>INDEX(Lookup!$M$5:$M$12,MATCH(D487,Lookup!$L$5:$L$12,0))&amp;
K487&amp;L487&amp;M487&amp;N487&amp;
INDEX(Lookup!$N$5:$N$12,MATCH(D487,Lookup!$L$5:$L$12,0))</f>
        <v>#N/A</v>
      </c>
    </row>
    <row r="488" spans="2:16" x14ac:dyDescent="0.45">
      <c r="B488">
        <f t="shared" si="21"/>
        <v>486</v>
      </c>
      <c r="C488" t="e">
        <f t="shared" si="23"/>
        <v>#N/A</v>
      </c>
      <c r="D488" t="e">
        <f>VLOOKUP(C488,Lookup!$K$5:$L$12,2,FALSE)</f>
        <v>#N/A</v>
      </c>
      <c r="E488" t="e">
        <f>IF(D488=Lookup!$L$5,E487+1,E487)</f>
        <v>#N/A</v>
      </c>
      <c r="F488" s="3" t="e">
        <f>INDEX(views[Entities count],MATCH('view-code'!E488,views[object_id order],0))</f>
        <v>#N/A</v>
      </c>
      <c r="G488" t="e">
        <f>IF(D487=Lookup!$L$10,1,IF(D487=Lookup!$L$11,G487+1,""))</f>
        <v>#N/A</v>
      </c>
      <c r="H488" t="e">
        <f>IF(F488=1,IF(D488=Lookup!$L$10,2,1),IF(G488&lt;F488-1,0,1))</f>
        <v>#N/A</v>
      </c>
      <c r="I488" t="e">
        <f>IF(D488&lt;&gt;Lookup!$L$7,0,IF(INDEX(views[name],MATCH(E488,views[object_id order],0))&lt;&gt;"",0,1))</f>
        <v>#N/A</v>
      </c>
      <c r="J488" t="e">
        <f>IF(D488&lt;&gt;Lookup!$L$7,0,IF(INDEX(views[icon],MATCH(E488,views[object_id order],0))&lt;&gt;"",0,1))</f>
        <v>#N/A</v>
      </c>
      <c r="K488" t="e">
        <f>IF($D488=Lookup!$L$6,INDEX(views[object_id],MATCH($E488,views[object_id order],0)),"")</f>
        <v>#N/A</v>
      </c>
      <c r="L488" t="e">
        <f>IF($D488=Lookup!$L$8,INDEX(views[name],MATCH($E488,views[object_id order],0)),"")</f>
        <v>#N/A</v>
      </c>
      <c r="M488" t="e">
        <f>IF($D488=Lookup!$L$9,INDEX(views[icon],MATCH($E488,views[object_id order],0)),"")</f>
        <v>#N/A</v>
      </c>
      <c r="N488" t="e">
        <f>IF(OR(D488=Lookup!$L$11,D488=Lookup!$L$12),INDEX(views[[1]:[25]],MATCH($E488,views[object_id order],0),G488),"")</f>
        <v>#N/A</v>
      </c>
      <c r="O488" t="str">
        <f t="shared" si="22"/>
        <v/>
      </c>
      <c r="P488" s="8" t="e">
        <f>INDEX(Lookup!$M$5:$M$12,MATCH(D488,Lookup!$L$5:$L$12,0))&amp;
K488&amp;L488&amp;M488&amp;N488&amp;
INDEX(Lookup!$N$5:$N$12,MATCH(D488,Lookup!$L$5:$L$12,0))</f>
        <v>#N/A</v>
      </c>
    </row>
    <row r="489" spans="2:16" x14ac:dyDescent="0.45">
      <c r="B489">
        <f t="shared" si="21"/>
        <v>487</v>
      </c>
      <c r="C489" t="e">
        <f t="shared" si="23"/>
        <v>#N/A</v>
      </c>
      <c r="D489" t="e">
        <f>VLOOKUP(C489,Lookup!$K$5:$L$12,2,FALSE)</f>
        <v>#N/A</v>
      </c>
      <c r="E489" t="e">
        <f>IF(D489=Lookup!$L$5,E488+1,E488)</f>
        <v>#N/A</v>
      </c>
      <c r="F489" s="3" t="e">
        <f>INDEX(views[Entities count],MATCH('view-code'!E489,views[object_id order],0))</f>
        <v>#N/A</v>
      </c>
      <c r="G489" t="e">
        <f>IF(D488=Lookup!$L$10,1,IF(D488=Lookup!$L$11,G488+1,""))</f>
        <v>#N/A</v>
      </c>
      <c r="H489" t="e">
        <f>IF(F489=1,IF(D489=Lookup!$L$10,2,1),IF(G489&lt;F489-1,0,1))</f>
        <v>#N/A</v>
      </c>
      <c r="I489" t="e">
        <f>IF(D489&lt;&gt;Lookup!$L$7,0,IF(INDEX(views[name],MATCH(E489,views[object_id order],0))&lt;&gt;"",0,1))</f>
        <v>#N/A</v>
      </c>
      <c r="J489" t="e">
        <f>IF(D489&lt;&gt;Lookup!$L$7,0,IF(INDEX(views[icon],MATCH(E489,views[object_id order],0))&lt;&gt;"",0,1))</f>
        <v>#N/A</v>
      </c>
      <c r="K489" t="e">
        <f>IF($D489=Lookup!$L$6,INDEX(views[object_id],MATCH($E489,views[object_id order],0)),"")</f>
        <v>#N/A</v>
      </c>
      <c r="L489" t="e">
        <f>IF($D489=Lookup!$L$8,INDEX(views[name],MATCH($E489,views[object_id order],0)),"")</f>
        <v>#N/A</v>
      </c>
      <c r="M489" t="e">
        <f>IF($D489=Lookup!$L$9,INDEX(views[icon],MATCH($E489,views[object_id order],0)),"")</f>
        <v>#N/A</v>
      </c>
      <c r="N489" t="e">
        <f>IF(OR(D489=Lookup!$L$11,D489=Lookup!$L$12),INDEX(views[[1]:[25]],MATCH($E489,views[object_id order],0),G489),"")</f>
        <v>#N/A</v>
      </c>
      <c r="O489" t="str">
        <f t="shared" si="22"/>
        <v/>
      </c>
      <c r="P489" s="8" t="e">
        <f>INDEX(Lookup!$M$5:$M$12,MATCH(D489,Lookup!$L$5:$L$12,0))&amp;
K489&amp;L489&amp;M489&amp;N489&amp;
INDEX(Lookup!$N$5:$N$12,MATCH(D489,Lookup!$L$5:$L$12,0))</f>
        <v>#N/A</v>
      </c>
    </row>
    <row r="490" spans="2:16" x14ac:dyDescent="0.45">
      <c r="B490">
        <f t="shared" si="21"/>
        <v>488</v>
      </c>
      <c r="C490" t="e">
        <f t="shared" si="23"/>
        <v>#N/A</v>
      </c>
      <c r="D490" t="e">
        <f>VLOOKUP(C490,Lookup!$K$5:$L$12,2,FALSE)</f>
        <v>#N/A</v>
      </c>
      <c r="E490" t="e">
        <f>IF(D490=Lookup!$L$5,E489+1,E489)</f>
        <v>#N/A</v>
      </c>
      <c r="F490" s="3" t="e">
        <f>INDEX(views[Entities count],MATCH('view-code'!E490,views[object_id order],0))</f>
        <v>#N/A</v>
      </c>
      <c r="G490" t="e">
        <f>IF(D489=Lookup!$L$10,1,IF(D489=Lookup!$L$11,G489+1,""))</f>
        <v>#N/A</v>
      </c>
      <c r="H490" t="e">
        <f>IF(F490=1,IF(D490=Lookup!$L$10,2,1),IF(G490&lt;F490-1,0,1))</f>
        <v>#N/A</v>
      </c>
      <c r="I490" t="e">
        <f>IF(D490&lt;&gt;Lookup!$L$7,0,IF(INDEX(views[name],MATCH(E490,views[object_id order],0))&lt;&gt;"",0,1))</f>
        <v>#N/A</v>
      </c>
      <c r="J490" t="e">
        <f>IF(D490&lt;&gt;Lookup!$L$7,0,IF(INDEX(views[icon],MATCH(E490,views[object_id order],0))&lt;&gt;"",0,1))</f>
        <v>#N/A</v>
      </c>
      <c r="K490" t="e">
        <f>IF($D490=Lookup!$L$6,INDEX(views[object_id],MATCH($E490,views[object_id order],0)),"")</f>
        <v>#N/A</v>
      </c>
      <c r="L490" t="e">
        <f>IF($D490=Lookup!$L$8,INDEX(views[name],MATCH($E490,views[object_id order],0)),"")</f>
        <v>#N/A</v>
      </c>
      <c r="M490" t="e">
        <f>IF($D490=Lookup!$L$9,INDEX(views[icon],MATCH($E490,views[object_id order],0)),"")</f>
        <v>#N/A</v>
      </c>
      <c r="N490" t="e">
        <f>IF(OR(D490=Lookup!$L$11,D490=Lookup!$L$12),INDEX(views[[1]:[25]],MATCH($E490,views[object_id order],0),G490),"")</f>
        <v>#N/A</v>
      </c>
      <c r="O490" t="str">
        <f t="shared" si="22"/>
        <v/>
      </c>
      <c r="P490" s="8" t="e">
        <f>INDEX(Lookup!$M$5:$M$12,MATCH(D490,Lookup!$L$5:$L$12,0))&amp;
K490&amp;L490&amp;M490&amp;N490&amp;
INDEX(Lookup!$N$5:$N$12,MATCH(D490,Lookup!$L$5:$L$12,0))</f>
        <v>#N/A</v>
      </c>
    </row>
    <row r="491" spans="2:16" x14ac:dyDescent="0.45">
      <c r="B491">
        <f t="shared" si="21"/>
        <v>489</v>
      </c>
      <c r="C491" t="e">
        <f t="shared" si="23"/>
        <v>#N/A</v>
      </c>
      <c r="D491" t="e">
        <f>VLOOKUP(C491,Lookup!$K$5:$L$12,2,FALSE)</f>
        <v>#N/A</v>
      </c>
      <c r="E491" t="e">
        <f>IF(D491=Lookup!$L$5,E490+1,E490)</f>
        <v>#N/A</v>
      </c>
      <c r="F491" s="3" t="e">
        <f>INDEX(views[Entities count],MATCH('view-code'!E491,views[object_id order],0))</f>
        <v>#N/A</v>
      </c>
      <c r="G491" t="e">
        <f>IF(D490=Lookup!$L$10,1,IF(D490=Lookup!$L$11,G490+1,""))</f>
        <v>#N/A</v>
      </c>
      <c r="H491" t="e">
        <f>IF(F491=1,IF(D491=Lookup!$L$10,2,1),IF(G491&lt;F491-1,0,1))</f>
        <v>#N/A</v>
      </c>
      <c r="I491" t="e">
        <f>IF(D491&lt;&gt;Lookup!$L$7,0,IF(INDEX(views[name],MATCH(E491,views[object_id order],0))&lt;&gt;"",0,1))</f>
        <v>#N/A</v>
      </c>
      <c r="J491" t="e">
        <f>IF(D491&lt;&gt;Lookup!$L$7,0,IF(INDEX(views[icon],MATCH(E491,views[object_id order],0))&lt;&gt;"",0,1))</f>
        <v>#N/A</v>
      </c>
      <c r="K491" t="e">
        <f>IF($D491=Lookup!$L$6,INDEX(views[object_id],MATCH($E491,views[object_id order],0)),"")</f>
        <v>#N/A</v>
      </c>
      <c r="L491" t="e">
        <f>IF($D491=Lookup!$L$8,INDEX(views[name],MATCH($E491,views[object_id order],0)),"")</f>
        <v>#N/A</v>
      </c>
      <c r="M491" t="e">
        <f>IF($D491=Lookup!$L$9,INDEX(views[icon],MATCH($E491,views[object_id order],0)),"")</f>
        <v>#N/A</v>
      </c>
      <c r="N491" t="e">
        <f>IF(OR(D491=Lookup!$L$11,D491=Lookup!$L$12),INDEX(views[[1]:[25]],MATCH($E491,views[object_id order],0),G491),"")</f>
        <v>#N/A</v>
      </c>
      <c r="O491" t="str">
        <f t="shared" si="22"/>
        <v/>
      </c>
      <c r="P491" s="8" t="e">
        <f>INDEX(Lookup!$M$5:$M$12,MATCH(D491,Lookup!$L$5:$L$12,0))&amp;
K491&amp;L491&amp;M491&amp;N491&amp;
INDEX(Lookup!$N$5:$N$12,MATCH(D491,Lookup!$L$5:$L$12,0))</f>
        <v>#N/A</v>
      </c>
    </row>
    <row r="492" spans="2:16" x14ac:dyDescent="0.45">
      <c r="B492">
        <f t="shared" si="21"/>
        <v>490</v>
      </c>
      <c r="C492" t="e">
        <f t="shared" si="23"/>
        <v>#N/A</v>
      </c>
      <c r="D492" t="e">
        <f>VLOOKUP(C492,Lookup!$K$5:$L$12,2,FALSE)</f>
        <v>#N/A</v>
      </c>
      <c r="E492" t="e">
        <f>IF(D492=Lookup!$L$5,E491+1,E491)</f>
        <v>#N/A</v>
      </c>
      <c r="F492" s="3" t="e">
        <f>INDEX(views[Entities count],MATCH('view-code'!E492,views[object_id order],0))</f>
        <v>#N/A</v>
      </c>
      <c r="G492" t="e">
        <f>IF(D491=Lookup!$L$10,1,IF(D491=Lookup!$L$11,G491+1,""))</f>
        <v>#N/A</v>
      </c>
      <c r="H492" t="e">
        <f>IF(F492=1,IF(D492=Lookup!$L$10,2,1),IF(G492&lt;F492-1,0,1))</f>
        <v>#N/A</v>
      </c>
      <c r="I492" t="e">
        <f>IF(D492&lt;&gt;Lookup!$L$7,0,IF(INDEX(views[name],MATCH(E492,views[object_id order],0))&lt;&gt;"",0,1))</f>
        <v>#N/A</v>
      </c>
      <c r="J492" t="e">
        <f>IF(D492&lt;&gt;Lookup!$L$7,0,IF(INDEX(views[icon],MATCH(E492,views[object_id order],0))&lt;&gt;"",0,1))</f>
        <v>#N/A</v>
      </c>
      <c r="K492" t="e">
        <f>IF($D492=Lookup!$L$6,INDEX(views[object_id],MATCH($E492,views[object_id order],0)),"")</f>
        <v>#N/A</v>
      </c>
      <c r="L492" t="e">
        <f>IF($D492=Lookup!$L$8,INDEX(views[name],MATCH($E492,views[object_id order],0)),"")</f>
        <v>#N/A</v>
      </c>
      <c r="M492" t="e">
        <f>IF($D492=Lookup!$L$9,INDEX(views[icon],MATCH($E492,views[object_id order],0)),"")</f>
        <v>#N/A</v>
      </c>
      <c r="N492" t="e">
        <f>IF(OR(D492=Lookup!$L$11,D492=Lookup!$L$12),INDEX(views[[1]:[25]],MATCH($E492,views[object_id order],0),G492),"")</f>
        <v>#N/A</v>
      </c>
      <c r="O492" t="str">
        <f t="shared" si="22"/>
        <v/>
      </c>
      <c r="P492" s="8" t="e">
        <f>INDEX(Lookup!$M$5:$M$12,MATCH(D492,Lookup!$L$5:$L$12,0))&amp;
K492&amp;L492&amp;M492&amp;N492&amp;
INDEX(Lookup!$N$5:$N$12,MATCH(D492,Lookup!$L$5:$L$12,0))</f>
        <v>#N/A</v>
      </c>
    </row>
    <row r="493" spans="2:16" x14ac:dyDescent="0.45">
      <c r="B493">
        <f t="shared" si="21"/>
        <v>491</v>
      </c>
      <c r="C493" t="e">
        <f t="shared" si="23"/>
        <v>#N/A</v>
      </c>
      <c r="D493" t="e">
        <f>VLOOKUP(C493,Lookup!$K$5:$L$12,2,FALSE)</f>
        <v>#N/A</v>
      </c>
      <c r="E493" t="e">
        <f>IF(D493=Lookup!$L$5,E492+1,E492)</f>
        <v>#N/A</v>
      </c>
      <c r="F493" s="3" t="e">
        <f>INDEX(views[Entities count],MATCH('view-code'!E493,views[object_id order],0))</f>
        <v>#N/A</v>
      </c>
      <c r="G493" t="e">
        <f>IF(D492=Lookup!$L$10,1,IF(D492=Lookup!$L$11,G492+1,""))</f>
        <v>#N/A</v>
      </c>
      <c r="H493" t="e">
        <f>IF(F493=1,IF(D493=Lookup!$L$10,2,1),IF(G493&lt;F493-1,0,1))</f>
        <v>#N/A</v>
      </c>
      <c r="I493" t="e">
        <f>IF(D493&lt;&gt;Lookup!$L$7,0,IF(INDEX(views[name],MATCH(E493,views[object_id order],0))&lt;&gt;"",0,1))</f>
        <v>#N/A</v>
      </c>
      <c r="J493" t="e">
        <f>IF(D493&lt;&gt;Lookup!$L$7,0,IF(INDEX(views[icon],MATCH(E493,views[object_id order],0))&lt;&gt;"",0,1))</f>
        <v>#N/A</v>
      </c>
      <c r="K493" t="e">
        <f>IF($D493=Lookup!$L$6,INDEX(views[object_id],MATCH($E493,views[object_id order],0)),"")</f>
        <v>#N/A</v>
      </c>
      <c r="L493" t="e">
        <f>IF($D493=Lookup!$L$8,INDEX(views[name],MATCH($E493,views[object_id order],0)),"")</f>
        <v>#N/A</v>
      </c>
      <c r="M493" t="e">
        <f>IF($D493=Lookup!$L$9,INDEX(views[icon],MATCH($E493,views[object_id order],0)),"")</f>
        <v>#N/A</v>
      </c>
      <c r="N493" t="e">
        <f>IF(OR(D493=Lookup!$L$11,D493=Lookup!$L$12),INDEX(views[[1]:[25]],MATCH($E493,views[object_id order],0),G493),"")</f>
        <v>#N/A</v>
      </c>
      <c r="O493" t="str">
        <f t="shared" si="22"/>
        <v/>
      </c>
      <c r="P493" s="8" t="e">
        <f>INDEX(Lookup!$M$5:$M$12,MATCH(D493,Lookup!$L$5:$L$12,0))&amp;
K493&amp;L493&amp;M493&amp;N493&amp;
INDEX(Lookup!$N$5:$N$12,MATCH(D493,Lookup!$L$5:$L$12,0))</f>
        <v>#N/A</v>
      </c>
    </row>
    <row r="494" spans="2:16" x14ac:dyDescent="0.45">
      <c r="B494">
        <f t="shared" si="21"/>
        <v>492</v>
      </c>
      <c r="C494" t="e">
        <f t="shared" si="23"/>
        <v>#N/A</v>
      </c>
      <c r="D494" t="e">
        <f>VLOOKUP(C494,Lookup!$K$5:$L$12,2,FALSE)</f>
        <v>#N/A</v>
      </c>
      <c r="E494" t="e">
        <f>IF(D494=Lookup!$L$5,E493+1,E493)</f>
        <v>#N/A</v>
      </c>
      <c r="F494" s="3" t="e">
        <f>INDEX(views[Entities count],MATCH('view-code'!E494,views[object_id order],0))</f>
        <v>#N/A</v>
      </c>
      <c r="G494" t="e">
        <f>IF(D493=Lookup!$L$10,1,IF(D493=Lookup!$L$11,G493+1,""))</f>
        <v>#N/A</v>
      </c>
      <c r="H494" t="e">
        <f>IF(F494=1,IF(D494=Lookup!$L$10,2,1),IF(G494&lt;F494-1,0,1))</f>
        <v>#N/A</v>
      </c>
      <c r="I494" t="e">
        <f>IF(D494&lt;&gt;Lookup!$L$7,0,IF(INDEX(views[name],MATCH(E494,views[object_id order],0))&lt;&gt;"",0,1))</f>
        <v>#N/A</v>
      </c>
      <c r="J494" t="e">
        <f>IF(D494&lt;&gt;Lookup!$L$7,0,IF(INDEX(views[icon],MATCH(E494,views[object_id order],0))&lt;&gt;"",0,1))</f>
        <v>#N/A</v>
      </c>
      <c r="K494" t="e">
        <f>IF($D494=Lookup!$L$6,INDEX(views[object_id],MATCH($E494,views[object_id order],0)),"")</f>
        <v>#N/A</v>
      </c>
      <c r="L494" t="e">
        <f>IF($D494=Lookup!$L$8,INDEX(views[name],MATCH($E494,views[object_id order],0)),"")</f>
        <v>#N/A</v>
      </c>
      <c r="M494" t="e">
        <f>IF($D494=Lookup!$L$9,INDEX(views[icon],MATCH($E494,views[object_id order],0)),"")</f>
        <v>#N/A</v>
      </c>
      <c r="N494" t="e">
        <f>IF(OR(D494=Lookup!$L$11,D494=Lookup!$L$12),INDEX(views[[1]:[25]],MATCH($E494,views[object_id order],0),G494),"")</f>
        <v>#N/A</v>
      </c>
      <c r="O494" t="str">
        <f t="shared" si="22"/>
        <v/>
      </c>
      <c r="P494" s="8" t="e">
        <f>INDEX(Lookup!$M$5:$M$12,MATCH(D494,Lookup!$L$5:$L$12,0))&amp;
K494&amp;L494&amp;M494&amp;N494&amp;
INDEX(Lookup!$N$5:$N$12,MATCH(D494,Lookup!$L$5:$L$12,0))</f>
        <v>#N/A</v>
      </c>
    </row>
    <row r="495" spans="2:16" x14ac:dyDescent="0.45">
      <c r="B495">
        <f t="shared" si="21"/>
        <v>493</v>
      </c>
      <c r="C495" t="e">
        <f t="shared" si="23"/>
        <v>#N/A</v>
      </c>
      <c r="D495" t="e">
        <f>VLOOKUP(C495,Lookup!$K$5:$L$12,2,FALSE)</f>
        <v>#N/A</v>
      </c>
      <c r="E495" t="e">
        <f>IF(D495=Lookup!$L$5,E494+1,E494)</f>
        <v>#N/A</v>
      </c>
      <c r="F495" s="3" t="e">
        <f>INDEX(views[Entities count],MATCH('view-code'!E495,views[object_id order],0))</f>
        <v>#N/A</v>
      </c>
      <c r="G495" t="e">
        <f>IF(D494=Lookup!$L$10,1,IF(D494=Lookup!$L$11,G494+1,""))</f>
        <v>#N/A</v>
      </c>
      <c r="H495" t="e">
        <f>IF(F495=1,IF(D495=Lookup!$L$10,2,1),IF(G495&lt;F495-1,0,1))</f>
        <v>#N/A</v>
      </c>
      <c r="I495" t="e">
        <f>IF(D495&lt;&gt;Lookup!$L$7,0,IF(INDEX(views[name],MATCH(E495,views[object_id order],0))&lt;&gt;"",0,1))</f>
        <v>#N/A</v>
      </c>
      <c r="J495" t="e">
        <f>IF(D495&lt;&gt;Lookup!$L$7,0,IF(INDEX(views[icon],MATCH(E495,views[object_id order],0))&lt;&gt;"",0,1))</f>
        <v>#N/A</v>
      </c>
      <c r="K495" t="e">
        <f>IF($D495=Lookup!$L$6,INDEX(views[object_id],MATCH($E495,views[object_id order],0)),"")</f>
        <v>#N/A</v>
      </c>
      <c r="L495" t="e">
        <f>IF($D495=Lookup!$L$8,INDEX(views[name],MATCH($E495,views[object_id order],0)),"")</f>
        <v>#N/A</v>
      </c>
      <c r="M495" t="e">
        <f>IF($D495=Lookup!$L$9,INDEX(views[icon],MATCH($E495,views[object_id order],0)),"")</f>
        <v>#N/A</v>
      </c>
      <c r="N495" t="e">
        <f>IF(OR(D495=Lookup!$L$11,D495=Lookup!$L$12),INDEX(views[[1]:[25]],MATCH($E495,views[object_id order],0),G495),"")</f>
        <v>#N/A</v>
      </c>
      <c r="O495" t="str">
        <f t="shared" si="22"/>
        <v/>
      </c>
      <c r="P495" s="8" t="e">
        <f>INDEX(Lookup!$M$5:$M$12,MATCH(D495,Lookup!$L$5:$L$12,0))&amp;
K495&amp;L495&amp;M495&amp;N495&amp;
INDEX(Lookup!$N$5:$N$12,MATCH(D495,Lookup!$L$5:$L$12,0))</f>
        <v>#N/A</v>
      </c>
    </row>
    <row r="496" spans="2:16" x14ac:dyDescent="0.45">
      <c r="B496">
        <f t="shared" si="21"/>
        <v>494</v>
      </c>
      <c r="C496" t="e">
        <f t="shared" si="23"/>
        <v>#N/A</v>
      </c>
      <c r="D496" t="e">
        <f>VLOOKUP(C496,Lookup!$K$5:$L$12,2,FALSE)</f>
        <v>#N/A</v>
      </c>
      <c r="E496" t="e">
        <f>IF(D496=Lookup!$L$5,E495+1,E495)</f>
        <v>#N/A</v>
      </c>
      <c r="F496" s="3" t="e">
        <f>INDEX(views[Entities count],MATCH('view-code'!E496,views[object_id order],0))</f>
        <v>#N/A</v>
      </c>
      <c r="G496" t="e">
        <f>IF(D495=Lookup!$L$10,1,IF(D495=Lookup!$L$11,G495+1,""))</f>
        <v>#N/A</v>
      </c>
      <c r="H496" t="e">
        <f>IF(F496=1,IF(D496=Lookup!$L$10,2,1),IF(G496&lt;F496-1,0,1))</f>
        <v>#N/A</v>
      </c>
      <c r="I496" t="e">
        <f>IF(D496&lt;&gt;Lookup!$L$7,0,IF(INDEX(views[name],MATCH(E496,views[object_id order],0))&lt;&gt;"",0,1))</f>
        <v>#N/A</v>
      </c>
      <c r="J496" t="e">
        <f>IF(D496&lt;&gt;Lookup!$L$7,0,IF(INDEX(views[icon],MATCH(E496,views[object_id order],0))&lt;&gt;"",0,1))</f>
        <v>#N/A</v>
      </c>
      <c r="K496" t="e">
        <f>IF($D496=Lookup!$L$6,INDEX(views[object_id],MATCH($E496,views[object_id order],0)),"")</f>
        <v>#N/A</v>
      </c>
      <c r="L496" t="e">
        <f>IF($D496=Lookup!$L$8,INDEX(views[name],MATCH($E496,views[object_id order],0)),"")</f>
        <v>#N/A</v>
      </c>
      <c r="M496" t="e">
        <f>IF($D496=Lookup!$L$9,INDEX(views[icon],MATCH($E496,views[object_id order],0)),"")</f>
        <v>#N/A</v>
      </c>
      <c r="N496" t="e">
        <f>IF(OR(D496=Lookup!$L$11,D496=Lookup!$L$12),INDEX(views[[1]:[25]],MATCH($E496,views[object_id order],0),G496),"")</f>
        <v>#N/A</v>
      </c>
      <c r="O496" t="str">
        <f t="shared" si="22"/>
        <v/>
      </c>
      <c r="P496" s="8" t="e">
        <f>INDEX(Lookup!$M$5:$M$12,MATCH(D496,Lookup!$L$5:$L$12,0))&amp;
K496&amp;L496&amp;M496&amp;N496&amp;
INDEX(Lookup!$N$5:$N$12,MATCH(D496,Lookup!$L$5:$L$12,0))</f>
        <v>#N/A</v>
      </c>
    </row>
    <row r="497" spans="2:16" x14ac:dyDescent="0.45">
      <c r="B497">
        <f t="shared" si="21"/>
        <v>495</v>
      </c>
      <c r="C497" t="e">
        <f t="shared" si="23"/>
        <v>#N/A</v>
      </c>
      <c r="D497" t="e">
        <f>VLOOKUP(C497,Lookup!$K$5:$L$12,2,FALSE)</f>
        <v>#N/A</v>
      </c>
      <c r="E497" t="e">
        <f>IF(D497=Lookup!$L$5,E496+1,E496)</f>
        <v>#N/A</v>
      </c>
      <c r="F497" s="3" t="e">
        <f>INDEX(views[Entities count],MATCH('view-code'!E497,views[object_id order],0))</f>
        <v>#N/A</v>
      </c>
      <c r="G497" t="e">
        <f>IF(D496=Lookup!$L$10,1,IF(D496=Lookup!$L$11,G496+1,""))</f>
        <v>#N/A</v>
      </c>
      <c r="H497" t="e">
        <f>IF(F497=1,IF(D497=Lookup!$L$10,2,1),IF(G497&lt;F497-1,0,1))</f>
        <v>#N/A</v>
      </c>
      <c r="I497" t="e">
        <f>IF(D497&lt;&gt;Lookup!$L$7,0,IF(INDEX(views[name],MATCH(E497,views[object_id order],0))&lt;&gt;"",0,1))</f>
        <v>#N/A</v>
      </c>
      <c r="J497" t="e">
        <f>IF(D497&lt;&gt;Lookup!$L$7,0,IF(INDEX(views[icon],MATCH(E497,views[object_id order],0))&lt;&gt;"",0,1))</f>
        <v>#N/A</v>
      </c>
      <c r="K497" t="e">
        <f>IF($D497=Lookup!$L$6,INDEX(views[object_id],MATCH($E497,views[object_id order],0)),"")</f>
        <v>#N/A</v>
      </c>
      <c r="L497" t="e">
        <f>IF($D497=Lookup!$L$8,INDEX(views[name],MATCH($E497,views[object_id order],0)),"")</f>
        <v>#N/A</v>
      </c>
      <c r="M497" t="e">
        <f>IF($D497=Lookup!$L$9,INDEX(views[icon],MATCH($E497,views[object_id order],0)),"")</f>
        <v>#N/A</v>
      </c>
      <c r="N497" t="e">
        <f>IF(OR(D497=Lookup!$L$11,D497=Lookup!$L$12),INDEX(views[[1]:[25]],MATCH($E497,views[object_id order],0),G497),"")</f>
        <v>#N/A</v>
      </c>
      <c r="O497" t="str">
        <f t="shared" si="22"/>
        <v/>
      </c>
      <c r="P497" s="8" t="e">
        <f>INDEX(Lookup!$M$5:$M$12,MATCH(D497,Lookup!$L$5:$L$12,0))&amp;
K497&amp;L497&amp;M497&amp;N497&amp;
INDEX(Lookup!$N$5:$N$12,MATCH(D497,Lookup!$L$5:$L$12,0))</f>
        <v>#N/A</v>
      </c>
    </row>
    <row r="498" spans="2:16" x14ac:dyDescent="0.45">
      <c r="B498">
        <f t="shared" si="21"/>
        <v>496</v>
      </c>
      <c r="C498" t="e">
        <f t="shared" si="23"/>
        <v>#N/A</v>
      </c>
      <c r="D498" t="e">
        <f>VLOOKUP(C498,Lookup!$K$5:$L$12,2,FALSE)</f>
        <v>#N/A</v>
      </c>
      <c r="E498" t="e">
        <f>IF(D498=Lookup!$L$5,E497+1,E497)</f>
        <v>#N/A</v>
      </c>
      <c r="F498" s="3" t="e">
        <f>INDEX(views[Entities count],MATCH('view-code'!E498,views[object_id order],0))</f>
        <v>#N/A</v>
      </c>
      <c r="G498" t="e">
        <f>IF(D497=Lookup!$L$10,1,IF(D497=Lookup!$L$11,G497+1,""))</f>
        <v>#N/A</v>
      </c>
      <c r="H498" t="e">
        <f>IF(F498=1,IF(D498=Lookup!$L$10,2,1),IF(G498&lt;F498-1,0,1))</f>
        <v>#N/A</v>
      </c>
      <c r="I498" t="e">
        <f>IF(D498&lt;&gt;Lookup!$L$7,0,IF(INDEX(views[name],MATCH(E498,views[object_id order],0))&lt;&gt;"",0,1))</f>
        <v>#N/A</v>
      </c>
      <c r="J498" t="e">
        <f>IF(D498&lt;&gt;Lookup!$L$7,0,IF(INDEX(views[icon],MATCH(E498,views[object_id order],0))&lt;&gt;"",0,1))</f>
        <v>#N/A</v>
      </c>
      <c r="K498" t="e">
        <f>IF($D498=Lookup!$L$6,INDEX(views[object_id],MATCH($E498,views[object_id order],0)),"")</f>
        <v>#N/A</v>
      </c>
      <c r="L498" t="e">
        <f>IF($D498=Lookup!$L$8,INDEX(views[name],MATCH($E498,views[object_id order],0)),"")</f>
        <v>#N/A</v>
      </c>
      <c r="M498" t="e">
        <f>IF($D498=Lookup!$L$9,INDEX(views[icon],MATCH($E498,views[object_id order],0)),"")</f>
        <v>#N/A</v>
      </c>
      <c r="N498" t="e">
        <f>IF(OR(D498=Lookup!$L$11,D498=Lookup!$L$12),INDEX(views[[1]:[25]],MATCH($E498,views[object_id order],0),G498),"")</f>
        <v>#N/A</v>
      </c>
      <c r="O498" t="str">
        <f t="shared" si="22"/>
        <v/>
      </c>
      <c r="P498" s="8" t="e">
        <f>INDEX(Lookup!$M$5:$M$12,MATCH(D498,Lookup!$L$5:$L$12,0))&amp;
K498&amp;L498&amp;M498&amp;N498&amp;
INDEX(Lookup!$N$5:$N$12,MATCH(D498,Lookup!$L$5:$L$12,0))</f>
        <v>#N/A</v>
      </c>
    </row>
    <row r="499" spans="2:16" x14ac:dyDescent="0.45">
      <c r="B499">
        <f t="shared" si="21"/>
        <v>497</v>
      </c>
      <c r="C499" t="e">
        <f t="shared" si="23"/>
        <v>#N/A</v>
      </c>
      <c r="D499" t="e">
        <f>VLOOKUP(C499,Lookup!$K$5:$L$12,2,FALSE)</f>
        <v>#N/A</v>
      </c>
      <c r="E499" t="e">
        <f>IF(D499=Lookup!$L$5,E498+1,E498)</f>
        <v>#N/A</v>
      </c>
      <c r="F499" s="3" t="e">
        <f>INDEX(views[Entities count],MATCH('view-code'!E499,views[object_id order],0))</f>
        <v>#N/A</v>
      </c>
      <c r="G499" t="e">
        <f>IF(D498=Lookup!$L$10,1,IF(D498=Lookup!$L$11,G498+1,""))</f>
        <v>#N/A</v>
      </c>
      <c r="H499" t="e">
        <f>IF(F499=1,IF(D499=Lookup!$L$10,2,1),IF(G499&lt;F499-1,0,1))</f>
        <v>#N/A</v>
      </c>
      <c r="I499" t="e">
        <f>IF(D499&lt;&gt;Lookup!$L$7,0,IF(INDEX(views[name],MATCH(E499,views[object_id order],0))&lt;&gt;"",0,1))</f>
        <v>#N/A</v>
      </c>
      <c r="J499" t="e">
        <f>IF(D499&lt;&gt;Lookup!$L$7,0,IF(INDEX(views[icon],MATCH(E499,views[object_id order],0))&lt;&gt;"",0,1))</f>
        <v>#N/A</v>
      </c>
      <c r="K499" t="e">
        <f>IF($D499=Lookup!$L$6,INDEX(views[object_id],MATCH($E499,views[object_id order],0)),"")</f>
        <v>#N/A</v>
      </c>
      <c r="L499" t="e">
        <f>IF($D499=Lookup!$L$8,INDEX(views[name],MATCH($E499,views[object_id order],0)),"")</f>
        <v>#N/A</v>
      </c>
      <c r="M499" t="e">
        <f>IF($D499=Lookup!$L$9,INDEX(views[icon],MATCH($E499,views[object_id order],0)),"")</f>
        <v>#N/A</v>
      </c>
      <c r="N499" t="e">
        <f>IF(OR(D499=Lookup!$L$11,D499=Lookup!$L$12),INDEX(views[[1]:[25]],MATCH($E499,views[object_id order],0),G499),"")</f>
        <v>#N/A</v>
      </c>
      <c r="O499" t="str">
        <f t="shared" si="22"/>
        <v/>
      </c>
      <c r="P499" s="8" t="e">
        <f>INDEX(Lookup!$M$5:$M$12,MATCH(D499,Lookup!$L$5:$L$12,0))&amp;
K499&amp;L499&amp;M499&amp;N499&amp;
INDEX(Lookup!$N$5:$N$12,MATCH(D499,Lookup!$L$5:$L$12,0))</f>
        <v>#N/A</v>
      </c>
    </row>
    <row r="500" spans="2:16" x14ac:dyDescent="0.45">
      <c r="B500">
        <f t="shared" si="21"/>
        <v>498</v>
      </c>
      <c r="C500" t="e">
        <f t="shared" si="23"/>
        <v>#N/A</v>
      </c>
      <c r="D500" t="e">
        <f>VLOOKUP(C500,Lookup!$K$5:$L$12,2,FALSE)</f>
        <v>#N/A</v>
      </c>
      <c r="E500" t="e">
        <f>IF(D500=Lookup!$L$5,E499+1,E499)</f>
        <v>#N/A</v>
      </c>
      <c r="F500" s="3" t="e">
        <f>INDEX(views[Entities count],MATCH('view-code'!E500,views[object_id order],0))</f>
        <v>#N/A</v>
      </c>
      <c r="G500" t="e">
        <f>IF(D499=Lookup!$L$10,1,IF(D499=Lookup!$L$11,G499+1,""))</f>
        <v>#N/A</v>
      </c>
      <c r="H500" t="e">
        <f>IF(F500=1,IF(D500=Lookup!$L$10,2,1),IF(G500&lt;F500-1,0,1))</f>
        <v>#N/A</v>
      </c>
      <c r="I500" t="e">
        <f>IF(D500&lt;&gt;Lookup!$L$7,0,IF(INDEX(views[name],MATCH(E500,views[object_id order],0))&lt;&gt;"",0,1))</f>
        <v>#N/A</v>
      </c>
      <c r="J500" t="e">
        <f>IF(D500&lt;&gt;Lookup!$L$7,0,IF(INDEX(views[icon],MATCH(E500,views[object_id order],0))&lt;&gt;"",0,1))</f>
        <v>#N/A</v>
      </c>
      <c r="K500" t="e">
        <f>IF($D500=Lookup!$L$6,INDEX(views[object_id],MATCH($E500,views[object_id order],0)),"")</f>
        <v>#N/A</v>
      </c>
      <c r="L500" t="e">
        <f>IF($D500=Lookup!$L$8,INDEX(views[name],MATCH($E500,views[object_id order],0)),"")</f>
        <v>#N/A</v>
      </c>
      <c r="M500" t="e">
        <f>IF($D500=Lookup!$L$9,INDEX(views[icon],MATCH($E500,views[object_id order],0)),"")</f>
        <v>#N/A</v>
      </c>
      <c r="N500" t="e">
        <f>IF(OR(D500=Lookup!$L$11,D500=Lookup!$L$12),INDEX(views[[1]:[25]],MATCH($E500,views[object_id order],0),G500),"")</f>
        <v>#N/A</v>
      </c>
      <c r="O500" t="str">
        <f t="shared" si="22"/>
        <v/>
      </c>
      <c r="P500" s="8" t="e">
        <f>INDEX(Lookup!$M$5:$M$12,MATCH(D500,Lookup!$L$5:$L$12,0))&amp;
K500&amp;L500&amp;M500&amp;N500&amp;
INDEX(Lookup!$N$5:$N$12,MATCH(D500,Lookup!$L$5:$L$12,0))</f>
        <v>#N/A</v>
      </c>
    </row>
    <row r="501" spans="2:16" x14ac:dyDescent="0.45">
      <c r="B501">
        <f t="shared" si="21"/>
        <v>499</v>
      </c>
      <c r="C501" t="e">
        <f t="shared" si="23"/>
        <v>#N/A</v>
      </c>
      <c r="D501" t="e">
        <f>VLOOKUP(C501,Lookup!$K$5:$L$12,2,FALSE)</f>
        <v>#N/A</v>
      </c>
      <c r="E501" t="e">
        <f>IF(D501=Lookup!$L$5,E500+1,E500)</f>
        <v>#N/A</v>
      </c>
      <c r="F501" s="3" t="e">
        <f>INDEX(views[Entities count],MATCH('view-code'!E501,views[object_id order],0))</f>
        <v>#N/A</v>
      </c>
      <c r="G501" t="e">
        <f>IF(D500=Lookup!$L$10,1,IF(D500=Lookup!$L$11,G500+1,""))</f>
        <v>#N/A</v>
      </c>
      <c r="H501" t="e">
        <f>IF(F501=1,IF(D501=Lookup!$L$10,2,1),IF(G501&lt;F501-1,0,1))</f>
        <v>#N/A</v>
      </c>
      <c r="I501" t="e">
        <f>IF(D501&lt;&gt;Lookup!$L$7,0,IF(INDEX(views[name],MATCH(E501,views[object_id order],0))&lt;&gt;"",0,1))</f>
        <v>#N/A</v>
      </c>
      <c r="J501" t="e">
        <f>IF(D501&lt;&gt;Lookup!$L$7,0,IF(INDEX(views[icon],MATCH(E501,views[object_id order],0))&lt;&gt;"",0,1))</f>
        <v>#N/A</v>
      </c>
      <c r="K501" t="e">
        <f>IF($D501=Lookup!$L$6,INDEX(views[object_id],MATCH($E501,views[object_id order],0)),"")</f>
        <v>#N/A</v>
      </c>
      <c r="L501" t="e">
        <f>IF($D501=Lookup!$L$8,INDEX(views[name],MATCH($E501,views[object_id order],0)),"")</f>
        <v>#N/A</v>
      </c>
      <c r="M501" t="e">
        <f>IF($D501=Lookup!$L$9,INDEX(views[icon],MATCH($E501,views[object_id order],0)),"")</f>
        <v>#N/A</v>
      </c>
      <c r="N501" t="e">
        <f>IF(OR(D501=Lookup!$L$11,D501=Lookup!$L$12),INDEX(views[[1]:[25]],MATCH($E501,views[object_id order],0),G501),"")</f>
        <v>#N/A</v>
      </c>
      <c r="O501" t="str">
        <f t="shared" si="22"/>
        <v/>
      </c>
      <c r="P501" s="8" t="e">
        <f>INDEX(Lookup!$M$5:$M$12,MATCH(D501,Lookup!$L$5:$L$12,0))&amp;
K501&amp;L501&amp;M501&amp;N501&amp;
INDEX(Lookup!$N$5:$N$12,MATCH(D501,Lookup!$L$5:$L$12,0))</f>
        <v>#N/A</v>
      </c>
    </row>
    <row r="502" spans="2:16" x14ac:dyDescent="0.45">
      <c r="B502">
        <f t="shared" si="21"/>
        <v>500</v>
      </c>
      <c r="C502" t="e">
        <f t="shared" si="23"/>
        <v>#N/A</v>
      </c>
      <c r="D502" t="e">
        <f>VLOOKUP(C502,Lookup!$K$5:$L$12,2,FALSE)</f>
        <v>#N/A</v>
      </c>
      <c r="E502" t="e">
        <f>IF(D502=Lookup!$L$5,E501+1,E501)</f>
        <v>#N/A</v>
      </c>
      <c r="F502" s="3" t="e">
        <f>INDEX(views[Entities count],MATCH('view-code'!E502,views[object_id order],0))</f>
        <v>#N/A</v>
      </c>
      <c r="G502" t="e">
        <f>IF(D501=Lookup!$L$10,1,IF(D501=Lookup!$L$11,G501+1,""))</f>
        <v>#N/A</v>
      </c>
      <c r="H502" t="e">
        <f>IF(F502=1,IF(D502=Lookup!$L$10,2,1),IF(G502&lt;F502-1,0,1))</f>
        <v>#N/A</v>
      </c>
      <c r="I502" t="e">
        <f>IF(D502&lt;&gt;Lookup!$L$7,0,IF(INDEX(views[name],MATCH(E502,views[object_id order],0))&lt;&gt;"",0,1))</f>
        <v>#N/A</v>
      </c>
      <c r="J502" t="e">
        <f>IF(D502&lt;&gt;Lookup!$L$7,0,IF(INDEX(views[icon],MATCH(E502,views[object_id order],0))&lt;&gt;"",0,1))</f>
        <v>#N/A</v>
      </c>
      <c r="K502" t="e">
        <f>IF($D502=Lookup!$L$6,INDEX(views[object_id],MATCH($E502,views[object_id order],0)),"")</f>
        <v>#N/A</v>
      </c>
      <c r="L502" t="e">
        <f>IF($D502=Lookup!$L$8,INDEX(views[name],MATCH($E502,views[object_id order],0)),"")</f>
        <v>#N/A</v>
      </c>
      <c r="M502" t="e">
        <f>IF($D502=Lookup!$L$9,INDEX(views[icon],MATCH($E502,views[object_id order],0)),"")</f>
        <v>#N/A</v>
      </c>
      <c r="N502" t="e">
        <f>IF(OR(D502=Lookup!$L$11,D502=Lookup!$L$12),INDEX(views[[1]:[25]],MATCH($E502,views[object_id order],0),G502),"")</f>
        <v>#N/A</v>
      </c>
      <c r="O502" t="str">
        <f t="shared" si="22"/>
        <v/>
      </c>
      <c r="P502" s="8" t="e">
        <f>INDEX(Lookup!$M$5:$M$12,MATCH(D502,Lookup!$L$5:$L$12,0))&amp;
K502&amp;L502&amp;M502&amp;N502&amp;
INDEX(Lookup!$N$5:$N$12,MATCH(D502,Lookup!$L$5:$L$12,0))</f>
        <v>#N/A</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2"/>
  <sheetViews>
    <sheetView workbookViewId="0">
      <selection activeCell="J1" sqref="J1"/>
    </sheetView>
  </sheetViews>
  <sheetFormatPr defaultRowHeight="14.25" x14ac:dyDescent="0.45"/>
  <cols>
    <col min="1" max="1" width="2.3984375" customWidth="1"/>
    <col min="2" max="2" width="69.265625" bestFit="1" customWidth="1"/>
    <col min="3" max="12" width="5.59765625" customWidth="1"/>
    <col min="13" max="13" width="27.265625" bestFit="1" customWidth="1"/>
    <col min="14" max="24" width="5.59765625" customWidth="1"/>
    <col min="28" max="28" width="4.86328125" customWidth="1"/>
  </cols>
  <sheetData>
    <row r="1" spans="1:15" ht="21" x14ac:dyDescent="0.65">
      <c r="A1" s="1" t="s">
        <v>637</v>
      </c>
    </row>
    <row r="3" spans="1:15" x14ac:dyDescent="0.45">
      <c r="A3" s="19" t="s">
        <v>746</v>
      </c>
    </row>
    <row r="5" spans="1:15" x14ac:dyDescent="0.45">
      <c r="C5" t="s">
        <v>668</v>
      </c>
      <c r="H5" t="s">
        <v>634</v>
      </c>
      <c r="J5" t="s">
        <v>1</v>
      </c>
      <c r="N5" t="s">
        <v>636</v>
      </c>
    </row>
    <row r="6" spans="1:15" x14ac:dyDescent="0.45">
      <c r="B6" t="s">
        <v>642</v>
      </c>
      <c r="C6" t="s">
        <v>53</v>
      </c>
      <c r="D6" t="s">
        <v>635</v>
      </c>
      <c r="E6" s="11" t="s">
        <v>634</v>
      </c>
      <c r="F6" s="11" t="s">
        <v>1</v>
      </c>
      <c r="G6" s="11" t="s">
        <v>636</v>
      </c>
      <c r="H6" t="s">
        <v>638</v>
      </c>
      <c r="I6" s="11" t="s">
        <v>639</v>
      </c>
      <c r="J6" t="s">
        <v>638</v>
      </c>
      <c r="K6" t="s">
        <v>640</v>
      </c>
      <c r="L6" s="11" t="s">
        <v>641</v>
      </c>
      <c r="M6" s="16" t="s">
        <v>669</v>
      </c>
      <c r="N6" t="s">
        <v>638</v>
      </c>
      <c r="O6" s="11" t="s">
        <v>639</v>
      </c>
    </row>
    <row r="7" spans="1:15" x14ac:dyDescent="0.45">
      <c r="B7" s="17" t="s">
        <v>446</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IF(F7=1,$B7,"")</f>
        <v/>
      </c>
      <c r="K7" t="str">
        <f>IFERROR(MID(J7,  FIND("name:",J7)+6,99),"")</f>
        <v/>
      </c>
      <c r="L7" t="str">
        <f>SUBSTITUTE(K7,"""","")</f>
        <v/>
      </c>
      <c r="M7" t="str">
        <f>IF(L7="",M6,L7)</f>
        <v>name repeated</v>
      </c>
      <c r="N7" t="str">
        <f>IF(G7=1,$B7,"")</f>
        <v/>
      </c>
      <c r="O7" t="str">
        <f>TRIM(SUBSTITUTE(N7,"-",""))</f>
        <v/>
      </c>
    </row>
    <row r="8" spans="1:15" x14ac:dyDescent="0.45">
      <c r="B8" s="17" t="s">
        <v>447</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t="shared" ref="J8:J71" si="7">IF(F8=1,$B8,"")</f>
        <v xml:space="preserve">  name: "Automation - Alarm Clock"</v>
      </c>
      <c r="K8" t="str">
        <f t="shared" ref="K8:K71" si="8">IFERROR(MID(J8,  FIND("name:",J8)+6,99),"")</f>
        <v>"Automation - Alarm Clock"</v>
      </c>
      <c r="L8" t="str">
        <f t="shared" ref="L8:L71" si="9">SUBSTITUTE(K8,"""","")</f>
        <v>Automation - Alarm Clock</v>
      </c>
      <c r="M8" t="str">
        <f t="shared" ref="M8:M71" si="10">IF(L8="",M7,L8)</f>
        <v>Automation - Alarm Clock</v>
      </c>
      <c r="N8" t="str">
        <f t="shared" ref="N8:N71" si="11">IF(G8=1,$B8,"")</f>
        <v/>
      </c>
      <c r="O8" t="str">
        <f t="shared" ref="O8:O71" si="12">TRIM(SUBSTITUTE(N8,"-",""))</f>
        <v/>
      </c>
    </row>
    <row r="9" spans="1:15" x14ac:dyDescent="0.45">
      <c r="B9" s="17" t="s">
        <v>56</v>
      </c>
      <c r="C9">
        <f t="shared" si="4"/>
        <v>0</v>
      </c>
      <c r="D9">
        <f t="shared" si="0"/>
        <v>1</v>
      </c>
      <c r="E9">
        <f t="shared" si="5"/>
        <v>0</v>
      </c>
      <c r="F9">
        <f t="shared" si="1"/>
        <v>0</v>
      </c>
      <c r="G9">
        <f t="shared" si="2"/>
        <v>0</v>
      </c>
      <c r="H9" t="str">
        <f t="shared" si="3"/>
        <v/>
      </c>
      <c r="I9" t="str">
        <f t="shared" si="6"/>
        <v/>
      </c>
      <c r="J9" t="str">
        <f t="shared" si="7"/>
        <v/>
      </c>
      <c r="K9" t="str">
        <f t="shared" si="8"/>
        <v/>
      </c>
      <c r="L9" t="str">
        <f t="shared" si="9"/>
        <v/>
      </c>
      <c r="M9" t="str">
        <f t="shared" si="10"/>
        <v>Automation - Alarm Clock</v>
      </c>
      <c r="N9" t="str">
        <f t="shared" si="11"/>
        <v/>
      </c>
      <c r="O9" t="str">
        <f t="shared" si="12"/>
        <v/>
      </c>
    </row>
    <row r="10" spans="1:15" x14ac:dyDescent="0.45">
      <c r="B10" s="17" t="s">
        <v>448</v>
      </c>
      <c r="C10">
        <f t="shared" si="4"/>
        <v>0</v>
      </c>
      <c r="D10">
        <f t="shared" si="0"/>
        <v>0</v>
      </c>
      <c r="E10">
        <f t="shared" si="5"/>
        <v>0</v>
      </c>
      <c r="F10">
        <f t="shared" si="1"/>
        <v>0</v>
      </c>
      <c r="G10">
        <f t="shared" si="2"/>
        <v>1</v>
      </c>
      <c r="H10" t="str">
        <f t="shared" si="3"/>
        <v/>
      </c>
      <c r="I10" t="str">
        <f t="shared" si="6"/>
        <v/>
      </c>
      <c r="J10" t="str">
        <f t="shared" si="7"/>
        <v/>
      </c>
      <c r="K10" t="str">
        <f t="shared" si="8"/>
        <v/>
      </c>
      <c r="L10" t="str">
        <f t="shared" si="9"/>
        <v/>
      </c>
      <c r="M10" t="str">
        <f t="shared" si="10"/>
        <v>Automation - Alarm Clock</v>
      </c>
      <c r="N10" t="str">
        <f t="shared" si="11"/>
        <v xml:space="preserve">    - automation.almclk_wake_up_script_triggered_by_alarm_clock</v>
      </c>
      <c r="O10" t="str">
        <f t="shared" si="12"/>
        <v>automation.almclk_wake_up_script_triggered_by_alarm_clock</v>
      </c>
    </row>
    <row r="11" spans="1:15" x14ac:dyDescent="0.45">
      <c r="B11" s="17"/>
      <c r="C11">
        <f t="shared" si="4"/>
        <v>1</v>
      </c>
      <c r="D11">
        <f t="shared" si="0"/>
        <v>0</v>
      </c>
      <c r="E11">
        <f t="shared" si="5"/>
        <v>0</v>
      </c>
      <c r="F11">
        <f t="shared" si="1"/>
        <v>0</v>
      </c>
      <c r="G11">
        <f t="shared" si="2"/>
        <v>0</v>
      </c>
      <c r="H11" t="str">
        <f t="shared" si="3"/>
        <v/>
      </c>
      <c r="I11" t="str">
        <f t="shared" si="6"/>
        <v/>
      </c>
      <c r="J11" t="str">
        <f t="shared" si="7"/>
        <v/>
      </c>
      <c r="K11" t="str">
        <f t="shared" si="8"/>
        <v/>
      </c>
      <c r="L11" t="str">
        <f t="shared" si="9"/>
        <v/>
      </c>
      <c r="M11" t="str">
        <f t="shared" si="10"/>
        <v>Automation - Alarm Clock</v>
      </c>
      <c r="N11" t="str">
        <f t="shared" si="11"/>
        <v/>
      </c>
      <c r="O11" t="str">
        <f t="shared" si="12"/>
        <v/>
      </c>
    </row>
    <row r="12" spans="1:15" x14ac:dyDescent="0.45">
      <c r="B12" s="17" t="s">
        <v>449</v>
      </c>
      <c r="C12">
        <f t="shared" si="4"/>
        <v>0</v>
      </c>
      <c r="D12">
        <f t="shared" si="0"/>
        <v>0</v>
      </c>
      <c r="E12">
        <f t="shared" si="5"/>
        <v>1</v>
      </c>
      <c r="F12">
        <f t="shared" si="1"/>
        <v>0</v>
      </c>
      <c r="G12">
        <f t="shared" si="2"/>
        <v>0</v>
      </c>
      <c r="H12" t="str">
        <f t="shared" si="3"/>
        <v>automation_ifttt:</v>
      </c>
      <c r="I12" t="str">
        <f t="shared" si="6"/>
        <v>automation_ifttt</v>
      </c>
      <c r="J12" t="str">
        <f t="shared" si="7"/>
        <v/>
      </c>
      <c r="K12" t="str">
        <f t="shared" si="8"/>
        <v/>
      </c>
      <c r="L12" t="str">
        <f t="shared" si="9"/>
        <v/>
      </c>
      <c r="M12" t="str">
        <f t="shared" si="10"/>
        <v>Automation - Alarm Clock</v>
      </c>
      <c r="N12" t="str">
        <f t="shared" si="11"/>
        <v/>
      </c>
      <c r="O12" t="str">
        <f t="shared" si="12"/>
        <v/>
      </c>
    </row>
    <row r="13" spans="1:15" x14ac:dyDescent="0.45">
      <c r="B13" s="17" t="s">
        <v>450</v>
      </c>
      <c r="C13">
        <f t="shared" si="4"/>
        <v>0</v>
      </c>
      <c r="D13">
        <f t="shared" si="0"/>
        <v>1</v>
      </c>
      <c r="E13">
        <f t="shared" si="5"/>
        <v>0</v>
      </c>
      <c r="F13">
        <f t="shared" si="1"/>
        <v>1</v>
      </c>
      <c r="G13">
        <f t="shared" si="2"/>
        <v>0</v>
      </c>
      <c r="H13" t="str">
        <f t="shared" si="3"/>
        <v/>
      </c>
      <c r="I13" t="str">
        <f t="shared" si="6"/>
        <v/>
      </c>
      <c r="J13" t="str">
        <f t="shared" si="7"/>
        <v xml:space="preserve">  name: "Automation - IFTTT"</v>
      </c>
      <c r="K13" t="str">
        <f t="shared" si="8"/>
        <v>"Automation - IFTTT"</v>
      </c>
      <c r="L13" t="str">
        <f t="shared" si="9"/>
        <v>Automation - IFTTT</v>
      </c>
      <c r="M13" t="str">
        <f t="shared" si="10"/>
        <v>Automation - IFTTT</v>
      </c>
      <c r="N13" t="str">
        <f t="shared" si="11"/>
        <v/>
      </c>
      <c r="O13" t="str">
        <f t="shared" si="12"/>
        <v/>
      </c>
    </row>
    <row r="14" spans="1:15" x14ac:dyDescent="0.45">
      <c r="B14" s="17" t="s">
        <v>56</v>
      </c>
      <c r="C14">
        <f t="shared" si="4"/>
        <v>0</v>
      </c>
      <c r="D14">
        <f t="shared" si="0"/>
        <v>1</v>
      </c>
      <c r="E14">
        <f t="shared" si="5"/>
        <v>0</v>
      </c>
      <c r="F14">
        <f t="shared" si="1"/>
        <v>0</v>
      </c>
      <c r="G14">
        <f t="shared" si="2"/>
        <v>0</v>
      </c>
      <c r="H14" t="str">
        <f t="shared" si="3"/>
        <v/>
      </c>
      <c r="I14" t="str">
        <f t="shared" si="6"/>
        <v/>
      </c>
      <c r="J14" t="str">
        <f t="shared" si="7"/>
        <v/>
      </c>
      <c r="K14" t="str">
        <f t="shared" si="8"/>
        <v/>
      </c>
      <c r="L14" t="str">
        <f t="shared" si="9"/>
        <v/>
      </c>
      <c r="M14" t="str">
        <f t="shared" si="10"/>
        <v>Automation - IFTTT</v>
      </c>
      <c r="N14" t="str">
        <f t="shared" si="11"/>
        <v/>
      </c>
      <c r="O14" t="str">
        <f t="shared" si="12"/>
        <v/>
      </c>
    </row>
    <row r="15" spans="1:15" x14ac:dyDescent="0.45">
      <c r="B15" s="17" t="s">
        <v>451</v>
      </c>
      <c r="C15">
        <f t="shared" si="4"/>
        <v>0</v>
      </c>
      <c r="D15">
        <f t="shared" si="0"/>
        <v>0</v>
      </c>
      <c r="E15">
        <f t="shared" si="5"/>
        <v>0</v>
      </c>
      <c r="F15">
        <f t="shared" si="1"/>
        <v>0</v>
      </c>
      <c r="G15">
        <f t="shared" si="2"/>
        <v>1</v>
      </c>
      <c r="H15" t="str">
        <f t="shared" si="3"/>
        <v/>
      </c>
      <c r="I15" t="str">
        <f t="shared" si="6"/>
        <v/>
      </c>
      <c r="J15" t="str">
        <f t="shared" si="7"/>
        <v/>
      </c>
      <c r="K15" t="str">
        <f t="shared" si="8"/>
        <v/>
      </c>
      <c r="L15" t="str">
        <f t="shared" si="9"/>
        <v/>
      </c>
      <c r="M15" t="str">
        <f t="shared" si="10"/>
        <v>Automation - IFTTT</v>
      </c>
      <c r="N15" t="str">
        <f t="shared" si="11"/>
        <v xml:space="preserve">    - automation.ifttt_speed_test_record</v>
      </c>
      <c r="O15" t="str">
        <f t="shared" si="12"/>
        <v>automation.ifttt_speed_test_record</v>
      </c>
    </row>
    <row r="16" spans="1:15" x14ac:dyDescent="0.45">
      <c r="B16" s="17"/>
      <c r="C16">
        <f t="shared" si="4"/>
        <v>1</v>
      </c>
      <c r="D16">
        <f t="shared" si="0"/>
        <v>0</v>
      </c>
      <c r="E16">
        <f t="shared" si="5"/>
        <v>0</v>
      </c>
      <c r="F16">
        <f t="shared" si="1"/>
        <v>0</v>
      </c>
      <c r="G16">
        <f t="shared" si="2"/>
        <v>0</v>
      </c>
      <c r="H16" t="str">
        <f t="shared" si="3"/>
        <v/>
      </c>
      <c r="I16" t="str">
        <f t="shared" si="6"/>
        <v/>
      </c>
      <c r="J16" t="str">
        <f t="shared" si="7"/>
        <v/>
      </c>
      <c r="K16" t="str">
        <f t="shared" si="8"/>
        <v/>
      </c>
      <c r="L16" t="str">
        <f t="shared" si="9"/>
        <v/>
      </c>
      <c r="M16" t="str">
        <f t="shared" si="10"/>
        <v>Automation - IFTTT</v>
      </c>
      <c r="N16" t="str">
        <f t="shared" si="11"/>
        <v/>
      </c>
      <c r="O16" t="str">
        <f t="shared" si="12"/>
        <v/>
      </c>
    </row>
    <row r="17" spans="2:15" x14ac:dyDescent="0.45">
      <c r="B17" s="17" t="s">
        <v>452</v>
      </c>
      <c r="C17">
        <f t="shared" si="4"/>
        <v>0</v>
      </c>
      <c r="D17">
        <f t="shared" si="0"/>
        <v>0</v>
      </c>
      <c r="E17">
        <f t="shared" si="5"/>
        <v>1</v>
      </c>
      <c r="F17">
        <f t="shared" si="1"/>
        <v>0</v>
      </c>
      <c r="G17">
        <f t="shared" si="2"/>
        <v>0</v>
      </c>
      <c r="H17" t="str">
        <f t="shared" si="3"/>
        <v>automation_locaway:</v>
      </c>
      <c r="I17" t="str">
        <f t="shared" si="6"/>
        <v>automation_locaway</v>
      </c>
      <c r="J17" t="str">
        <f t="shared" si="7"/>
        <v/>
      </c>
      <c r="K17" t="str">
        <f t="shared" si="8"/>
        <v/>
      </c>
      <c r="L17" t="str">
        <f t="shared" si="9"/>
        <v/>
      </c>
      <c r="M17" t="str">
        <f t="shared" si="10"/>
        <v>Automation - IFTTT</v>
      </c>
      <c r="N17" t="str">
        <f t="shared" si="11"/>
        <v/>
      </c>
      <c r="O17" t="str">
        <f t="shared" si="12"/>
        <v/>
      </c>
    </row>
    <row r="18" spans="2:15" x14ac:dyDescent="0.45">
      <c r="B18" s="17" t="s">
        <v>453</v>
      </c>
      <c r="C18">
        <f t="shared" si="4"/>
        <v>0</v>
      </c>
      <c r="D18">
        <f t="shared" si="0"/>
        <v>1</v>
      </c>
      <c r="E18">
        <f t="shared" si="5"/>
        <v>0</v>
      </c>
      <c r="F18">
        <f t="shared" si="1"/>
        <v>1</v>
      </c>
      <c r="G18">
        <f t="shared" si="2"/>
        <v>0</v>
      </c>
      <c r="H18" t="str">
        <f t="shared" si="3"/>
        <v/>
      </c>
      <c r="I18" t="str">
        <f t="shared" si="6"/>
        <v/>
      </c>
      <c r="J18" t="str">
        <f t="shared" si="7"/>
        <v xml:space="preserve">  name: "Automation - Away"</v>
      </c>
      <c r="K18" t="str">
        <f t="shared" si="8"/>
        <v>"Automation - Away"</v>
      </c>
      <c r="L18" t="str">
        <f t="shared" si="9"/>
        <v>Automation - Away</v>
      </c>
      <c r="M18" t="str">
        <f t="shared" si="10"/>
        <v>Automation - Away</v>
      </c>
      <c r="N18" t="str">
        <f t="shared" si="11"/>
        <v/>
      </c>
      <c r="O18" t="str">
        <f t="shared" si="12"/>
        <v/>
      </c>
    </row>
    <row r="19" spans="2:15" x14ac:dyDescent="0.45">
      <c r="B19" s="17" t="s">
        <v>56</v>
      </c>
      <c r="C19">
        <f t="shared" si="4"/>
        <v>0</v>
      </c>
      <c r="D19">
        <f t="shared" si="0"/>
        <v>1</v>
      </c>
      <c r="E19">
        <f t="shared" si="5"/>
        <v>0</v>
      </c>
      <c r="F19">
        <f t="shared" si="1"/>
        <v>0</v>
      </c>
      <c r="G19">
        <f t="shared" si="2"/>
        <v>0</v>
      </c>
      <c r="H19" t="str">
        <f t="shared" si="3"/>
        <v/>
      </c>
      <c r="I19" t="str">
        <f t="shared" si="6"/>
        <v/>
      </c>
      <c r="J19" t="str">
        <f t="shared" si="7"/>
        <v/>
      </c>
      <c r="K19" t="str">
        <f t="shared" si="8"/>
        <v/>
      </c>
      <c r="L19" t="str">
        <f t="shared" si="9"/>
        <v/>
      </c>
      <c r="M19" t="str">
        <f t="shared" si="10"/>
        <v>Automation - Away</v>
      </c>
      <c r="N19" t="str">
        <f t="shared" si="11"/>
        <v/>
      </c>
      <c r="O19" t="str">
        <f t="shared" si="12"/>
        <v/>
      </c>
    </row>
    <row r="20" spans="2:15" x14ac:dyDescent="0.45">
      <c r="B20" s="17" t="s">
        <v>454</v>
      </c>
      <c r="C20">
        <f t="shared" si="4"/>
        <v>0</v>
      </c>
      <c r="D20">
        <f t="shared" si="0"/>
        <v>0</v>
      </c>
      <c r="E20">
        <f t="shared" si="5"/>
        <v>0</v>
      </c>
      <c r="F20">
        <f t="shared" si="1"/>
        <v>0</v>
      </c>
      <c r="G20">
        <f t="shared" si="2"/>
        <v>1</v>
      </c>
      <c r="H20" t="str">
        <f t="shared" si="3"/>
        <v/>
      </c>
      <c r="I20" t="str">
        <f t="shared" si="6"/>
        <v/>
      </c>
      <c r="J20" t="str">
        <f t="shared" si="7"/>
        <v/>
      </c>
      <c r="K20" t="str">
        <f t="shared" si="8"/>
        <v/>
      </c>
      <c r="L20" t="str">
        <f t="shared" si="9"/>
        <v/>
      </c>
      <c r="M20" t="str">
        <f t="shared" si="10"/>
        <v>Automation - Away</v>
      </c>
      <c r="N20" t="str">
        <f t="shared" si="11"/>
        <v xml:space="preserve">    - automation.locaway_devices_in_bedroom_off_when_at_the_computer</v>
      </c>
      <c r="O20" t="str">
        <f t="shared" si="12"/>
        <v>automation.locaway_devices_in_bedroom_off_when_at_the_computer</v>
      </c>
    </row>
    <row r="21" spans="2:15" x14ac:dyDescent="0.45">
      <c r="B21" s="17" t="s">
        <v>455</v>
      </c>
      <c r="C21">
        <f t="shared" si="4"/>
        <v>0</v>
      </c>
      <c r="D21">
        <f t="shared" si="0"/>
        <v>0</v>
      </c>
      <c r="E21">
        <f t="shared" si="5"/>
        <v>0</v>
      </c>
      <c r="F21">
        <f t="shared" si="1"/>
        <v>0</v>
      </c>
      <c r="G21">
        <f t="shared" si="2"/>
        <v>1</v>
      </c>
      <c r="H21" t="str">
        <f t="shared" si="3"/>
        <v/>
      </c>
      <c r="I21" t="str">
        <f t="shared" si="6"/>
        <v/>
      </c>
      <c r="J21" t="str">
        <f t="shared" si="7"/>
        <v/>
      </c>
      <c r="K21" t="str">
        <f t="shared" si="8"/>
        <v/>
      </c>
      <c r="L21" t="str">
        <f t="shared" si="9"/>
        <v/>
      </c>
      <c r="M21" t="str">
        <f t="shared" si="10"/>
        <v>Automation - Away</v>
      </c>
      <c r="N21" t="str">
        <f t="shared" si="11"/>
        <v xml:space="preserve">    - automation.locaway_devices_off_when_away</v>
      </c>
      <c r="O21" t="str">
        <f t="shared" si="12"/>
        <v>automation.locaway_devices_off_when_away</v>
      </c>
    </row>
    <row r="22" spans="2:15" x14ac:dyDescent="0.45">
      <c r="B22" s="17" t="s">
        <v>456</v>
      </c>
      <c r="C22">
        <f t="shared" si="4"/>
        <v>0</v>
      </c>
      <c r="D22">
        <f t="shared" si="0"/>
        <v>0</v>
      </c>
      <c r="E22">
        <f t="shared" si="5"/>
        <v>0</v>
      </c>
      <c r="F22">
        <f t="shared" si="1"/>
        <v>0</v>
      </c>
      <c r="G22">
        <f t="shared" si="2"/>
        <v>1</v>
      </c>
      <c r="H22" t="str">
        <f t="shared" si="3"/>
        <v/>
      </c>
      <c r="I22" t="str">
        <f t="shared" si="6"/>
        <v/>
      </c>
      <c r="J22" t="str">
        <f t="shared" si="7"/>
        <v/>
      </c>
      <c r="K22" t="str">
        <f t="shared" si="8"/>
        <v/>
      </c>
      <c r="L22" t="str">
        <f t="shared" si="9"/>
        <v/>
      </c>
      <c r="M22" t="str">
        <f t="shared" si="10"/>
        <v>Automation - Away</v>
      </c>
      <c r="N22" t="str">
        <f t="shared" si="11"/>
        <v xml:space="preserve">    - automation.locaway_devices_on_desk_off_when_leave_the_computer</v>
      </c>
      <c r="O22" t="str">
        <f t="shared" si="12"/>
        <v>automation.locaway_devices_on_desk_off_when_leave_the_computer</v>
      </c>
    </row>
    <row r="23" spans="2:15" x14ac:dyDescent="0.45">
      <c r="B23" s="17"/>
      <c r="C23">
        <f t="shared" si="4"/>
        <v>1</v>
      </c>
      <c r="D23">
        <f t="shared" si="0"/>
        <v>0</v>
      </c>
      <c r="E23">
        <f t="shared" si="5"/>
        <v>0</v>
      </c>
      <c r="F23">
        <f t="shared" si="1"/>
        <v>0</v>
      </c>
      <c r="G23">
        <f t="shared" si="2"/>
        <v>0</v>
      </c>
      <c r="H23" t="str">
        <f t="shared" si="3"/>
        <v/>
      </c>
      <c r="I23" t="str">
        <f t="shared" si="6"/>
        <v/>
      </c>
      <c r="J23" t="str">
        <f t="shared" si="7"/>
        <v/>
      </c>
      <c r="K23" t="str">
        <f t="shared" si="8"/>
        <v/>
      </c>
      <c r="L23" t="str">
        <f t="shared" si="9"/>
        <v/>
      </c>
      <c r="M23" t="str">
        <f t="shared" si="10"/>
        <v>Automation - Away</v>
      </c>
      <c r="N23" t="str">
        <f t="shared" si="11"/>
        <v/>
      </c>
      <c r="O23" t="str">
        <f t="shared" si="12"/>
        <v/>
      </c>
    </row>
    <row r="24" spans="2:15" x14ac:dyDescent="0.45">
      <c r="B24" s="17" t="s">
        <v>457</v>
      </c>
      <c r="C24">
        <f t="shared" si="4"/>
        <v>0</v>
      </c>
      <c r="D24">
        <f t="shared" si="0"/>
        <v>0</v>
      </c>
      <c r="E24">
        <f t="shared" si="5"/>
        <v>1</v>
      </c>
      <c r="F24">
        <f t="shared" si="1"/>
        <v>0</v>
      </c>
      <c r="G24">
        <f t="shared" si="2"/>
        <v>0</v>
      </c>
      <c r="H24" t="str">
        <f t="shared" si="3"/>
        <v>automation_not:</v>
      </c>
      <c r="I24" t="str">
        <f t="shared" si="6"/>
        <v>automation_not</v>
      </c>
      <c r="J24" t="str">
        <f t="shared" si="7"/>
        <v/>
      </c>
      <c r="K24" t="str">
        <f t="shared" si="8"/>
        <v/>
      </c>
      <c r="L24" t="str">
        <f t="shared" si="9"/>
        <v/>
      </c>
      <c r="M24" t="str">
        <f t="shared" si="10"/>
        <v>Automation - Away</v>
      </c>
      <c r="N24" t="str">
        <f t="shared" si="11"/>
        <v/>
      </c>
      <c r="O24" t="str">
        <f t="shared" si="12"/>
        <v/>
      </c>
    </row>
    <row r="25" spans="2:15" x14ac:dyDescent="0.45">
      <c r="B25" s="17" t="s">
        <v>458</v>
      </c>
      <c r="C25">
        <f t="shared" si="4"/>
        <v>0</v>
      </c>
      <c r="D25">
        <f t="shared" si="0"/>
        <v>1</v>
      </c>
      <c r="E25">
        <f t="shared" si="5"/>
        <v>0</v>
      </c>
      <c r="F25">
        <f t="shared" si="1"/>
        <v>1</v>
      </c>
      <c r="G25">
        <f t="shared" si="2"/>
        <v>0</v>
      </c>
      <c r="H25" t="str">
        <f t="shared" si="3"/>
        <v/>
      </c>
      <c r="I25" t="str">
        <f t="shared" si="6"/>
        <v/>
      </c>
      <c r="J25" t="str">
        <f t="shared" si="7"/>
        <v xml:space="preserve">  name: "Automation - Notifications"</v>
      </c>
      <c r="K25" t="str">
        <f t="shared" si="8"/>
        <v>"Automation - Notifications"</v>
      </c>
      <c r="L25" t="str">
        <f t="shared" si="9"/>
        <v>Automation - Notifications</v>
      </c>
      <c r="M25" t="str">
        <f t="shared" si="10"/>
        <v>Automation - Notifications</v>
      </c>
      <c r="N25" t="str">
        <f t="shared" si="11"/>
        <v/>
      </c>
      <c r="O25" t="str">
        <f t="shared" si="12"/>
        <v/>
      </c>
    </row>
    <row r="26" spans="2:15" x14ac:dyDescent="0.45">
      <c r="B26" s="17" t="s">
        <v>56</v>
      </c>
      <c r="C26">
        <f t="shared" si="4"/>
        <v>0</v>
      </c>
      <c r="D26">
        <f t="shared" si="0"/>
        <v>1</v>
      </c>
      <c r="E26">
        <f t="shared" si="5"/>
        <v>0</v>
      </c>
      <c r="F26">
        <f t="shared" si="1"/>
        <v>0</v>
      </c>
      <c r="G26">
        <f t="shared" si="2"/>
        <v>0</v>
      </c>
      <c r="H26" t="str">
        <f t="shared" si="3"/>
        <v/>
      </c>
      <c r="I26" t="str">
        <f t="shared" si="6"/>
        <v/>
      </c>
      <c r="J26" t="str">
        <f t="shared" si="7"/>
        <v/>
      </c>
      <c r="K26" t="str">
        <f t="shared" si="8"/>
        <v/>
      </c>
      <c r="L26" t="str">
        <f t="shared" si="9"/>
        <v/>
      </c>
      <c r="M26" t="str">
        <f t="shared" si="10"/>
        <v>Automation - Notifications</v>
      </c>
      <c r="N26" t="str">
        <f t="shared" si="11"/>
        <v/>
      </c>
      <c r="O26" t="str">
        <f t="shared" si="12"/>
        <v/>
      </c>
    </row>
    <row r="27" spans="2:15" x14ac:dyDescent="0.45">
      <c r="B27" s="17" t="s">
        <v>459</v>
      </c>
      <c r="C27">
        <f t="shared" si="4"/>
        <v>0</v>
      </c>
      <c r="D27">
        <f t="shared" si="0"/>
        <v>0</v>
      </c>
      <c r="E27">
        <f t="shared" si="5"/>
        <v>0</v>
      </c>
      <c r="F27">
        <f t="shared" si="1"/>
        <v>0</v>
      </c>
      <c r="G27">
        <f t="shared" si="2"/>
        <v>1</v>
      </c>
      <c r="H27" t="str">
        <f t="shared" si="3"/>
        <v/>
      </c>
      <c r="I27" t="str">
        <f t="shared" si="6"/>
        <v/>
      </c>
      <c r="J27" t="str">
        <f t="shared" si="7"/>
        <v/>
      </c>
      <c r="K27" t="str">
        <f t="shared" si="8"/>
        <v/>
      </c>
      <c r="L27" t="str">
        <f t="shared" si="9"/>
        <v/>
      </c>
      <c r="M27" t="str">
        <f t="shared" si="10"/>
        <v>Automation - Notifications</v>
      </c>
      <c r="N27" t="str">
        <f t="shared" si="11"/>
        <v xml:space="preserve">    - automation.not_notification_when_multisensor_battery_is_low</v>
      </c>
      <c r="O27" t="str">
        <f t="shared" si="12"/>
        <v>automation.not_notification_when_multisensor_battery_is_low</v>
      </c>
    </row>
    <row r="28" spans="2:15" x14ac:dyDescent="0.45">
      <c r="B28" s="17" t="s">
        <v>460</v>
      </c>
      <c r="C28">
        <f t="shared" si="4"/>
        <v>0</v>
      </c>
      <c r="D28">
        <f t="shared" si="0"/>
        <v>0</v>
      </c>
      <c r="E28">
        <f t="shared" si="5"/>
        <v>0</v>
      </c>
      <c r="F28">
        <f t="shared" si="1"/>
        <v>0</v>
      </c>
      <c r="G28">
        <f t="shared" si="2"/>
        <v>1</v>
      </c>
      <c r="H28" t="str">
        <f t="shared" si="3"/>
        <v/>
      </c>
      <c r="I28" t="str">
        <f t="shared" si="6"/>
        <v/>
      </c>
      <c r="J28" t="str">
        <f t="shared" si="7"/>
        <v/>
      </c>
      <c r="K28" t="str">
        <f t="shared" si="8"/>
        <v/>
      </c>
      <c r="L28" t="str">
        <f t="shared" si="9"/>
        <v/>
      </c>
      <c r="M28" t="str">
        <f t="shared" si="10"/>
        <v>Automation - Notifications</v>
      </c>
      <c r="N28" t="str">
        <f t="shared" si="11"/>
        <v xml:space="preserve">    - automation.not_notification_when_tank_turns_off</v>
      </c>
      <c r="O28" t="str">
        <f t="shared" si="12"/>
        <v>automation.not_notification_when_tank_turns_off</v>
      </c>
    </row>
    <row r="29" spans="2:15" x14ac:dyDescent="0.45">
      <c r="B29" s="17"/>
      <c r="C29">
        <f t="shared" si="4"/>
        <v>1</v>
      </c>
      <c r="D29">
        <f t="shared" si="0"/>
        <v>0</v>
      </c>
      <c r="E29">
        <f t="shared" si="5"/>
        <v>0</v>
      </c>
      <c r="F29">
        <f t="shared" si="1"/>
        <v>0</v>
      </c>
      <c r="G29">
        <f t="shared" si="2"/>
        <v>0</v>
      </c>
      <c r="H29" t="str">
        <f t="shared" si="3"/>
        <v/>
      </c>
      <c r="I29" t="str">
        <f t="shared" si="6"/>
        <v/>
      </c>
      <c r="J29" t="str">
        <f t="shared" si="7"/>
        <v/>
      </c>
      <c r="K29" t="str">
        <f t="shared" si="8"/>
        <v/>
      </c>
      <c r="L29" t="str">
        <f t="shared" si="9"/>
        <v/>
      </c>
      <c r="M29" t="str">
        <f t="shared" si="10"/>
        <v>Automation - Notifications</v>
      </c>
      <c r="N29" t="str">
        <f t="shared" si="11"/>
        <v/>
      </c>
      <c r="O29" t="str">
        <f t="shared" si="12"/>
        <v/>
      </c>
    </row>
    <row r="30" spans="2:15" x14ac:dyDescent="0.45">
      <c r="B30" s="17" t="s">
        <v>461</v>
      </c>
      <c r="C30">
        <f t="shared" si="4"/>
        <v>0</v>
      </c>
      <c r="D30">
        <f t="shared" si="0"/>
        <v>0</v>
      </c>
      <c r="E30">
        <f t="shared" si="5"/>
        <v>1</v>
      </c>
      <c r="F30">
        <f t="shared" si="1"/>
        <v>0</v>
      </c>
      <c r="G30">
        <f t="shared" si="2"/>
        <v>0</v>
      </c>
      <c r="H30" t="str">
        <f t="shared" si="3"/>
        <v>automation_rmbd:</v>
      </c>
      <c r="I30" t="str">
        <f t="shared" si="6"/>
        <v>automation_rmbd</v>
      </c>
      <c r="J30" t="str">
        <f t="shared" si="7"/>
        <v/>
      </c>
      <c r="K30" t="str">
        <f t="shared" si="8"/>
        <v/>
      </c>
      <c r="L30" t="str">
        <f t="shared" si="9"/>
        <v/>
      </c>
      <c r="M30" t="str">
        <f t="shared" si="10"/>
        <v>Automation - Notifications</v>
      </c>
      <c r="N30" t="str">
        <f t="shared" si="11"/>
        <v/>
      </c>
      <c r="O30" t="str">
        <f t="shared" si="12"/>
        <v/>
      </c>
    </row>
    <row r="31" spans="2:15" x14ac:dyDescent="0.45">
      <c r="B31" s="17" t="s">
        <v>462</v>
      </c>
      <c r="C31">
        <f t="shared" si="4"/>
        <v>0</v>
      </c>
      <c r="D31">
        <f t="shared" si="0"/>
        <v>1</v>
      </c>
      <c r="E31">
        <f t="shared" si="5"/>
        <v>0</v>
      </c>
      <c r="F31">
        <f t="shared" si="1"/>
        <v>1</v>
      </c>
      <c r="G31">
        <f t="shared" si="2"/>
        <v>0</v>
      </c>
      <c r="H31" t="str">
        <f t="shared" si="3"/>
        <v/>
      </c>
      <c r="I31" t="str">
        <f t="shared" si="6"/>
        <v/>
      </c>
      <c r="J31" t="str">
        <f t="shared" si="7"/>
        <v xml:space="preserve">  name: "Automation - Bedroom"</v>
      </c>
      <c r="K31" t="str">
        <f t="shared" si="8"/>
        <v>"Automation - Bedroom"</v>
      </c>
      <c r="L31" t="str">
        <f t="shared" si="9"/>
        <v>Automation - Bedroom</v>
      </c>
      <c r="M31" t="str">
        <f t="shared" si="10"/>
        <v>Automation - Bedroom</v>
      </c>
      <c r="N31" t="str">
        <f t="shared" si="11"/>
        <v/>
      </c>
      <c r="O31" t="str">
        <f t="shared" si="12"/>
        <v/>
      </c>
    </row>
    <row r="32" spans="2:15" x14ac:dyDescent="0.45">
      <c r="B32" s="17" t="s">
        <v>56</v>
      </c>
      <c r="C32">
        <f t="shared" si="4"/>
        <v>0</v>
      </c>
      <c r="D32">
        <f t="shared" si="0"/>
        <v>1</v>
      </c>
      <c r="E32">
        <f t="shared" si="5"/>
        <v>0</v>
      </c>
      <c r="F32">
        <f t="shared" si="1"/>
        <v>0</v>
      </c>
      <c r="G32">
        <f t="shared" si="2"/>
        <v>0</v>
      </c>
      <c r="H32" t="str">
        <f t="shared" si="3"/>
        <v/>
      </c>
      <c r="I32" t="str">
        <f t="shared" si="6"/>
        <v/>
      </c>
      <c r="J32" t="str">
        <f t="shared" si="7"/>
        <v/>
      </c>
      <c r="K32" t="str">
        <f t="shared" si="8"/>
        <v/>
      </c>
      <c r="L32" t="str">
        <f t="shared" si="9"/>
        <v/>
      </c>
      <c r="M32" t="str">
        <f t="shared" si="10"/>
        <v>Automation - Bedroom</v>
      </c>
      <c r="N32" t="str">
        <f t="shared" si="11"/>
        <v/>
      </c>
      <c r="O32" t="str">
        <f t="shared" si="12"/>
        <v/>
      </c>
    </row>
    <row r="33" spans="2:15" x14ac:dyDescent="0.45">
      <c r="B33" s="17" t="s">
        <v>463</v>
      </c>
      <c r="C33">
        <f t="shared" si="4"/>
        <v>0</v>
      </c>
      <c r="D33">
        <f t="shared" si="0"/>
        <v>0</v>
      </c>
      <c r="E33">
        <f t="shared" si="5"/>
        <v>0</v>
      </c>
      <c r="F33">
        <f t="shared" si="1"/>
        <v>0</v>
      </c>
      <c r="G33">
        <f t="shared" si="2"/>
        <v>1</v>
      </c>
      <c r="H33" t="str">
        <f t="shared" si="3"/>
        <v/>
      </c>
      <c r="I33" t="str">
        <f t="shared" si="6"/>
        <v/>
      </c>
      <c r="J33" t="str">
        <f t="shared" si="7"/>
        <v/>
      </c>
      <c r="K33" t="str">
        <f t="shared" si="8"/>
        <v/>
      </c>
      <c r="L33" t="str">
        <f t="shared" si="9"/>
        <v/>
      </c>
      <c r="M33" t="str">
        <f t="shared" si="10"/>
        <v>Automation - Bedroom</v>
      </c>
      <c r="N33" t="str">
        <f t="shared" si="11"/>
        <v xml:space="preserve">    - automation.rmbd_fan_off_at_12_pm</v>
      </c>
      <c r="O33" t="str">
        <f t="shared" si="12"/>
        <v>automation.rmbd_fan_off_at_12_pm</v>
      </c>
    </row>
    <row r="34" spans="2:15" x14ac:dyDescent="0.45">
      <c r="B34" s="17" t="s">
        <v>464</v>
      </c>
      <c r="C34">
        <f t="shared" si="4"/>
        <v>0</v>
      </c>
      <c r="D34">
        <f t="shared" si="0"/>
        <v>0</v>
      </c>
      <c r="E34">
        <f t="shared" si="5"/>
        <v>0</v>
      </c>
      <c r="F34">
        <f t="shared" si="1"/>
        <v>0</v>
      </c>
      <c r="G34">
        <f t="shared" si="2"/>
        <v>1</v>
      </c>
      <c r="H34" t="str">
        <f t="shared" si="3"/>
        <v/>
      </c>
      <c r="I34" t="str">
        <f t="shared" si="6"/>
        <v/>
      </c>
      <c r="J34" t="str">
        <f t="shared" si="7"/>
        <v/>
      </c>
      <c r="K34" t="str">
        <f t="shared" si="8"/>
        <v/>
      </c>
      <c r="L34" t="str">
        <f t="shared" si="9"/>
        <v/>
      </c>
      <c r="M34" t="str">
        <f t="shared" si="10"/>
        <v>Automation - Bedroom</v>
      </c>
      <c r="N34" t="str">
        <f t="shared" si="11"/>
        <v xml:space="preserve">    - automation.rmbd_one_bulb_off_at_sunset</v>
      </c>
      <c r="O34" t="str">
        <f t="shared" si="12"/>
        <v>automation.rmbd_one_bulb_off_at_sunset</v>
      </c>
    </row>
    <row r="35" spans="2:15" x14ac:dyDescent="0.45">
      <c r="B35" s="17" t="s">
        <v>465</v>
      </c>
      <c r="C35">
        <f t="shared" si="4"/>
        <v>0</v>
      </c>
      <c r="D35">
        <f t="shared" si="0"/>
        <v>0</v>
      </c>
      <c r="E35">
        <f t="shared" si="5"/>
        <v>0</v>
      </c>
      <c r="F35">
        <f t="shared" si="1"/>
        <v>0</v>
      </c>
      <c r="G35">
        <f t="shared" si="2"/>
        <v>1</v>
      </c>
      <c r="H35" t="str">
        <f t="shared" si="3"/>
        <v/>
      </c>
      <c r="I35" t="str">
        <f t="shared" si="6"/>
        <v/>
      </c>
      <c r="J35" t="str">
        <f t="shared" si="7"/>
        <v/>
      </c>
      <c r="K35" t="str">
        <f t="shared" si="8"/>
        <v/>
      </c>
      <c r="L35" t="str">
        <f t="shared" si="9"/>
        <v/>
      </c>
      <c r="M35" t="str">
        <f t="shared" si="10"/>
        <v>Automation - Bedroom</v>
      </c>
      <c r="N35" t="str">
        <f t="shared" si="11"/>
        <v xml:space="preserve">    - automation.rmbd_one_bulb_on_with_switch_at_night</v>
      </c>
      <c r="O35" t="str">
        <f t="shared" si="12"/>
        <v>automation.rmbd_one_bulb_on_with_switch_at_night</v>
      </c>
    </row>
    <row r="36" spans="2:15" x14ac:dyDescent="0.45">
      <c r="B36" s="17"/>
      <c r="C36">
        <f t="shared" si="4"/>
        <v>1</v>
      </c>
      <c r="D36">
        <f t="shared" si="0"/>
        <v>0</v>
      </c>
      <c r="E36">
        <f t="shared" si="5"/>
        <v>0</v>
      </c>
      <c r="F36">
        <f t="shared" si="1"/>
        <v>0</v>
      </c>
      <c r="G36">
        <f t="shared" si="2"/>
        <v>0</v>
      </c>
      <c r="H36" t="str">
        <f t="shared" si="3"/>
        <v/>
      </c>
      <c r="I36" t="str">
        <f t="shared" si="6"/>
        <v/>
      </c>
      <c r="J36" t="str">
        <f t="shared" si="7"/>
        <v/>
      </c>
      <c r="K36" t="str">
        <f t="shared" si="8"/>
        <v/>
      </c>
      <c r="L36" t="str">
        <f t="shared" si="9"/>
        <v/>
      </c>
      <c r="M36" t="str">
        <f t="shared" si="10"/>
        <v>Automation - Bedroom</v>
      </c>
      <c r="N36" t="str">
        <f t="shared" si="11"/>
        <v/>
      </c>
      <c r="O36" t="str">
        <f t="shared" si="12"/>
        <v/>
      </c>
    </row>
    <row r="37" spans="2:15" x14ac:dyDescent="0.45">
      <c r="B37" s="17" t="s">
        <v>466</v>
      </c>
      <c r="C37">
        <f t="shared" si="4"/>
        <v>0</v>
      </c>
      <c r="D37">
        <f t="shared" si="0"/>
        <v>0</v>
      </c>
      <c r="E37">
        <f t="shared" si="5"/>
        <v>1</v>
      </c>
      <c r="F37">
        <f t="shared" si="1"/>
        <v>0</v>
      </c>
      <c r="G37">
        <f t="shared" si="2"/>
        <v>0</v>
      </c>
      <c r="H37" t="str">
        <f t="shared" si="3"/>
        <v>automation_rmlv:</v>
      </c>
      <c r="I37" t="str">
        <f t="shared" si="6"/>
        <v>automation_rmlv</v>
      </c>
      <c r="J37" t="str">
        <f t="shared" si="7"/>
        <v/>
      </c>
      <c r="K37" t="str">
        <f t="shared" si="8"/>
        <v/>
      </c>
      <c r="L37" t="str">
        <f t="shared" si="9"/>
        <v/>
      </c>
      <c r="M37" t="str">
        <f t="shared" si="10"/>
        <v>Automation - Bedroom</v>
      </c>
      <c r="N37" t="str">
        <f t="shared" si="11"/>
        <v/>
      </c>
      <c r="O37" t="str">
        <f t="shared" si="12"/>
        <v/>
      </c>
    </row>
    <row r="38" spans="2:15" x14ac:dyDescent="0.45">
      <c r="B38" s="17" t="s">
        <v>467</v>
      </c>
      <c r="C38">
        <f t="shared" si="4"/>
        <v>0</v>
      </c>
      <c r="D38">
        <f t="shared" si="0"/>
        <v>1</v>
      </c>
      <c r="E38">
        <f t="shared" si="5"/>
        <v>0</v>
      </c>
      <c r="F38">
        <f t="shared" si="1"/>
        <v>1</v>
      </c>
      <c r="G38">
        <f t="shared" si="2"/>
        <v>0</v>
      </c>
      <c r="H38" t="str">
        <f t="shared" si="3"/>
        <v/>
      </c>
      <c r="I38" t="str">
        <f t="shared" si="6"/>
        <v/>
      </c>
      <c r="J38" t="str">
        <f t="shared" si="7"/>
        <v xml:space="preserve">  name: "Automation - Living Room"</v>
      </c>
      <c r="K38" t="str">
        <f t="shared" si="8"/>
        <v>"Automation - Living Room"</v>
      </c>
      <c r="L38" t="str">
        <f t="shared" si="9"/>
        <v>Automation - Living Room</v>
      </c>
      <c r="M38" t="str">
        <f t="shared" si="10"/>
        <v>Automation - Living Room</v>
      </c>
      <c r="N38" t="str">
        <f t="shared" si="11"/>
        <v/>
      </c>
      <c r="O38" t="str">
        <f t="shared" si="12"/>
        <v/>
      </c>
    </row>
    <row r="39" spans="2:15" x14ac:dyDescent="0.45">
      <c r="B39" s="17" t="s">
        <v>56</v>
      </c>
      <c r="C39">
        <f t="shared" si="4"/>
        <v>0</v>
      </c>
      <c r="D39">
        <f t="shared" si="0"/>
        <v>1</v>
      </c>
      <c r="E39">
        <f t="shared" si="5"/>
        <v>0</v>
      </c>
      <c r="F39">
        <f t="shared" si="1"/>
        <v>0</v>
      </c>
      <c r="G39">
        <f t="shared" si="2"/>
        <v>0</v>
      </c>
      <c r="H39" t="str">
        <f t="shared" si="3"/>
        <v/>
      </c>
      <c r="I39" t="str">
        <f t="shared" si="6"/>
        <v/>
      </c>
      <c r="J39" t="str">
        <f t="shared" si="7"/>
        <v/>
      </c>
      <c r="K39" t="str">
        <f t="shared" si="8"/>
        <v/>
      </c>
      <c r="L39" t="str">
        <f t="shared" si="9"/>
        <v/>
      </c>
      <c r="M39" t="str">
        <f t="shared" si="10"/>
        <v>Automation - Living Room</v>
      </c>
      <c r="N39" t="str">
        <f t="shared" si="11"/>
        <v/>
      </c>
      <c r="O39" t="str">
        <f t="shared" si="12"/>
        <v/>
      </c>
    </row>
    <row r="40" spans="2:15" x14ac:dyDescent="0.45">
      <c r="B40" s="17" t="s">
        <v>468</v>
      </c>
      <c r="C40">
        <f t="shared" si="4"/>
        <v>0</v>
      </c>
      <c r="D40">
        <f t="shared" si="0"/>
        <v>0</v>
      </c>
      <c r="E40">
        <f t="shared" si="5"/>
        <v>0</v>
      </c>
      <c r="F40">
        <f t="shared" si="1"/>
        <v>0</v>
      </c>
      <c r="G40">
        <f t="shared" si="2"/>
        <v>1</v>
      </c>
      <c r="H40" t="str">
        <f t="shared" si="3"/>
        <v/>
      </c>
      <c r="I40" t="str">
        <f t="shared" si="6"/>
        <v/>
      </c>
      <c r="J40" t="str">
        <f t="shared" si="7"/>
        <v/>
      </c>
      <c r="K40" t="str">
        <f t="shared" si="8"/>
        <v/>
      </c>
      <c r="L40" t="str">
        <f t="shared" si="9"/>
        <v/>
      </c>
      <c r="M40" t="str">
        <f t="shared" si="10"/>
        <v>Automation - Living Room</v>
      </c>
      <c r="N40" t="str">
        <f t="shared" si="11"/>
        <v xml:space="preserve">    - automation.rmlv_amp_off_at_3_am</v>
      </c>
      <c r="O40" t="str">
        <f t="shared" si="12"/>
        <v>automation.rmlv_amp_off_at_3_am</v>
      </c>
    </row>
    <row r="41" spans="2:15" x14ac:dyDescent="0.45">
      <c r="B41" s="17" t="s">
        <v>469</v>
      </c>
      <c r="C41">
        <f t="shared" si="4"/>
        <v>0</v>
      </c>
      <c r="D41">
        <f t="shared" si="0"/>
        <v>0</v>
      </c>
      <c r="E41">
        <f t="shared" si="5"/>
        <v>0</v>
      </c>
      <c r="F41">
        <f t="shared" si="1"/>
        <v>0</v>
      </c>
      <c r="G41">
        <f t="shared" si="2"/>
        <v>1</v>
      </c>
      <c r="H41" t="str">
        <f t="shared" si="3"/>
        <v/>
      </c>
      <c r="I41" t="str">
        <f t="shared" si="6"/>
        <v/>
      </c>
      <c r="J41" t="str">
        <f t="shared" si="7"/>
        <v/>
      </c>
      <c r="K41" t="str">
        <f t="shared" si="8"/>
        <v/>
      </c>
      <c r="L41" t="str">
        <f t="shared" si="9"/>
        <v/>
      </c>
      <c r="M41" t="str">
        <f t="shared" si="10"/>
        <v>Automation - Living Room</v>
      </c>
      <c r="N41" t="str">
        <f t="shared" si="11"/>
        <v xml:space="preserve">    - automation.rmlv_amp_off_with_humvee</v>
      </c>
      <c r="O41" t="str">
        <f t="shared" si="12"/>
        <v>automation.rmlv_amp_off_with_humvee</v>
      </c>
    </row>
    <row r="42" spans="2:15" x14ac:dyDescent="0.45">
      <c r="B42" s="17"/>
      <c r="C42">
        <f t="shared" si="4"/>
        <v>1</v>
      </c>
      <c r="D42">
        <f t="shared" si="0"/>
        <v>0</v>
      </c>
      <c r="E42">
        <f t="shared" si="5"/>
        <v>0</v>
      </c>
      <c r="F42">
        <f t="shared" si="1"/>
        <v>0</v>
      </c>
      <c r="G42">
        <f t="shared" si="2"/>
        <v>0</v>
      </c>
      <c r="H42" t="str">
        <f t="shared" si="3"/>
        <v/>
      </c>
      <c r="I42" t="str">
        <f t="shared" si="6"/>
        <v/>
      </c>
      <c r="J42" t="str">
        <f t="shared" si="7"/>
        <v/>
      </c>
      <c r="K42" t="str">
        <f t="shared" si="8"/>
        <v/>
      </c>
      <c r="L42" t="str">
        <f t="shared" si="9"/>
        <v/>
      </c>
      <c r="M42" t="str">
        <f t="shared" si="10"/>
        <v>Automation - Living Room</v>
      </c>
      <c r="N42" t="str">
        <f t="shared" si="11"/>
        <v/>
      </c>
      <c r="O42" t="str">
        <f t="shared" si="12"/>
        <v/>
      </c>
    </row>
    <row r="43" spans="2:15" x14ac:dyDescent="0.45">
      <c r="B43" s="17" t="s">
        <v>470</v>
      </c>
      <c r="C43">
        <f t="shared" si="4"/>
        <v>0</v>
      </c>
      <c r="D43">
        <f t="shared" si="0"/>
        <v>0</v>
      </c>
      <c r="E43">
        <f t="shared" si="5"/>
        <v>1</v>
      </c>
      <c r="F43">
        <f t="shared" si="1"/>
        <v>0</v>
      </c>
      <c r="G43">
        <f t="shared" si="2"/>
        <v>0</v>
      </c>
      <c r="H43" t="str">
        <f t="shared" si="3"/>
        <v>automation_rmlvtv:</v>
      </c>
      <c r="I43" t="str">
        <f t="shared" si="6"/>
        <v>automation_rmlvtv</v>
      </c>
      <c r="J43" t="str">
        <f t="shared" si="7"/>
        <v/>
      </c>
      <c r="K43" t="str">
        <f t="shared" si="8"/>
        <v/>
      </c>
      <c r="L43" t="str">
        <f t="shared" si="9"/>
        <v/>
      </c>
      <c r="M43" t="str">
        <f t="shared" si="10"/>
        <v>Automation - Living Room</v>
      </c>
      <c r="N43" t="str">
        <f t="shared" si="11"/>
        <v/>
      </c>
      <c r="O43" t="str">
        <f t="shared" si="12"/>
        <v/>
      </c>
    </row>
    <row r="44" spans="2:15" x14ac:dyDescent="0.45">
      <c r="B44" s="17" t="s">
        <v>471</v>
      </c>
      <c r="C44">
        <f t="shared" si="4"/>
        <v>0</v>
      </c>
      <c r="D44">
        <f t="shared" si="0"/>
        <v>1</v>
      </c>
      <c r="E44">
        <f t="shared" si="5"/>
        <v>0</v>
      </c>
      <c r="F44">
        <f t="shared" si="1"/>
        <v>1</v>
      </c>
      <c r="G44">
        <f t="shared" si="2"/>
        <v>0</v>
      </c>
      <c r="H44" t="str">
        <f t="shared" si="3"/>
        <v/>
      </c>
      <c r="I44" t="str">
        <f t="shared" si="6"/>
        <v/>
      </c>
      <c r="J44" t="str">
        <f t="shared" si="7"/>
        <v xml:space="preserve">  name: "Automation - Living Room TV"</v>
      </c>
      <c r="K44" t="str">
        <f t="shared" si="8"/>
        <v>"Automation - Living Room TV"</v>
      </c>
      <c r="L44" t="str">
        <f t="shared" si="9"/>
        <v>Automation - Living Room TV</v>
      </c>
      <c r="M44" t="str">
        <f t="shared" si="10"/>
        <v>Automation - Living Room TV</v>
      </c>
      <c r="N44" t="str">
        <f t="shared" si="11"/>
        <v/>
      </c>
      <c r="O44" t="str">
        <f t="shared" si="12"/>
        <v/>
      </c>
    </row>
    <row r="45" spans="2:15" x14ac:dyDescent="0.45">
      <c r="B45" s="17" t="s">
        <v>56</v>
      </c>
      <c r="C45">
        <f t="shared" si="4"/>
        <v>0</v>
      </c>
      <c r="D45">
        <f t="shared" si="0"/>
        <v>1</v>
      </c>
      <c r="E45">
        <f t="shared" si="5"/>
        <v>0</v>
      </c>
      <c r="F45">
        <f t="shared" si="1"/>
        <v>0</v>
      </c>
      <c r="G45">
        <f t="shared" si="2"/>
        <v>0</v>
      </c>
      <c r="H45" t="str">
        <f t="shared" si="3"/>
        <v/>
      </c>
      <c r="I45" t="str">
        <f t="shared" si="6"/>
        <v/>
      </c>
      <c r="J45" t="str">
        <f t="shared" si="7"/>
        <v/>
      </c>
      <c r="K45" t="str">
        <f t="shared" si="8"/>
        <v/>
      </c>
      <c r="L45" t="str">
        <f t="shared" si="9"/>
        <v/>
      </c>
      <c r="M45" t="str">
        <f t="shared" si="10"/>
        <v>Automation - Living Room TV</v>
      </c>
      <c r="N45" t="str">
        <f t="shared" si="11"/>
        <v/>
      </c>
      <c r="O45" t="str">
        <f t="shared" si="12"/>
        <v/>
      </c>
    </row>
    <row r="46" spans="2:15" x14ac:dyDescent="0.45">
      <c r="B46" s="17" t="s">
        <v>472</v>
      </c>
      <c r="C46">
        <f t="shared" si="4"/>
        <v>0</v>
      </c>
      <c r="D46">
        <f t="shared" si="0"/>
        <v>0</v>
      </c>
      <c r="E46">
        <f t="shared" si="5"/>
        <v>0</v>
      </c>
      <c r="F46">
        <f t="shared" si="1"/>
        <v>0</v>
      </c>
      <c r="G46">
        <f t="shared" si="2"/>
        <v>1</v>
      </c>
      <c r="H46" t="str">
        <f t="shared" si="3"/>
        <v/>
      </c>
      <c r="I46" t="str">
        <f t="shared" si="6"/>
        <v/>
      </c>
      <c r="J46" t="str">
        <f t="shared" si="7"/>
        <v/>
      </c>
      <c r="K46" t="str">
        <f t="shared" si="8"/>
        <v/>
      </c>
      <c r="L46" t="str">
        <f t="shared" si="9"/>
        <v/>
      </c>
      <c r="M46" t="str">
        <f t="shared" si="10"/>
        <v>Automation - Living Room TV</v>
      </c>
      <c r="N46" t="str">
        <f t="shared" si="11"/>
        <v xml:space="preserve">    - automation.rmlvtv_chromecast_volume_to_4_on_start</v>
      </c>
      <c r="O46" t="str">
        <f t="shared" si="12"/>
        <v>automation.rmlvtv_chromecast_volume_to_4_on_start</v>
      </c>
    </row>
    <row r="47" spans="2:15" x14ac:dyDescent="0.45">
      <c r="B47" s="17" t="s">
        <v>473</v>
      </c>
      <c r="C47">
        <f t="shared" si="4"/>
        <v>0</v>
      </c>
      <c r="D47">
        <f t="shared" si="0"/>
        <v>0</v>
      </c>
      <c r="E47">
        <f t="shared" si="5"/>
        <v>0</v>
      </c>
      <c r="F47">
        <f t="shared" si="1"/>
        <v>0</v>
      </c>
      <c r="G47">
        <f t="shared" si="2"/>
        <v>1</v>
      </c>
      <c r="H47" t="str">
        <f t="shared" si="3"/>
        <v/>
      </c>
      <c r="I47" t="str">
        <f t="shared" si="6"/>
        <v/>
      </c>
      <c r="J47" t="str">
        <f t="shared" si="7"/>
        <v/>
      </c>
      <c r="K47" t="str">
        <f t="shared" si="8"/>
        <v/>
      </c>
      <c r="L47" t="str">
        <f t="shared" si="9"/>
        <v/>
      </c>
      <c r="M47" t="str">
        <f t="shared" si="10"/>
        <v>Automation - Living Room TV</v>
      </c>
      <c r="N47" t="str">
        <f t="shared" si="11"/>
        <v xml:space="preserve">    - automation.rmlvtv_tv_off_with_chromecast</v>
      </c>
      <c r="O47" t="str">
        <f t="shared" si="12"/>
        <v>automation.rmlvtv_tv_off_with_chromecast</v>
      </c>
    </row>
    <row r="48" spans="2:15" x14ac:dyDescent="0.45">
      <c r="B48" s="17" t="s">
        <v>474</v>
      </c>
      <c r="C48">
        <f t="shared" si="4"/>
        <v>0</v>
      </c>
      <c r="D48">
        <f t="shared" si="0"/>
        <v>0</v>
      </c>
      <c r="E48">
        <f t="shared" si="5"/>
        <v>0</v>
      </c>
      <c r="F48">
        <f t="shared" si="1"/>
        <v>0</v>
      </c>
      <c r="G48">
        <f t="shared" si="2"/>
        <v>1</v>
      </c>
      <c r="H48" t="str">
        <f t="shared" si="3"/>
        <v/>
      </c>
      <c r="I48" t="str">
        <f t="shared" si="6"/>
        <v/>
      </c>
      <c r="J48" t="str">
        <f t="shared" si="7"/>
        <v/>
      </c>
      <c r="K48" t="str">
        <f t="shared" si="8"/>
        <v/>
      </c>
      <c r="L48" t="str">
        <f t="shared" si="9"/>
        <v/>
      </c>
      <c r="M48" t="str">
        <f t="shared" si="10"/>
        <v>Automation - Living Room TV</v>
      </c>
      <c r="N48" t="str">
        <f t="shared" si="11"/>
        <v xml:space="preserve">    - automation.rmlvtv_tv_off_with_chromecast_2</v>
      </c>
      <c r="O48" t="str">
        <f t="shared" si="12"/>
        <v>automation.rmlvtv_tv_off_with_chromecast_2</v>
      </c>
    </row>
    <row r="49" spans="2:15" x14ac:dyDescent="0.45">
      <c r="B49" s="17" t="s">
        <v>475</v>
      </c>
      <c r="C49">
        <f t="shared" si="4"/>
        <v>0</v>
      </c>
      <c r="D49">
        <f t="shared" si="0"/>
        <v>0</v>
      </c>
      <c r="E49">
        <f t="shared" si="5"/>
        <v>0</v>
      </c>
      <c r="F49">
        <f t="shared" si="1"/>
        <v>0</v>
      </c>
      <c r="G49">
        <f t="shared" si="2"/>
        <v>1</v>
      </c>
      <c r="H49" t="str">
        <f t="shared" si="3"/>
        <v/>
      </c>
      <c r="I49" t="str">
        <f t="shared" si="6"/>
        <v/>
      </c>
      <c r="J49" t="str">
        <f t="shared" si="7"/>
        <v/>
      </c>
      <c r="K49" t="str">
        <f t="shared" si="8"/>
        <v/>
      </c>
      <c r="L49" t="str">
        <f t="shared" si="9"/>
        <v/>
      </c>
      <c r="M49" t="str">
        <f t="shared" si="10"/>
        <v>Automation - Living Room TV</v>
      </c>
      <c r="N49" t="str">
        <f t="shared" si="11"/>
        <v xml:space="preserve">    - automation.rmlvtv_tv_off_with_chromecast_3</v>
      </c>
      <c r="O49" t="str">
        <f t="shared" si="12"/>
        <v>automation.rmlvtv_tv_off_with_chromecast_3</v>
      </c>
    </row>
    <row r="50" spans="2:15" x14ac:dyDescent="0.45">
      <c r="B50" s="17" t="s">
        <v>476</v>
      </c>
      <c r="C50">
        <f t="shared" si="4"/>
        <v>0</v>
      </c>
      <c r="D50">
        <f t="shared" si="0"/>
        <v>0</v>
      </c>
      <c r="E50">
        <f t="shared" si="5"/>
        <v>0</v>
      </c>
      <c r="F50">
        <f t="shared" si="1"/>
        <v>0</v>
      </c>
      <c r="G50">
        <f t="shared" si="2"/>
        <v>1</v>
      </c>
      <c r="H50" t="str">
        <f t="shared" si="3"/>
        <v/>
      </c>
      <c r="I50" t="str">
        <f t="shared" si="6"/>
        <v/>
      </c>
      <c r="J50" t="str">
        <f t="shared" si="7"/>
        <v/>
      </c>
      <c r="K50" t="str">
        <f t="shared" si="8"/>
        <v/>
      </c>
      <c r="L50" t="str">
        <f t="shared" si="9"/>
        <v/>
      </c>
      <c r="M50" t="str">
        <f t="shared" si="10"/>
        <v>Automation - Living Room TV</v>
      </c>
      <c r="N50" t="str">
        <f t="shared" si="11"/>
        <v xml:space="preserve">    - automation.rmlvtv_tv_on_with_chromecast</v>
      </c>
      <c r="O50" t="str">
        <f t="shared" si="12"/>
        <v>automation.rmlvtv_tv_on_with_chromecast</v>
      </c>
    </row>
    <row r="51" spans="2:15" x14ac:dyDescent="0.45">
      <c r="B51" s="17"/>
      <c r="C51">
        <f t="shared" si="4"/>
        <v>1</v>
      </c>
      <c r="D51">
        <f t="shared" si="0"/>
        <v>0</v>
      </c>
      <c r="E51">
        <f t="shared" si="5"/>
        <v>0</v>
      </c>
      <c r="F51">
        <f t="shared" si="1"/>
        <v>0</v>
      </c>
      <c r="G51">
        <f t="shared" si="2"/>
        <v>0</v>
      </c>
      <c r="H51" t="str">
        <f t="shared" si="3"/>
        <v/>
      </c>
      <c r="I51" t="str">
        <f t="shared" si="6"/>
        <v/>
      </c>
      <c r="J51" t="str">
        <f t="shared" si="7"/>
        <v/>
      </c>
      <c r="K51" t="str">
        <f t="shared" si="8"/>
        <v/>
      </c>
      <c r="L51" t="str">
        <f t="shared" si="9"/>
        <v/>
      </c>
      <c r="M51" t="str">
        <f t="shared" si="10"/>
        <v>Automation - Living Room TV</v>
      </c>
      <c r="N51" t="str">
        <f t="shared" si="11"/>
        <v/>
      </c>
      <c r="O51" t="str">
        <f t="shared" si="12"/>
        <v/>
      </c>
    </row>
    <row r="52" spans="2:15" x14ac:dyDescent="0.45">
      <c r="B52" s="17" t="s">
        <v>477</v>
      </c>
      <c r="C52">
        <f t="shared" si="4"/>
        <v>0</v>
      </c>
      <c r="D52">
        <f t="shared" si="0"/>
        <v>0</v>
      </c>
      <c r="E52">
        <f t="shared" si="5"/>
        <v>1</v>
      </c>
      <c r="F52">
        <f t="shared" si="1"/>
        <v>0</v>
      </c>
      <c r="G52">
        <f t="shared" si="2"/>
        <v>0</v>
      </c>
      <c r="H52" t="str">
        <f t="shared" si="3"/>
        <v>automation_statfriend:</v>
      </c>
      <c r="I52" t="str">
        <f t="shared" si="6"/>
        <v>automation_statfriend</v>
      </c>
      <c r="J52" t="str">
        <f t="shared" si="7"/>
        <v/>
      </c>
      <c r="K52" t="str">
        <f t="shared" si="8"/>
        <v/>
      </c>
      <c r="L52" t="str">
        <f t="shared" si="9"/>
        <v/>
      </c>
      <c r="M52" t="str">
        <f t="shared" si="10"/>
        <v>Automation - Living Room TV</v>
      </c>
      <c r="N52" t="str">
        <f t="shared" si="11"/>
        <v/>
      </c>
      <c r="O52" t="str">
        <f t="shared" si="12"/>
        <v/>
      </c>
    </row>
    <row r="53" spans="2:15" x14ac:dyDescent="0.45">
      <c r="B53" s="17" t="s">
        <v>478</v>
      </c>
      <c r="C53">
        <f t="shared" si="4"/>
        <v>0</v>
      </c>
      <c r="D53">
        <f t="shared" si="0"/>
        <v>1</v>
      </c>
      <c r="E53">
        <f t="shared" si="5"/>
        <v>0</v>
      </c>
      <c r="F53">
        <f t="shared" si="1"/>
        <v>1</v>
      </c>
      <c r="G53">
        <f t="shared" si="2"/>
        <v>0</v>
      </c>
      <c r="H53" t="str">
        <f t="shared" si="3"/>
        <v/>
      </c>
      <c r="I53" t="str">
        <f t="shared" si="6"/>
        <v/>
      </c>
      <c r="J53" t="str">
        <f t="shared" si="7"/>
        <v xml:space="preserve">  name: "Automation - Friend Status"</v>
      </c>
      <c r="K53" t="str">
        <f t="shared" si="8"/>
        <v>"Automation - Friend Status"</v>
      </c>
      <c r="L53" t="str">
        <f t="shared" si="9"/>
        <v>Automation - Friend Status</v>
      </c>
      <c r="M53" t="str">
        <f t="shared" si="10"/>
        <v>Automation - Friend Status</v>
      </c>
      <c r="N53" t="str">
        <f t="shared" si="11"/>
        <v/>
      </c>
      <c r="O53" t="str">
        <f t="shared" si="12"/>
        <v/>
      </c>
    </row>
    <row r="54" spans="2:15" x14ac:dyDescent="0.45">
      <c r="B54" s="17" t="s">
        <v>56</v>
      </c>
      <c r="C54">
        <f t="shared" si="4"/>
        <v>0</v>
      </c>
      <c r="D54">
        <f t="shared" si="0"/>
        <v>1</v>
      </c>
      <c r="E54">
        <f t="shared" si="5"/>
        <v>0</v>
      </c>
      <c r="F54">
        <f t="shared" si="1"/>
        <v>0</v>
      </c>
      <c r="G54">
        <f t="shared" si="2"/>
        <v>0</v>
      </c>
      <c r="H54" t="str">
        <f t="shared" si="3"/>
        <v/>
      </c>
      <c r="I54" t="str">
        <f t="shared" si="6"/>
        <v/>
      </c>
      <c r="J54" t="str">
        <f t="shared" si="7"/>
        <v/>
      </c>
      <c r="K54" t="str">
        <f t="shared" si="8"/>
        <v/>
      </c>
      <c r="L54" t="str">
        <f t="shared" si="9"/>
        <v/>
      </c>
      <c r="M54" t="str">
        <f t="shared" si="10"/>
        <v>Automation - Friend Status</v>
      </c>
      <c r="N54" t="str">
        <f t="shared" si="11"/>
        <v/>
      </c>
      <c r="O54" t="str">
        <f t="shared" si="12"/>
        <v/>
      </c>
    </row>
    <row r="55" spans="2:15" x14ac:dyDescent="0.45">
      <c r="B55" s="17" t="s">
        <v>479</v>
      </c>
      <c r="C55">
        <f t="shared" si="4"/>
        <v>0</v>
      </c>
      <c r="D55">
        <f t="shared" si="0"/>
        <v>0</v>
      </c>
      <c r="E55">
        <f t="shared" si="5"/>
        <v>0</v>
      </c>
      <c r="F55">
        <f t="shared" si="1"/>
        <v>0</v>
      </c>
      <c r="G55">
        <f t="shared" si="2"/>
        <v>1</v>
      </c>
      <c r="H55" t="str">
        <f t="shared" si="3"/>
        <v/>
      </c>
      <c r="I55" t="str">
        <f t="shared" si="6"/>
        <v/>
      </c>
      <c r="J55" t="str">
        <f t="shared" si="7"/>
        <v/>
      </c>
      <c r="K55" t="str">
        <f t="shared" si="8"/>
        <v/>
      </c>
      <c r="L55" t="str">
        <f t="shared" si="9"/>
        <v/>
      </c>
      <c r="M55" t="str">
        <f t="shared" si="10"/>
        <v>Automation - Friend Status</v>
      </c>
      <c r="N55" t="str">
        <f t="shared" si="11"/>
        <v xml:space="preserve">    - automation.statfriend_friend_visiting_off_from_device_tracker</v>
      </c>
      <c r="O55" t="str">
        <f t="shared" si="12"/>
        <v>automation.statfriend_friend_visiting_off_from_device_tracker</v>
      </c>
    </row>
    <row r="56" spans="2:15" x14ac:dyDescent="0.45">
      <c r="B56" s="17" t="s">
        <v>480</v>
      </c>
      <c r="C56">
        <f t="shared" si="4"/>
        <v>0</v>
      </c>
      <c r="D56">
        <f t="shared" si="0"/>
        <v>0</v>
      </c>
      <c r="E56">
        <f t="shared" si="5"/>
        <v>0</v>
      </c>
      <c r="F56">
        <f t="shared" si="1"/>
        <v>0</v>
      </c>
      <c r="G56">
        <f t="shared" si="2"/>
        <v>1</v>
      </c>
      <c r="H56" t="str">
        <f t="shared" si="3"/>
        <v/>
      </c>
      <c r="I56" t="str">
        <f t="shared" si="6"/>
        <v/>
      </c>
      <c r="J56" t="str">
        <f t="shared" si="7"/>
        <v/>
      </c>
      <c r="K56" t="str">
        <f t="shared" si="8"/>
        <v/>
      </c>
      <c r="L56" t="str">
        <f t="shared" si="9"/>
        <v/>
      </c>
      <c r="M56" t="str">
        <f t="shared" si="10"/>
        <v>Automation - Friend Status</v>
      </c>
      <c r="N56" t="str">
        <f t="shared" si="11"/>
        <v xml:space="preserve">    - automation.statfriend_friend_visiting_on_from_device_tracker</v>
      </c>
      <c r="O56" t="str">
        <f t="shared" si="12"/>
        <v>automation.statfriend_friend_visiting_on_from_device_tracker</v>
      </c>
    </row>
    <row r="57" spans="2:15" x14ac:dyDescent="0.45">
      <c r="B57" s="17"/>
      <c r="C57">
        <f t="shared" si="4"/>
        <v>1</v>
      </c>
      <c r="D57">
        <f t="shared" si="0"/>
        <v>0</v>
      </c>
      <c r="E57">
        <f t="shared" si="5"/>
        <v>0</v>
      </c>
      <c r="F57">
        <f t="shared" si="1"/>
        <v>0</v>
      </c>
      <c r="G57">
        <f t="shared" si="2"/>
        <v>0</v>
      </c>
      <c r="H57" t="str">
        <f t="shared" si="3"/>
        <v/>
      </c>
      <c r="I57" t="str">
        <f t="shared" si="6"/>
        <v/>
      </c>
      <c r="J57" t="str">
        <f t="shared" si="7"/>
        <v/>
      </c>
      <c r="K57" t="str">
        <f t="shared" si="8"/>
        <v/>
      </c>
      <c r="L57" t="str">
        <f t="shared" si="9"/>
        <v/>
      </c>
      <c r="M57" t="str">
        <f t="shared" si="10"/>
        <v>Automation - Friend Status</v>
      </c>
      <c r="N57" t="str">
        <f t="shared" si="11"/>
        <v/>
      </c>
      <c r="O57" t="str">
        <f t="shared" si="12"/>
        <v/>
      </c>
    </row>
    <row r="58" spans="2:15" x14ac:dyDescent="0.45">
      <c r="B58" s="17" t="s">
        <v>481</v>
      </c>
      <c r="C58">
        <f t="shared" si="4"/>
        <v>0</v>
      </c>
      <c r="D58">
        <f t="shared" si="0"/>
        <v>0</v>
      </c>
      <c r="E58">
        <f t="shared" si="5"/>
        <v>1</v>
      </c>
      <c r="F58">
        <f t="shared" si="1"/>
        <v>0</v>
      </c>
      <c r="G58">
        <f t="shared" si="2"/>
        <v>0</v>
      </c>
      <c r="H58" t="str">
        <f t="shared" si="3"/>
        <v>automation_statron:</v>
      </c>
      <c r="I58" t="str">
        <f t="shared" si="6"/>
        <v>automation_statron</v>
      </c>
      <c r="J58" t="str">
        <f t="shared" si="7"/>
        <v/>
      </c>
      <c r="K58" t="str">
        <f t="shared" si="8"/>
        <v/>
      </c>
      <c r="L58" t="str">
        <f t="shared" si="9"/>
        <v/>
      </c>
      <c r="M58" t="str">
        <f t="shared" si="10"/>
        <v>Automation - Friend Status</v>
      </c>
      <c r="N58" t="str">
        <f t="shared" si="11"/>
        <v/>
      </c>
      <c r="O58" t="str">
        <f t="shared" si="12"/>
        <v/>
      </c>
    </row>
    <row r="59" spans="2:15" x14ac:dyDescent="0.45">
      <c r="B59" s="17" t="s">
        <v>482</v>
      </c>
      <c r="C59">
        <f t="shared" si="4"/>
        <v>0</v>
      </c>
      <c r="D59">
        <f t="shared" si="0"/>
        <v>1</v>
      </c>
      <c r="E59">
        <f t="shared" si="5"/>
        <v>0</v>
      </c>
      <c r="F59">
        <f t="shared" si="1"/>
        <v>1</v>
      </c>
      <c r="G59">
        <f t="shared" si="2"/>
        <v>0</v>
      </c>
      <c r="H59" t="str">
        <f t="shared" si="3"/>
        <v/>
      </c>
      <c r="I59" t="str">
        <f t="shared" si="6"/>
        <v/>
      </c>
      <c r="J59" t="str">
        <f t="shared" si="7"/>
        <v xml:space="preserve">  name: "Automation - Ron Status"</v>
      </c>
      <c r="K59" t="str">
        <f t="shared" si="8"/>
        <v>"Automation - Ron Status"</v>
      </c>
      <c r="L59" t="str">
        <f t="shared" si="9"/>
        <v>Automation - Ron Status</v>
      </c>
      <c r="M59" t="str">
        <f t="shared" si="10"/>
        <v>Automation - Ron Status</v>
      </c>
      <c r="N59" t="str">
        <f t="shared" si="11"/>
        <v/>
      </c>
      <c r="O59" t="str">
        <f t="shared" si="12"/>
        <v/>
      </c>
    </row>
    <row r="60" spans="2:15" x14ac:dyDescent="0.45">
      <c r="B60" s="17" t="s">
        <v>56</v>
      </c>
      <c r="C60">
        <f t="shared" si="4"/>
        <v>0</v>
      </c>
      <c r="D60">
        <f t="shared" si="0"/>
        <v>1</v>
      </c>
      <c r="E60">
        <f t="shared" si="5"/>
        <v>0</v>
      </c>
      <c r="F60">
        <f t="shared" si="1"/>
        <v>0</v>
      </c>
      <c r="G60">
        <f t="shared" si="2"/>
        <v>0</v>
      </c>
      <c r="H60" t="str">
        <f t="shared" si="3"/>
        <v/>
      </c>
      <c r="I60" t="str">
        <f t="shared" si="6"/>
        <v/>
      </c>
      <c r="J60" t="str">
        <f t="shared" si="7"/>
        <v/>
      </c>
      <c r="K60" t="str">
        <f t="shared" si="8"/>
        <v/>
      </c>
      <c r="L60" t="str">
        <f t="shared" si="9"/>
        <v/>
      </c>
      <c r="M60" t="str">
        <f t="shared" si="10"/>
        <v>Automation - Ron Status</v>
      </c>
      <c r="N60" t="str">
        <f t="shared" si="11"/>
        <v/>
      </c>
      <c r="O60" t="str">
        <f t="shared" si="12"/>
        <v/>
      </c>
    </row>
    <row r="61" spans="2:15" x14ac:dyDescent="0.45">
      <c r="B61" s="17" t="s">
        <v>483</v>
      </c>
      <c r="C61">
        <f t="shared" si="4"/>
        <v>0</v>
      </c>
      <c r="D61">
        <f t="shared" si="0"/>
        <v>0</v>
      </c>
      <c r="E61">
        <f t="shared" si="5"/>
        <v>0</v>
      </c>
      <c r="F61">
        <f t="shared" si="1"/>
        <v>0</v>
      </c>
      <c r="G61">
        <f t="shared" si="2"/>
        <v>1</v>
      </c>
      <c r="H61" t="str">
        <f t="shared" si="3"/>
        <v/>
      </c>
      <c r="I61" t="str">
        <f t="shared" si="6"/>
        <v/>
      </c>
      <c r="J61" t="str">
        <f t="shared" si="7"/>
        <v/>
      </c>
      <c r="K61" t="str">
        <f t="shared" si="8"/>
        <v/>
      </c>
      <c r="L61" t="str">
        <f t="shared" si="9"/>
        <v/>
      </c>
      <c r="M61" t="str">
        <f t="shared" si="10"/>
        <v>Automation - Ron Status</v>
      </c>
      <c r="N61" t="str">
        <f t="shared" si="11"/>
        <v xml:space="preserve">    - automation.statron_away_status_from_device_tracker</v>
      </c>
      <c r="O61" t="str">
        <f t="shared" si="12"/>
        <v>automation.statron_away_status_from_device_tracker</v>
      </c>
    </row>
    <row r="62" spans="2:15" x14ac:dyDescent="0.45">
      <c r="B62" s="17" t="s">
        <v>484</v>
      </c>
      <c r="C62">
        <f t="shared" si="4"/>
        <v>0</v>
      </c>
      <c r="D62">
        <f t="shared" si="0"/>
        <v>0</v>
      </c>
      <c r="E62">
        <f t="shared" si="5"/>
        <v>0</v>
      </c>
      <c r="F62">
        <f t="shared" si="1"/>
        <v>0</v>
      </c>
      <c r="G62">
        <f t="shared" si="2"/>
        <v>1</v>
      </c>
      <c r="H62" t="str">
        <f t="shared" si="3"/>
        <v/>
      </c>
      <c r="I62" t="str">
        <f t="shared" si="6"/>
        <v/>
      </c>
      <c r="J62" t="str">
        <f t="shared" si="7"/>
        <v/>
      </c>
      <c r="K62" t="str">
        <f t="shared" si="8"/>
        <v/>
      </c>
      <c r="L62" t="str">
        <f t="shared" si="9"/>
        <v/>
      </c>
      <c r="M62" t="str">
        <f t="shared" si="10"/>
        <v>Automation - Ron Status</v>
      </c>
      <c r="N62" t="str">
        <f t="shared" si="11"/>
        <v xml:space="preserve">    - automation.statron_computer_status_from_monitor_status</v>
      </c>
      <c r="O62" t="str">
        <f t="shared" si="12"/>
        <v>automation.statron_computer_status_from_monitor_status</v>
      </c>
    </row>
    <row r="63" spans="2:15" x14ac:dyDescent="0.45">
      <c r="B63" s="17" t="s">
        <v>485</v>
      </c>
      <c r="C63">
        <f t="shared" si="4"/>
        <v>0</v>
      </c>
      <c r="D63">
        <f t="shared" si="0"/>
        <v>0</v>
      </c>
      <c r="E63">
        <f t="shared" si="5"/>
        <v>0</v>
      </c>
      <c r="F63">
        <f t="shared" si="1"/>
        <v>0</v>
      </c>
      <c r="G63">
        <f t="shared" si="2"/>
        <v>1</v>
      </c>
      <c r="H63" t="str">
        <f t="shared" si="3"/>
        <v/>
      </c>
      <c r="I63" t="str">
        <f t="shared" si="6"/>
        <v/>
      </c>
      <c r="J63" t="str">
        <f t="shared" si="7"/>
        <v/>
      </c>
      <c r="K63" t="str">
        <f t="shared" si="8"/>
        <v/>
      </c>
      <c r="L63" t="str">
        <f t="shared" si="9"/>
        <v/>
      </c>
      <c r="M63" t="str">
        <f t="shared" si="10"/>
        <v>Automation - Ron Status</v>
      </c>
      <c r="N63" t="str">
        <f t="shared" si="11"/>
        <v xml:space="preserve">    - automation.statron_home_status_from_device_tracker</v>
      </c>
      <c r="O63" t="str">
        <f t="shared" si="12"/>
        <v>automation.statron_home_status_from_device_tracker</v>
      </c>
    </row>
    <row r="64" spans="2:15" x14ac:dyDescent="0.45">
      <c r="B64" s="17" t="s">
        <v>486</v>
      </c>
      <c r="C64">
        <f t="shared" si="4"/>
        <v>0</v>
      </c>
      <c r="D64">
        <f t="shared" si="0"/>
        <v>0</v>
      </c>
      <c r="E64">
        <f t="shared" si="5"/>
        <v>0</v>
      </c>
      <c r="F64">
        <f t="shared" si="1"/>
        <v>0</v>
      </c>
      <c r="G64">
        <f t="shared" si="2"/>
        <v>1</v>
      </c>
      <c r="H64" t="str">
        <f t="shared" si="3"/>
        <v/>
      </c>
      <c r="I64" t="str">
        <f t="shared" si="6"/>
        <v/>
      </c>
      <c r="J64" t="str">
        <f t="shared" si="7"/>
        <v/>
      </c>
      <c r="K64" t="str">
        <f t="shared" si="8"/>
        <v/>
      </c>
      <c r="L64" t="str">
        <f t="shared" si="9"/>
        <v/>
      </c>
      <c r="M64" t="str">
        <f t="shared" si="10"/>
        <v>Automation - Ron Status</v>
      </c>
      <c r="N64" t="str">
        <f t="shared" si="11"/>
        <v xml:space="preserve">    - automation.statron_home_status_from_monitor_status</v>
      </c>
      <c r="O64" t="str">
        <f t="shared" si="12"/>
        <v>automation.statron_home_status_from_monitor_status</v>
      </c>
    </row>
    <row r="65" spans="2:15" x14ac:dyDescent="0.45">
      <c r="B65" s="17"/>
      <c r="C65">
        <f t="shared" si="4"/>
        <v>1</v>
      </c>
      <c r="D65">
        <f t="shared" si="0"/>
        <v>0</v>
      </c>
      <c r="E65">
        <f t="shared" si="5"/>
        <v>0</v>
      </c>
      <c r="F65">
        <f t="shared" si="1"/>
        <v>0</v>
      </c>
      <c r="G65">
        <f t="shared" si="2"/>
        <v>0</v>
      </c>
      <c r="H65" t="str">
        <f t="shared" si="3"/>
        <v/>
      </c>
      <c r="I65" t="str">
        <f t="shared" si="6"/>
        <v/>
      </c>
      <c r="J65" t="str">
        <f t="shared" si="7"/>
        <v/>
      </c>
      <c r="K65" t="str">
        <f t="shared" si="8"/>
        <v/>
      </c>
      <c r="L65" t="str">
        <f t="shared" si="9"/>
        <v/>
      </c>
      <c r="M65" t="str">
        <f t="shared" si="10"/>
        <v>Automation - Ron Status</v>
      </c>
      <c r="N65" t="str">
        <f t="shared" si="11"/>
        <v/>
      </c>
      <c r="O65" t="str">
        <f t="shared" si="12"/>
        <v/>
      </c>
    </row>
    <row r="66" spans="2:15" x14ac:dyDescent="0.45">
      <c r="B66" s="17" t="s">
        <v>487</v>
      </c>
      <c r="C66">
        <f t="shared" si="4"/>
        <v>0</v>
      </c>
      <c r="D66">
        <f t="shared" si="0"/>
        <v>0</v>
      </c>
      <c r="E66">
        <f t="shared" si="5"/>
        <v>1</v>
      </c>
      <c r="F66">
        <f t="shared" si="1"/>
        <v>0</v>
      </c>
      <c r="G66">
        <f t="shared" si="2"/>
        <v>0</v>
      </c>
      <c r="H66" t="str">
        <f t="shared" si="3"/>
        <v>automation_statvac:</v>
      </c>
      <c r="I66" t="str">
        <f t="shared" si="6"/>
        <v>automation_statvac</v>
      </c>
      <c r="J66" t="str">
        <f t="shared" si="7"/>
        <v/>
      </c>
      <c r="K66" t="str">
        <f t="shared" si="8"/>
        <v/>
      </c>
      <c r="L66" t="str">
        <f t="shared" si="9"/>
        <v/>
      </c>
      <c r="M66" t="str">
        <f t="shared" si="10"/>
        <v>Automation - Ron Status</v>
      </c>
      <c r="N66" t="str">
        <f t="shared" si="11"/>
        <v/>
      </c>
      <c r="O66" t="str">
        <f t="shared" si="12"/>
        <v/>
      </c>
    </row>
    <row r="67" spans="2:15" x14ac:dyDescent="0.45">
      <c r="B67" s="17" t="s">
        <v>488</v>
      </c>
      <c r="C67">
        <f t="shared" si="4"/>
        <v>0</v>
      </c>
      <c r="D67">
        <f t="shared" si="0"/>
        <v>1</v>
      </c>
      <c r="E67">
        <f t="shared" si="5"/>
        <v>0</v>
      </c>
      <c r="F67">
        <f t="shared" si="1"/>
        <v>1</v>
      </c>
      <c r="G67">
        <f t="shared" si="2"/>
        <v>0</v>
      </c>
      <c r="H67" t="str">
        <f t="shared" si="3"/>
        <v/>
      </c>
      <c r="I67" t="str">
        <f t="shared" si="6"/>
        <v/>
      </c>
      <c r="J67" t="str">
        <f t="shared" si="7"/>
        <v xml:space="preserve">  name: "Automation - Vacation Status"</v>
      </c>
      <c r="K67" t="str">
        <f t="shared" si="8"/>
        <v>"Automation - Vacation Status"</v>
      </c>
      <c r="L67" t="str">
        <f t="shared" si="9"/>
        <v>Automation - Vacation Status</v>
      </c>
      <c r="M67" t="str">
        <f t="shared" si="10"/>
        <v>Automation - Vacation Status</v>
      </c>
      <c r="N67" t="str">
        <f t="shared" si="11"/>
        <v/>
      </c>
      <c r="O67" t="str">
        <f t="shared" si="12"/>
        <v/>
      </c>
    </row>
    <row r="68" spans="2:15" x14ac:dyDescent="0.45">
      <c r="B68" s="17" t="s">
        <v>56</v>
      </c>
      <c r="C68">
        <f t="shared" si="4"/>
        <v>0</v>
      </c>
      <c r="D68">
        <f t="shared" si="0"/>
        <v>1</v>
      </c>
      <c r="E68">
        <f t="shared" si="5"/>
        <v>0</v>
      </c>
      <c r="F68">
        <f t="shared" si="1"/>
        <v>0</v>
      </c>
      <c r="G68">
        <f t="shared" si="2"/>
        <v>0</v>
      </c>
      <c r="H68" t="str">
        <f t="shared" si="3"/>
        <v/>
      </c>
      <c r="I68" t="str">
        <f t="shared" si="6"/>
        <v/>
      </c>
      <c r="J68" t="str">
        <f t="shared" si="7"/>
        <v/>
      </c>
      <c r="K68" t="str">
        <f t="shared" si="8"/>
        <v/>
      </c>
      <c r="L68" t="str">
        <f t="shared" si="9"/>
        <v/>
      </c>
      <c r="M68" t="str">
        <f t="shared" si="10"/>
        <v>Automation - Vacation Status</v>
      </c>
      <c r="N68" t="str">
        <f t="shared" si="11"/>
        <v/>
      </c>
      <c r="O68" t="str">
        <f t="shared" si="12"/>
        <v/>
      </c>
    </row>
    <row r="69" spans="2:15" x14ac:dyDescent="0.45">
      <c r="B69" s="17" t="s">
        <v>489</v>
      </c>
      <c r="C69">
        <f t="shared" si="4"/>
        <v>0</v>
      </c>
      <c r="D69">
        <f t="shared" si="0"/>
        <v>0</v>
      </c>
      <c r="E69">
        <f t="shared" si="5"/>
        <v>0</v>
      </c>
      <c r="F69">
        <f t="shared" si="1"/>
        <v>0</v>
      </c>
      <c r="G69">
        <f t="shared" si="2"/>
        <v>1</v>
      </c>
      <c r="H69" t="str">
        <f t="shared" si="3"/>
        <v/>
      </c>
      <c r="I69" t="str">
        <f t="shared" si="6"/>
        <v/>
      </c>
      <c r="J69" t="str">
        <f t="shared" si="7"/>
        <v/>
      </c>
      <c r="K69" t="str">
        <f t="shared" si="8"/>
        <v/>
      </c>
      <c r="L69" t="str">
        <f t="shared" si="9"/>
        <v/>
      </c>
      <c r="M69" t="str">
        <f t="shared" si="10"/>
        <v>Automation - Vacation Status</v>
      </c>
      <c r="N69" t="str">
        <f t="shared" si="11"/>
        <v xml:space="preserve">    - automation.statvac_vacation_mode_off_when_home</v>
      </c>
      <c r="O69" t="str">
        <f t="shared" si="12"/>
        <v>automation.statvac_vacation_mode_off_when_home</v>
      </c>
    </row>
    <row r="70" spans="2:15" x14ac:dyDescent="0.45">
      <c r="B70" s="17" t="s">
        <v>490</v>
      </c>
      <c r="C70">
        <f t="shared" si="4"/>
        <v>0</v>
      </c>
      <c r="D70">
        <f t="shared" si="0"/>
        <v>0</v>
      </c>
      <c r="E70">
        <f t="shared" si="5"/>
        <v>0</v>
      </c>
      <c r="F70">
        <f t="shared" si="1"/>
        <v>0</v>
      </c>
      <c r="G70">
        <f t="shared" si="2"/>
        <v>1</v>
      </c>
      <c r="H70" t="str">
        <f t="shared" si="3"/>
        <v/>
      </c>
      <c r="I70" t="str">
        <f t="shared" si="6"/>
        <v/>
      </c>
      <c r="J70" t="str">
        <f t="shared" si="7"/>
        <v/>
      </c>
      <c r="K70" t="str">
        <f t="shared" si="8"/>
        <v/>
      </c>
      <c r="L70" t="str">
        <f t="shared" si="9"/>
        <v/>
      </c>
      <c r="M70" t="str">
        <f t="shared" si="10"/>
        <v>Automation - Vacation Status</v>
      </c>
      <c r="N70" t="str">
        <f t="shared" si="11"/>
        <v xml:space="preserve">    - automation.statvac_vacation_mode_on_when_gone_24_hours</v>
      </c>
      <c r="O70" t="str">
        <f t="shared" si="12"/>
        <v>automation.statvac_vacation_mode_on_when_gone_24_hours</v>
      </c>
    </row>
    <row r="71" spans="2:15" x14ac:dyDescent="0.45">
      <c r="B71" s="17"/>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t="shared" si="7"/>
        <v/>
      </c>
      <c r="K71" t="str">
        <f t="shared" si="8"/>
        <v/>
      </c>
      <c r="L71" t="str">
        <f t="shared" si="9"/>
        <v/>
      </c>
      <c r="M71" t="str">
        <f t="shared" si="10"/>
        <v>Automation - Vacation Status</v>
      </c>
      <c r="N71" t="str">
        <f t="shared" si="11"/>
        <v/>
      </c>
      <c r="O71" t="str">
        <f t="shared" si="12"/>
        <v/>
      </c>
    </row>
    <row r="72" spans="2:15" x14ac:dyDescent="0.45">
      <c r="B72" s="17"/>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t="shared" ref="J72:J135" si="20">IF(F72=1,$B72,"")</f>
        <v/>
      </c>
      <c r="K72" t="str">
        <f t="shared" ref="K72:K135" si="21">IFERROR(MID(J72,  FIND("name:",J72)+6,99),"")</f>
        <v/>
      </c>
      <c r="L72" t="str">
        <f t="shared" ref="L72:L135" si="22">SUBSTITUTE(K72,"""","")</f>
        <v/>
      </c>
      <c r="M72" t="str">
        <f t="shared" ref="M72:M135" si="23">IF(L72="",M71,L72)</f>
        <v>Automation - Vacation Status</v>
      </c>
      <c r="N72" t="str">
        <f t="shared" ref="N72:N135" si="24">IF(G72=1,$B72,"")</f>
        <v/>
      </c>
      <c r="O72" t="str">
        <f t="shared" ref="O72:O135" si="25">TRIM(SUBSTITUTE(N72,"-",""))</f>
        <v/>
      </c>
    </row>
    <row r="73" spans="2:15" x14ac:dyDescent="0.45">
      <c r="B73" s="17" t="s">
        <v>491</v>
      </c>
      <c r="C73">
        <f t="shared" si="17"/>
        <v>0</v>
      </c>
      <c r="D73">
        <f t="shared" si="13"/>
        <v>0</v>
      </c>
      <c r="E73">
        <f t="shared" si="18"/>
        <v>1</v>
      </c>
      <c r="F73">
        <f t="shared" si="14"/>
        <v>0</v>
      </c>
      <c r="G73">
        <f t="shared" si="15"/>
        <v>0</v>
      </c>
      <c r="H73" t="str">
        <f t="shared" si="16"/>
        <v>bedroom_lighting:</v>
      </c>
      <c r="I73" t="str">
        <f t="shared" si="19"/>
        <v>bedroom_lighting</v>
      </c>
      <c r="J73" t="str">
        <f t="shared" si="20"/>
        <v/>
      </c>
      <c r="K73" t="str">
        <f t="shared" si="21"/>
        <v/>
      </c>
      <c r="L73" t="str">
        <f t="shared" si="22"/>
        <v/>
      </c>
      <c r="M73" t="str">
        <f t="shared" si="23"/>
        <v>Automation - Vacation Status</v>
      </c>
      <c r="N73" t="str">
        <f t="shared" si="24"/>
        <v/>
      </c>
      <c r="O73" t="str">
        <f t="shared" si="25"/>
        <v/>
      </c>
    </row>
    <row r="74" spans="2:15" x14ac:dyDescent="0.45">
      <c r="B74" s="17" t="s">
        <v>492</v>
      </c>
      <c r="C74">
        <f t="shared" si="17"/>
        <v>0</v>
      </c>
      <c r="D74">
        <f t="shared" si="13"/>
        <v>1</v>
      </c>
      <c r="E74">
        <f t="shared" si="18"/>
        <v>0</v>
      </c>
      <c r="F74">
        <f t="shared" si="14"/>
        <v>1</v>
      </c>
      <c r="G74">
        <f t="shared" si="15"/>
        <v>0</v>
      </c>
      <c r="H74" t="str">
        <f t="shared" si="16"/>
        <v/>
      </c>
      <c r="I74" t="str">
        <f t="shared" si="19"/>
        <v/>
      </c>
      <c r="J74" t="str">
        <f t="shared" si="20"/>
        <v xml:space="preserve">  name: Bedroom Lighting</v>
      </c>
      <c r="K74" t="str">
        <f t="shared" si="21"/>
        <v>Bedroom Lighting</v>
      </c>
      <c r="L74" t="str">
        <f t="shared" si="22"/>
        <v>Bedroom Lighting</v>
      </c>
      <c r="M74" t="str">
        <f t="shared" si="23"/>
        <v>Bedroom Lighting</v>
      </c>
      <c r="N74" t="str">
        <f t="shared" si="24"/>
        <v/>
      </c>
      <c r="O74" t="str">
        <f t="shared" si="25"/>
        <v/>
      </c>
    </row>
    <row r="75" spans="2:15" x14ac:dyDescent="0.45">
      <c r="B75" s="17" t="s">
        <v>56</v>
      </c>
      <c r="C75">
        <f t="shared" si="17"/>
        <v>0</v>
      </c>
      <c r="D75">
        <f t="shared" si="13"/>
        <v>1</v>
      </c>
      <c r="E75">
        <f t="shared" si="18"/>
        <v>0</v>
      </c>
      <c r="F75">
        <f t="shared" si="14"/>
        <v>0</v>
      </c>
      <c r="G75">
        <f t="shared" si="15"/>
        <v>0</v>
      </c>
      <c r="H75" t="str">
        <f t="shared" si="16"/>
        <v/>
      </c>
      <c r="I75" t="str">
        <f t="shared" si="19"/>
        <v/>
      </c>
      <c r="J75" t="str">
        <f t="shared" si="20"/>
        <v/>
      </c>
      <c r="K75" t="str">
        <f t="shared" si="21"/>
        <v/>
      </c>
      <c r="L75" t="str">
        <f t="shared" si="22"/>
        <v/>
      </c>
      <c r="M75" t="str">
        <f t="shared" si="23"/>
        <v>Bedroom Lighting</v>
      </c>
      <c r="N75" t="str">
        <f t="shared" si="24"/>
        <v/>
      </c>
      <c r="O75" t="str">
        <f t="shared" si="25"/>
        <v/>
      </c>
    </row>
    <row r="76" spans="2:15" x14ac:dyDescent="0.45">
      <c r="B76" s="17" t="s">
        <v>493</v>
      </c>
      <c r="C76">
        <f t="shared" si="17"/>
        <v>0</v>
      </c>
      <c r="D76">
        <f t="shared" si="13"/>
        <v>0</v>
      </c>
      <c r="E76">
        <f t="shared" si="18"/>
        <v>0</v>
      </c>
      <c r="F76">
        <f t="shared" si="14"/>
        <v>0</v>
      </c>
      <c r="G76">
        <f t="shared" si="15"/>
        <v>1</v>
      </c>
      <c r="H76" t="str">
        <f t="shared" si="16"/>
        <v/>
      </c>
      <c r="I76" t="str">
        <f t="shared" si="19"/>
        <v/>
      </c>
      <c r="J76" t="str">
        <f t="shared" si="20"/>
        <v/>
      </c>
      <c r="K76" t="str">
        <f t="shared" si="21"/>
        <v/>
      </c>
      <c r="L76" t="str">
        <f t="shared" si="22"/>
        <v/>
      </c>
      <c r="M76" t="str">
        <f t="shared" si="23"/>
        <v>Bedroom Lighting</v>
      </c>
      <c r="N76" t="str">
        <f t="shared" si="24"/>
        <v xml:space="preserve">    - script.bright</v>
      </c>
      <c r="O76" t="str">
        <f t="shared" si="25"/>
        <v>script.bright</v>
      </c>
    </row>
    <row r="77" spans="2:15" x14ac:dyDescent="0.45">
      <c r="B77" s="17" t="s">
        <v>494</v>
      </c>
      <c r="C77">
        <f t="shared" si="17"/>
        <v>0</v>
      </c>
      <c r="D77">
        <f t="shared" si="13"/>
        <v>0</v>
      </c>
      <c r="E77">
        <f t="shared" si="18"/>
        <v>0</v>
      </c>
      <c r="F77">
        <f t="shared" si="14"/>
        <v>0</v>
      </c>
      <c r="G77">
        <f t="shared" si="15"/>
        <v>1</v>
      </c>
      <c r="H77" t="str">
        <f t="shared" si="16"/>
        <v/>
      </c>
      <c r="I77" t="str">
        <f t="shared" si="19"/>
        <v/>
      </c>
      <c r="J77" t="str">
        <f t="shared" si="20"/>
        <v/>
      </c>
      <c r="K77" t="str">
        <f t="shared" si="21"/>
        <v/>
      </c>
      <c r="L77" t="str">
        <f t="shared" si="22"/>
        <v/>
      </c>
      <c r="M77" t="str">
        <f t="shared" si="23"/>
        <v>Bedroom Lighting</v>
      </c>
      <c r="N77" t="str">
        <f t="shared" si="24"/>
        <v xml:space="preserve">    - script.twilight</v>
      </c>
      <c r="O77" t="str">
        <f t="shared" si="25"/>
        <v>script.twilight</v>
      </c>
    </row>
    <row r="78" spans="2:15" x14ac:dyDescent="0.45">
      <c r="B78" s="17" t="s">
        <v>495</v>
      </c>
      <c r="C78">
        <f t="shared" si="17"/>
        <v>0</v>
      </c>
      <c r="D78">
        <f t="shared" si="13"/>
        <v>0</v>
      </c>
      <c r="E78">
        <f t="shared" si="18"/>
        <v>0</v>
      </c>
      <c r="F78">
        <f t="shared" si="14"/>
        <v>0</v>
      </c>
      <c r="G78">
        <f t="shared" si="15"/>
        <v>1</v>
      </c>
      <c r="H78" t="str">
        <f t="shared" si="16"/>
        <v/>
      </c>
      <c r="I78" t="str">
        <f t="shared" si="19"/>
        <v/>
      </c>
      <c r="J78" t="str">
        <f t="shared" si="20"/>
        <v/>
      </c>
      <c r="K78" t="str">
        <f t="shared" si="21"/>
        <v/>
      </c>
      <c r="L78" t="str">
        <f t="shared" si="22"/>
        <v/>
      </c>
      <c r="M78" t="str">
        <f t="shared" si="23"/>
        <v>Bedroom Lighting</v>
      </c>
      <c r="N78" t="str">
        <f t="shared" si="24"/>
        <v xml:space="preserve">    - script.dusk</v>
      </c>
      <c r="O78" t="str">
        <f t="shared" si="25"/>
        <v>script.dusk</v>
      </c>
    </row>
    <row r="79" spans="2:15" x14ac:dyDescent="0.45">
      <c r="B79" s="17" t="s">
        <v>496</v>
      </c>
      <c r="C79">
        <f t="shared" si="17"/>
        <v>0</v>
      </c>
      <c r="D79">
        <f t="shared" si="13"/>
        <v>0</v>
      </c>
      <c r="E79">
        <f t="shared" si="18"/>
        <v>0</v>
      </c>
      <c r="F79">
        <f t="shared" si="14"/>
        <v>0</v>
      </c>
      <c r="G79">
        <f t="shared" si="15"/>
        <v>1</v>
      </c>
      <c r="H79" t="str">
        <f t="shared" si="16"/>
        <v/>
      </c>
      <c r="I79" t="str">
        <f t="shared" si="19"/>
        <v/>
      </c>
      <c r="J79" t="str">
        <f t="shared" si="20"/>
        <v/>
      </c>
      <c r="K79" t="str">
        <f t="shared" si="21"/>
        <v/>
      </c>
      <c r="L79" t="str">
        <f t="shared" si="22"/>
        <v/>
      </c>
      <c r="M79" t="str">
        <f t="shared" si="23"/>
        <v>Bedroom Lighting</v>
      </c>
      <c r="N79" t="str">
        <f t="shared" si="24"/>
        <v xml:space="preserve">    - script.reading</v>
      </c>
      <c r="O79" t="str">
        <f t="shared" si="25"/>
        <v>script.reading</v>
      </c>
    </row>
    <row r="80" spans="2:15" x14ac:dyDescent="0.45">
      <c r="B80" s="17" t="s">
        <v>497</v>
      </c>
      <c r="C80">
        <f t="shared" si="17"/>
        <v>0</v>
      </c>
      <c r="D80">
        <f t="shared" si="13"/>
        <v>0</v>
      </c>
      <c r="E80">
        <f t="shared" si="18"/>
        <v>0</v>
      </c>
      <c r="F80">
        <f t="shared" si="14"/>
        <v>0</v>
      </c>
      <c r="G80">
        <f t="shared" si="15"/>
        <v>1</v>
      </c>
      <c r="H80" t="str">
        <f t="shared" si="16"/>
        <v/>
      </c>
      <c r="I80" t="str">
        <f t="shared" si="19"/>
        <v/>
      </c>
      <c r="J80" t="str">
        <f t="shared" si="20"/>
        <v/>
      </c>
      <c r="K80" t="str">
        <f t="shared" si="21"/>
        <v/>
      </c>
      <c r="L80" t="str">
        <f t="shared" si="22"/>
        <v/>
      </c>
      <c r="M80" t="str">
        <f t="shared" si="23"/>
        <v>Bedroom Lighting</v>
      </c>
      <c r="N80" t="str">
        <f t="shared" si="24"/>
        <v xml:space="preserve">    - script.all_off</v>
      </c>
      <c r="O80" t="str">
        <f t="shared" si="25"/>
        <v>script.all_off</v>
      </c>
    </row>
    <row r="81" spans="2:15" x14ac:dyDescent="0.45">
      <c r="B81" s="17"/>
      <c r="C81">
        <f t="shared" si="17"/>
        <v>1</v>
      </c>
      <c r="D81">
        <f t="shared" si="13"/>
        <v>0</v>
      </c>
      <c r="E81">
        <f t="shared" si="18"/>
        <v>0</v>
      </c>
      <c r="F81">
        <f t="shared" si="14"/>
        <v>0</v>
      </c>
      <c r="G81">
        <f t="shared" si="15"/>
        <v>0</v>
      </c>
      <c r="H81" t="str">
        <f t="shared" si="16"/>
        <v/>
      </c>
      <c r="I81" t="str">
        <f t="shared" si="19"/>
        <v/>
      </c>
      <c r="J81" t="str">
        <f t="shared" si="20"/>
        <v/>
      </c>
      <c r="K81" t="str">
        <f t="shared" si="21"/>
        <v/>
      </c>
      <c r="L81" t="str">
        <f t="shared" si="22"/>
        <v/>
      </c>
      <c r="M81" t="str">
        <f t="shared" si="23"/>
        <v>Bedroom Lighting</v>
      </c>
      <c r="N81" t="str">
        <f t="shared" si="24"/>
        <v/>
      </c>
      <c r="O81" t="str">
        <f t="shared" si="25"/>
        <v/>
      </c>
    </row>
    <row r="82" spans="2:15" x14ac:dyDescent="0.45">
      <c r="B82" s="17" t="s">
        <v>498</v>
      </c>
      <c r="C82">
        <f t="shared" si="17"/>
        <v>0</v>
      </c>
      <c r="D82">
        <f t="shared" si="13"/>
        <v>0</v>
      </c>
      <c r="E82">
        <f t="shared" si="18"/>
        <v>1</v>
      </c>
      <c r="F82">
        <f t="shared" si="14"/>
        <v>0</v>
      </c>
      <c r="G82">
        <f t="shared" si="15"/>
        <v>0</v>
      </c>
      <c r="H82" t="str">
        <f t="shared" si="16"/>
        <v>bedroom:</v>
      </c>
      <c r="I82" t="str">
        <f t="shared" si="19"/>
        <v>bedroom</v>
      </c>
      <c r="J82" t="str">
        <f t="shared" si="20"/>
        <v/>
      </c>
      <c r="K82" t="str">
        <f t="shared" si="21"/>
        <v/>
      </c>
      <c r="L82" t="str">
        <f t="shared" si="22"/>
        <v/>
      </c>
      <c r="M82" t="str">
        <f t="shared" si="23"/>
        <v>Bedroom Lighting</v>
      </c>
      <c r="N82" t="str">
        <f t="shared" si="24"/>
        <v/>
      </c>
      <c r="O82" t="str">
        <f t="shared" si="25"/>
        <v/>
      </c>
    </row>
    <row r="83" spans="2:15" x14ac:dyDescent="0.45">
      <c r="B83" s="17" t="s">
        <v>499</v>
      </c>
      <c r="C83">
        <f t="shared" si="17"/>
        <v>0</v>
      </c>
      <c r="D83">
        <f t="shared" si="13"/>
        <v>1</v>
      </c>
      <c r="E83">
        <f t="shared" si="18"/>
        <v>0</v>
      </c>
      <c r="F83">
        <f t="shared" si="14"/>
        <v>1</v>
      </c>
      <c r="G83">
        <f t="shared" si="15"/>
        <v>0</v>
      </c>
      <c r="H83" t="str">
        <f t="shared" si="16"/>
        <v/>
      </c>
      <c r="I83" t="str">
        <f t="shared" si="19"/>
        <v/>
      </c>
      <c r="J83" t="str">
        <f t="shared" si="20"/>
        <v xml:space="preserve">  name: Bedroom</v>
      </c>
      <c r="K83" t="str">
        <f t="shared" si="21"/>
        <v>Bedroom</v>
      </c>
      <c r="L83" t="str">
        <f t="shared" si="22"/>
        <v>Bedroom</v>
      </c>
      <c r="M83" t="str">
        <f t="shared" si="23"/>
        <v>Bedroom</v>
      </c>
      <c r="N83" t="str">
        <f t="shared" si="24"/>
        <v/>
      </c>
      <c r="O83" t="str">
        <f t="shared" si="25"/>
        <v/>
      </c>
    </row>
    <row r="84" spans="2:15" x14ac:dyDescent="0.45">
      <c r="B84" s="17" t="s">
        <v>56</v>
      </c>
      <c r="C84">
        <f t="shared" si="17"/>
        <v>0</v>
      </c>
      <c r="D84">
        <f t="shared" si="13"/>
        <v>1</v>
      </c>
      <c r="E84">
        <f t="shared" si="18"/>
        <v>0</v>
      </c>
      <c r="F84">
        <f t="shared" si="14"/>
        <v>0</v>
      </c>
      <c r="G84">
        <f t="shared" si="15"/>
        <v>0</v>
      </c>
      <c r="H84" t="str">
        <f t="shared" si="16"/>
        <v/>
      </c>
      <c r="I84" t="str">
        <f t="shared" si="19"/>
        <v/>
      </c>
      <c r="J84" t="str">
        <f t="shared" si="20"/>
        <v/>
      </c>
      <c r="K84" t="str">
        <f t="shared" si="21"/>
        <v/>
      </c>
      <c r="L84" t="str">
        <f t="shared" si="22"/>
        <v/>
      </c>
      <c r="M84" t="str">
        <f t="shared" si="23"/>
        <v>Bedroom</v>
      </c>
      <c r="N84" t="str">
        <f t="shared" si="24"/>
        <v/>
      </c>
      <c r="O84" t="str">
        <f t="shared" si="25"/>
        <v/>
      </c>
    </row>
    <row r="85" spans="2:15" x14ac:dyDescent="0.45">
      <c r="B85" s="17" t="s">
        <v>500</v>
      </c>
      <c r="C85">
        <f t="shared" si="17"/>
        <v>0</v>
      </c>
      <c r="D85">
        <f t="shared" si="13"/>
        <v>0</v>
      </c>
      <c r="E85">
        <f t="shared" si="18"/>
        <v>0</v>
      </c>
      <c r="F85">
        <f t="shared" si="14"/>
        <v>0</v>
      </c>
      <c r="G85">
        <f t="shared" si="15"/>
        <v>1</v>
      </c>
      <c r="H85" t="str">
        <f t="shared" si="16"/>
        <v/>
      </c>
      <c r="I85" t="str">
        <f t="shared" si="19"/>
        <v/>
      </c>
      <c r="J85" t="str">
        <f t="shared" si="20"/>
        <v/>
      </c>
      <c r="K85" t="str">
        <f t="shared" si="21"/>
        <v/>
      </c>
      <c r="L85" t="str">
        <f t="shared" si="22"/>
        <v/>
      </c>
      <c r="M85" t="str">
        <f t="shared" si="23"/>
        <v>Bedroom</v>
      </c>
      <c r="N85" t="str">
        <f t="shared" si="24"/>
        <v xml:space="preserve">    - switch.bedroom_fan</v>
      </c>
      <c r="O85" t="str">
        <f t="shared" si="25"/>
        <v>switch.bedroom_fan</v>
      </c>
    </row>
    <row r="86" spans="2:15" x14ac:dyDescent="0.45">
      <c r="B86" s="17" t="s">
        <v>501</v>
      </c>
      <c r="C86">
        <f t="shared" si="17"/>
        <v>0</v>
      </c>
      <c r="D86">
        <f t="shared" si="13"/>
        <v>0</v>
      </c>
      <c r="E86">
        <f t="shared" si="18"/>
        <v>0</v>
      </c>
      <c r="F86">
        <f t="shared" si="14"/>
        <v>0</v>
      </c>
      <c r="G86">
        <f t="shared" si="15"/>
        <v>1</v>
      </c>
      <c r="H86" t="str">
        <f t="shared" si="16"/>
        <v/>
      </c>
      <c r="I86" t="str">
        <f t="shared" si="19"/>
        <v/>
      </c>
      <c r="J86" t="str">
        <f t="shared" si="20"/>
        <v/>
      </c>
      <c r="K86" t="str">
        <f t="shared" si="21"/>
        <v/>
      </c>
      <c r="L86" t="str">
        <f t="shared" si="22"/>
        <v/>
      </c>
      <c r="M86" t="str">
        <f t="shared" si="23"/>
        <v>Bedroom</v>
      </c>
      <c r="N86" t="str">
        <f t="shared" si="24"/>
        <v xml:space="preserve">    - switch.bedroom_tv</v>
      </c>
      <c r="O86" t="str">
        <f t="shared" si="25"/>
        <v>switch.bedroom_tv</v>
      </c>
    </row>
    <row r="87" spans="2:15" x14ac:dyDescent="0.45">
      <c r="B87" s="17" t="s">
        <v>502</v>
      </c>
      <c r="C87">
        <f t="shared" si="17"/>
        <v>0</v>
      </c>
      <c r="D87">
        <f t="shared" si="13"/>
        <v>0</v>
      </c>
      <c r="E87">
        <f t="shared" si="18"/>
        <v>0</v>
      </c>
      <c r="F87">
        <f t="shared" si="14"/>
        <v>0</v>
      </c>
      <c r="G87">
        <f t="shared" si="15"/>
        <v>1</v>
      </c>
      <c r="H87" t="str">
        <f t="shared" si="16"/>
        <v/>
      </c>
      <c r="I87" t="str">
        <f t="shared" si="19"/>
        <v/>
      </c>
      <c r="J87" t="str">
        <f t="shared" si="20"/>
        <v/>
      </c>
      <c r="K87" t="str">
        <f t="shared" si="21"/>
        <v/>
      </c>
      <c r="L87" t="str">
        <f t="shared" si="22"/>
        <v/>
      </c>
      <c r="M87" t="str">
        <f t="shared" si="23"/>
        <v>Bedroom</v>
      </c>
      <c r="N87" t="str">
        <f t="shared" si="24"/>
        <v xml:space="preserve">    - switch.bedroom_audio</v>
      </c>
      <c r="O87" t="str">
        <f t="shared" si="25"/>
        <v>switch.bedroom_audio</v>
      </c>
    </row>
    <row r="88" spans="2:15" x14ac:dyDescent="0.45">
      <c r="B88" s="17" t="s">
        <v>503</v>
      </c>
      <c r="C88">
        <f t="shared" si="17"/>
        <v>0</v>
      </c>
      <c r="D88">
        <f t="shared" si="13"/>
        <v>0</v>
      </c>
      <c r="E88">
        <f t="shared" si="18"/>
        <v>0</v>
      </c>
      <c r="F88">
        <f t="shared" si="14"/>
        <v>0</v>
      </c>
      <c r="G88">
        <f t="shared" si="15"/>
        <v>1</v>
      </c>
      <c r="H88" t="str">
        <f t="shared" si="16"/>
        <v/>
      </c>
      <c r="I88" t="str">
        <f t="shared" si="19"/>
        <v/>
      </c>
      <c r="J88" t="str">
        <f t="shared" si="20"/>
        <v/>
      </c>
      <c r="K88" t="str">
        <f t="shared" si="21"/>
        <v/>
      </c>
      <c r="L88" t="str">
        <f t="shared" si="22"/>
        <v/>
      </c>
      <c r="M88" t="str">
        <f t="shared" si="23"/>
        <v>Bedroom</v>
      </c>
      <c r="N88" t="str">
        <f t="shared" si="24"/>
        <v xml:space="preserve">    - group.bedroom_lights</v>
      </c>
      <c r="O88" t="str">
        <f t="shared" si="25"/>
        <v>group.bedroom_lights</v>
      </c>
    </row>
    <row r="89" spans="2:15" x14ac:dyDescent="0.45">
      <c r="B89" s="17" t="s">
        <v>504</v>
      </c>
      <c r="C89">
        <f t="shared" si="17"/>
        <v>0</v>
      </c>
      <c r="D89">
        <f t="shared" si="13"/>
        <v>0</v>
      </c>
      <c r="E89">
        <f t="shared" si="18"/>
        <v>0</v>
      </c>
      <c r="F89">
        <f t="shared" si="14"/>
        <v>0</v>
      </c>
      <c r="G89">
        <f t="shared" si="15"/>
        <v>1</v>
      </c>
      <c r="H89" t="str">
        <f t="shared" si="16"/>
        <v/>
      </c>
      <c r="I89" t="str">
        <f t="shared" si="19"/>
        <v/>
      </c>
      <c r="J89" t="str">
        <f t="shared" si="20"/>
        <v/>
      </c>
      <c r="K89" t="str">
        <f t="shared" si="21"/>
        <v/>
      </c>
      <c r="L89" t="str">
        <f t="shared" si="22"/>
        <v/>
      </c>
      <c r="M89" t="str">
        <f t="shared" si="23"/>
        <v>Bedroom</v>
      </c>
      <c r="N89" t="str">
        <f t="shared" si="24"/>
        <v xml:space="preserve">    - switch.bedroom_nightstand</v>
      </c>
      <c r="O89" t="str">
        <f t="shared" si="25"/>
        <v>switch.bedroom_nightstand</v>
      </c>
    </row>
    <row r="90" spans="2:15" x14ac:dyDescent="0.45">
      <c r="B90" s="17"/>
      <c r="C90">
        <f t="shared" si="17"/>
        <v>1</v>
      </c>
      <c r="D90">
        <f t="shared" si="13"/>
        <v>0</v>
      </c>
      <c r="E90">
        <f t="shared" si="18"/>
        <v>0</v>
      </c>
      <c r="F90">
        <f t="shared" si="14"/>
        <v>0</v>
      </c>
      <c r="G90">
        <f t="shared" si="15"/>
        <v>0</v>
      </c>
      <c r="H90" t="str">
        <f t="shared" si="16"/>
        <v/>
      </c>
      <c r="I90" t="str">
        <f t="shared" si="19"/>
        <v/>
      </c>
      <c r="J90" t="str">
        <f t="shared" si="20"/>
        <v/>
      </c>
      <c r="K90" t="str">
        <f t="shared" si="21"/>
        <v/>
      </c>
      <c r="L90" t="str">
        <f t="shared" si="22"/>
        <v/>
      </c>
      <c r="M90" t="str">
        <f t="shared" si="23"/>
        <v>Bedroom</v>
      </c>
      <c r="N90" t="str">
        <f t="shared" si="24"/>
        <v/>
      </c>
      <c r="O90" t="str">
        <f t="shared" si="25"/>
        <v/>
      </c>
    </row>
    <row r="91" spans="2:15" x14ac:dyDescent="0.45">
      <c r="B91" s="17" t="s">
        <v>505</v>
      </c>
      <c r="C91">
        <f t="shared" si="17"/>
        <v>0</v>
      </c>
      <c r="D91">
        <f t="shared" si="13"/>
        <v>0</v>
      </c>
      <c r="E91">
        <f t="shared" si="18"/>
        <v>1</v>
      </c>
      <c r="F91">
        <f t="shared" si="14"/>
        <v>0</v>
      </c>
      <c r="G91">
        <f t="shared" si="15"/>
        <v>0</v>
      </c>
      <c r="H91" t="str">
        <f t="shared" si="16"/>
        <v>bedroom_lights:</v>
      </c>
      <c r="I91" t="str">
        <f t="shared" si="19"/>
        <v>bedroom_lights</v>
      </c>
      <c r="J91" t="str">
        <f t="shared" si="20"/>
        <v/>
      </c>
      <c r="K91" t="str">
        <f t="shared" si="21"/>
        <v/>
      </c>
      <c r="L91" t="str">
        <f t="shared" si="22"/>
        <v/>
      </c>
      <c r="M91" t="str">
        <f t="shared" si="23"/>
        <v>Bedroom</v>
      </c>
      <c r="N91" t="str">
        <f t="shared" si="24"/>
        <v/>
      </c>
      <c r="O91" t="str">
        <f t="shared" si="25"/>
        <v/>
      </c>
    </row>
    <row r="92" spans="2:15" x14ac:dyDescent="0.45">
      <c r="B92" s="17" t="s">
        <v>506</v>
      </c>
      <c r="C92">
        <f t="shared" si="17"/>
        <v>0</v>
      </c>
      <c r="D92">
        <f t="shared" si="13"/>
        <v>1</v>
      </c>
      <c r="E92">
        <f t="shared" si="18"/>
        <v>0</v>
      </c>
      <c r="F92">
        <f t="shared" si="14"/>
        <v>1</v>
      </c>
      <c r="G92">
        <f t="shared" si="15"/>
        <v>0</v>
      </c>
      <c r="H92" t="str">
        <f t="shared" si="16"/>
        <v/>
      </c>
      <c r="I92" t="str">
        <f t="shared" si="19"/>
        <v/>
      </c>
      <c r="J92" t="str">
        <f t="shared" si="20"/>
        <v xml:space="preserve">  name: Bedroom Lights</v>
      </c>
      <c r="K92" t="str">
        <f t="shared" si="21"/>
        <v>Bedroom Lights</v>
      </c>
      <c r="L92" t="str">
        <f t="shared" si="22"/>
        <v>Bedroom Lights</v>
      </c>
      <c r="M92" t="str">
        <f t="shared" si="23"/>
        <v>Bedroom Lights</v>
      </c>
      <c r="N92" t="str">
        <f t="shared" si="24"/>
        <v/>
      </c>
      <c r="O92" t="str">
        <f t="shared" si="25"/>
        <v/>
      </c>
    </row>
    <row r="93" spans="2:15" x14ac:dyDescent="0.45">
      <c r="B93" s="17" t="s">
        <v>56</v>
      </c>
      <c r="C93">
        <f t="shared" si="17"/>
        <v>0</v>
      </c>
      <c r="D93">
        <f t="shared" si="13"/>
        <v>1</v>
      </c>
      <c r="E93">
        <f t="shared" si="18"/>
        <v>0</v>
      </c>
      <c r="F93">
        <f t="shared" si="14"/>
        <v>0</v>
      </c>
      <c r="G93">
        <f t="shared" si="15"/>
        <v>0</v>
      </c>
      <c r="H93" t="str">
        <f t="shared" si="16"/>
        <v/>
      </c>
      <c r="I93" t="str">
        <f t="shared" si="19"/>
        <v/>
      </c>
      <c r="J93" t="str">
        <f t="shared" si="20"/>
        <v/>
      </c>
      <c r="K93" t="str">
        <f t="shared" si="21"/>
        <v/>
      </c>
      <c r="L93" t="str">
        <f t="shared" si="22"/>
        <v/>
      </c>
      <c r="M93" t="str">
        <f t="shared" si="23"/>
        <v>Bedroom Lights</v>
      </c>
      <c r="N93" t="str">
        <f t="shared" si="24"/>
        <v/>
      </c>
      <c r="O93" t="str">
        <f t="shared" si="25"/>
        <v/>
      </c>
    </row>
    <row r="94" spans="2:15" x14ac:dyDescent="0.45">
      <c r="B94" s="17" t="s">
        <v>507</v>
      </c>
      <c r="C94">
        <f t="shared" si="17"/>
        <v>0</v>
      </c>
      <c r="D94">
        <f t="shared" si="13"/>
        <v>0</v>
      </c>
      <c r="E94">
        <f t="shared" si="18"/>
        <v>0</v>
      </c>
      <c r="F94">
        <f t="shared" si="14"/>
        <v>0</v>
      </c>
      <c r="G94">
        <f t="shared" si="15"/>
        <v>1</v>
      </c>
      <c r="H94" t="str">
        <f t="shared" si="16"/>
        <v/>
      </c>
      <c r="I94" t="str">
        <f t="shared" si="19"/>
        <v/>
      </c>
      <c r="J94" t="str">
        <f t="shared" si="20"/>
        <v/>
      </c>
      <c r="K94" t="str">
        <f t="shared" si="21"/>
        <v/>
      </c>
      <c r="L94" t="str">
        <f t="shared" si="22"/>
        <v/>
      </c>
      <c r="M94" t="str">
        <f t="shared" si="23"/>
        <v>Bedroom Lights</v>
      </c>
      <c r="N94" t="str">
        <f t="shared" si="24"/>
        <v xml:space="preserve">    - light.lux_lamp</v>
      </c>
      <c r="O94" t="str">
        <f t="shared" si="25"/>
        <v>light.lux_lamp</v>
      </c>
    </row>
    <row r="95" spans="2:15" x14ac:dyDescent="0.45">
      <c r="B95" s="17" t="s">
        <v>508</v>
      </c>
      <c r="C95">
        <f t="shared" si="17"/>
        <v>0</v>
      </c>
      <c r="D95">
        <f t="shared" si="13"/>
        <v>0</v>
      </c>
      <c r="E95">
        <f t="shared" si="18"/>
        <v>0</v>
      </c>
      <c r="F95">
        <f t="shared" si="14"/>
        <v>0</v>
      </c>
      <c r="G95">
        <f t="shared" si="15"/>
        <v>1</v>
      </c>
      <c r="H95" t="str">
        <f t="shared" si="16"/>
        <v/>
      </c>
      <c r="I95" t="str">
        <f t="shared" si="19"/>
        <v/>
      </c>
      <c r="J95" t="str">
        <f t="shared" si="20"/>
        <v/>
      </c>
      <c r="K95" t="str">
        <f t="shared" si="21"/>
        <v/>
      </c>
      <c r="L95" t="str">
        <f t="shared" si="22"/>
        <v/>
      </c>
      <c r="M95" t="str">
        <f t="shared" si="23"/>
        <v>Bedroom Lights</v>
      </c>
      <c r="N95" t="str">
        <f t="shared" si="24"/>
        <v xml:space="preserve">    - light.lux_lamp_1</v>
      </c>
      <c r="O95" t="str">
        <f t="shared" si="25"/>
        <v>light.lux_lamp_1</v>
      </c>
    </row>
    <row r="96" spans="2:15" x14ac:dyDescent="0.45">
      <c r="B96" s="17"/>
      <c r="C96">
        <f t="shared" si="17"/>
        <v>1</v>
      </c>
      <c r="D96">
        <f t="shared" si="13"/>
        <v>0</v>
      </c>
      <c r="E96">
        <f t="shared" si="18"/>
        <v>0</v>
      </c>
      <c r="F96">
        <f t="shared" si="14"/>
        <v>0</v>
      </c>
      <c r="G96">
        <f t="shared" si="15"/>
        <v>0</v>
      </c>
      <c r="H96" t="str">
        <f t="shared" si="16"/>
        <v/>
      </c>
      <c r="I96" t="str">
        <f t="shared" si="19"/>
        <v/>
      </c>
      <c r="J96" t="str">
        <f t="shared" si="20"/>
        <v/>
      </c>
      <c r="K96" t="str">
        <f t="shared" si="21"/>
        <v/>
      </c>
      <c r="L96" t="str">
        <f t="shared" si="22"/>
        <v/>
      </c>
      <c r="M96" t="str">
        <f t="shared" si="23"/>
        <v>Bedroom Lights</v>
      </c>
      <c r="N96" t="str">
        <f t="shared" si="24"/>
        <v/>
      </c>
      <c r="O96" t="str">
        <f t="shared" si="25"/>
        <v/>
      </c>
    </row>
    <row r="97" spans="2:15" x14ac:dyDescent="0.45">
      <c r="B97" s="17" t="s">
        <v>509</v>
      </c>
      <c r="C97">
        <f t="shared" si="17"/>
        <v>0</v>
      </c>
      <c r="D97">
        <f t="shared" si="13"/>
        <v>0</v>
      </c>
      <c r="E97">
        <f t="shared" si="18"/>
        <v>0</v>
      </c>
      <c r="F97">
        <f t="shared" si="14"/>
        <v>0</v>
      </c>
      <c r="G97">
        <f t="shared" si="15"/>
        <v>0</v>
      </c>
      <c r="H97" t="str">
        <f t="shared" si="16"/>
        <v/>
      </c>
      <c r="I97" t="str">
        <f t="shared" si="19"/>
        <v/>
      </c>
      <c r="J97" t="str">
        <f t="shared" si="20"/>
        <v/>
      </c>
      <c r="K97" t="str">
        <f t="shared" si="21"/>
        <v/>
      </c>
      <c r="L97" t="str">
        <f t="shared" si="22"/>
        <v/>
      </c>
      <c r="M97" t="str">
        <f t="shared" si="23"/>
        <v>Bedroom Lights</v>
      </c>
      <c r="N97" t="str">
        <f t="shared" si="24"/>
        <v/>
      </c>
      <c r="O97" t="str">
        <f t="shared" si="25"/>
        <v/>
      </c>
    </row>
    <row r="98" spans="2:15" x14ac:dyDescent="0.45">
      <c r="B98" s="17" t="s">
        <v>510</v>
      </c>
      <c r="C98">
        <f t="shared" si="17"/>
        <v>0</v>
      </c>
      <c r="D98">
        <f t="shared" si="13"/>
        <v>0</v>
      </c>
      <c r="E98">
        <f t="shared" si="18"/>
        <v>1</v>
      </c>
      <c r="F98">
        <f t="shared" si="14"/>
        <v>0</v>
      </c>
      <c r="G98">
        <f t="shared" si="15"/>
        <v>0</v>
      </c>
      <c r="H98" t="str">
        <f t="shared" si="16"/>
        <v>alarm_clock:</v>
      </c>
      <c r="I98" t="str">
        <f t="shared" si="19"/>
        <v>alarm_clock</v>
      </c>
      <c r="J98" t="str">
        <f t="shared" si="20"/>
        <v/>
      </c>
      <c r="K98" t="str">
        <f t="shared" si="21"/>
        <v/>
      </c>
      <c r="L98" t="str">
        <f t="shared" si="22"/>
        <v/>
      </c>
      <c r="M98" t="str">
        <f t="shared" si="23"/>
        <v>Bedroom Lights</v>
      </c>
      <c r="N98" t="str">
        <f t="shared" si="24"/>
        <v/>
      </c>
      <c r="O98" t="str">
        <f t="shared" si="25"/>
        <v/>
      </c>
    </row>
    <row r="99" spans="2:15" x14ac:dyDescent="0.45">
      <c r="B99" s="17" t="s">
        <v>511</v>
      </c>
      <c r="C99">
        <f t="shared" si="17"/>
        <v>0</v>
      </c>
      <c r="D99">
        <f t="shared" si="13"/>
        <v>1</v>
      </c>
      <c r="E99">
        <f t="shared" si="18"/>
        <v>0</v>
      </c>
      <c r="F99">
        <f t="shared" si="14"/>
        <v>1</v>
      </c>
      <c r="G99">
        <f t="shared" si="15"/>
        <v>0</v>
      </c>
      <c r="H99" t="str">
        <f t="shared" si="16"/>
        <v/>
      </c>
      <c r="I99" t="str">
        <f t="shared" si="19"/>
        <v/>
      </c>
      <c r="J99" t="str">
        <f t="shared" si="20"/>
        <v xml:space="preserve">  name: 'Alarm Clock'</v>
      </c>
      <c r="K99" t="str">
        <f t="shared" si="21"/>
        <v>'Alarm Clock'</v>
      </c>
      <c r="L99" t="str">
        <f t="shared" si="22"/>
        <v>'Alarm Clock'</v>
      </c>
      <c r="M99" t="str">
        <f t="shared" si="23"/>
        <v>'Alarm Clock'</v>
      </c>
      <c r="N99" t="str">
        <f t="shared" si="24"/>
        <v/>
      </c>
      <c r="O99" t="str">
        <f t="shared" si="25"/>
        <v/>
      </c>
    </row>
    <row r="100" spans="2:15" x14ac:dyDescent="0.45">
      <c r="B100" s="17" t="s">
        <v>56</v>
      </c>
      <c r="C100">
        <f t="shared" si="17"/>
        <v>0</v>
      </c>
      <c r="D100">
        <f t="shared" si="13"/>
        <v>1</v>
      </c>
      <c r="E100">
        <f t="shared" si="18"/>
        <v>0</v>
      </c>
      <c r="F100">
        <f t="shared" si="14"/>
        <v>0</v>
      </c>
      <c r="G100">
        <f t="shared" si="15"/>
        <v>0</v>
      </c>
      <c r="H100" t="str">
        <f t="shared" si="16"/>
        <v/>
      </c>
      <c r="I100" t="str">
        <f t="shared" si="19"/>
        <v/>
      </c>
      <c r="J100" t="str">
        <f t="shared" si="20"/>
        <v/>
      </c>
      <c r="K100" t="str">
        <f t="shared" si="21"/>
        <v/>
      </c>
      <c r="L100" t="str">
        <f t="shared" si="22"/>
        <v/>
      </c>
      <c r="M100" t="str">
        <f t="shared" si="23"/>
        <v>'Alarm Clock'</v>
      </c>
      <c r="N100" t="str">
        <f t="shared" si="24"/>
        <v/>
      </c>
      <c r="O100" t="str">
        <f t="shared" si="25"/>
        <v/>
      </c>
    </row>
    <row r="101" spans="2:15" x14ac:dyDescent="0.45">
      <c r="B101" s="17" t="s">
        <v>512</v>
      </c>
      <c r="C101">
        <f t="shared" si="17"/>
        <v>0</v>
      </c>
      <c r="D101">
        <f t="shared" si="13"/>
        <v>0</v>
      </c>
      <c r="E101">
        <f t="shared" si="18"/>
        <v>0</v>
      </c>
      <c r="F101">
        <f t="shared" si="14"/>
        <v>0</v>
      </c>
      <c r="G101">
        <f t="shared" si="15"/>
        <v>1</v>
      </c>
      <c r="H101" t="str">
        <f t="shared" si="16"/>
        <v/>
      </c>
      <c r="I101" t="str">
        <f t="shared" si="19"/>
        <v/>
      </c>
      <c r="J101" t="str">
        <f t="shared" si="20"/>
        <v/>
      </c>
      <c r="K101" t="str">
        <f t="shared" si="21"/>
        <v/>
      </c>
      <c r="L101" t="str">
        <f t="shared" si="22"/>
        <v/>
      </c>
      <c r="M101" t="str">
        <f t="shared" si="23"/>
        <v>'Alarm Clock'</v>
      </c>
      <c r="N101" t="str">
        <f t="shared" si="24"/>
        <v xml:space="preserve">    - sensor.alarm_clock_time</v>
      </c>
      <c r="O101" t="str">
        <f t="shared" si="25"/>
        <v>sensor.alarm_clock_time</v>
      </c>
    </row>
    <row r="102" spans="2:15" x14ac:dyDescent="0.45">
      <c r="B102" s="17" t="s">
        <v>513</v>
      </c>
      <c r="C102">
        <f t="shared" si="17"/>
        <v>0</v>
      </c>
      <c r="D102">
        <f t="shared" si="13"/>
        <v>0</v>
      </c>
      <c r="E102">
        <f t="shared" si="18"/>
        <v>0</v>
      </c>
      <c r="F102">
        <f t="shared" si="14"/>
        <v>0</v>
      </c>
      <c r="G102">
        <f t="shared" si="15"/>
        <v>1</v>
      </c>
      <c r="H102" t="str">
        <f t="shared" si="16"/>
        <v/>
      </c>
      <c r="I102" t="str">
        <f t="shared" si="19"/>
        <v/>
      </c>
      <c r="J102" t="str">
        <f t="shared" si="20"/>
        <v/>
      </c>
      <c r="K102" t="str">
        <f t="shared" si="21"/>
        <v/>
      </c>
      <c r="L102" t="str">
        <f t="shared" si="22"/>
        <v/>
      </c>
      <c r="M102" t="str">
        <f t="shared" si="23"/>
        <v>'Alarm Clock'</v>
      </c>
      <c r="N102" t="str">
        <f t="shared" si="24"/>
        <v xml:space="preserve">    - input_slider.alarm_clock_hour</v>
      </c>
      <c r="O102" t="str">
        <f t="shared" si="25"/>
        <v>input_slider.alarm_clock_hour</v>
      </c>
    </row>
    <row r="103" spans="2:15" x14ac:dyDescent="0.45">
      <c r="B103" s="17" t="s">
        <v>514</v>
      </c>
      <c r="C103">
        <f t="shared" si="17"/>
        <v>0</v>
      </c>
      <c r="D103">
        <f t="shared" si="13"/>
        <v>0</v>
      </c>
      <c r="E103">
        <f t="shared" si="18"/>
        <v>0</v>
      </c>
      <c r="F103">
        <f t="shared" si="14"/>
        <v>0</v>
      </c>
      <c r="G103">
        <f t="shared" si="15"/>
        <v>1</v>
      </c>
      <c r="H103" t="str">
        <f t="shared" si="16"/>
        <v/>
      </c>
      <c r="I103" t="str">
        <f t="shared" si="19"/>
        <v/>
      </c>
      <c r="J103" t="str">
        <f t="shared" si="20"/>
        <v/>
      </c>
      <c r="K103" t="str">
        <f t="shared" si="21"/>
        <v/>
      </c>
      <c r="L103" t="str">
        <f t="shared" si="22"/>
        <v/>
      </c>
      <c r="M103" t="str">
        <f t="shared" si="23"/>
        <v>'Alarm Clock'</v>
      </c>
      <c r="N103" t="str">
        <f t="shared" si="24"/>
        <v xml:space="preserve">    - input_slider.alarm_clock_minute</v>
      </c>
      <c r="O103" t="str">
        <f t="shared" si="25"/>
        <v>input_slider.alarm_clock_minute</v>
      </c>
    </row>
    <row r="104" spans="2:15" x14ac:dyDescent="0.45">
      <c r="B104" s="17" t="s">
        <v>515</v>
      </c>
      <c r="C104">
        <f t="shared" si="17"/>
        <v>0</v>
      </c>
      <c r="D104">
        <f t="shared" si="13"/>
        <v>0</v>
      </c>
      <c r="E104">
        <f t="shared" si="18"/>
        <v>0</v>
      </c>
      <c r="F104">
        <f t="shared" si="14"/>
        <v>0</v>
      </c>
      <c r="G104">
        <f t="shared" si="15"/>
        <v>1</v>
      </c>
      <c r="H104" t="str">
        <f t="shared" si="16"/>
        <v/>
      </c>
      <c r="I104" t="str">
        <f t="shared" si="19"/>
        <v/>
      </c>
      <c r="J104" t="str">
        <f t="shared" si="20"/>
        <v/>
      </c>
      <c r="K104" t="str">
        <f t="shared" si="21"/>
        <v/>
      </c>
      <c r="L104" t="str">
        <f t="shared" si="22"/>
        <v/>
      </c>
      <c r="M104" t="str">
        <f t="shared" si="23"/>
        <v>'Alarm Clock'</v>
      </c>
      <c r="N104" t="str">
        <f t="shared" si="24"/>
        <v xml:space="preserve">    - input_boolean.alarm_clock_status</v>
      </c>
      <c r="O104" t="str">
        <f t="shared" si="25"/>
        <v>input_boolean.alarm_clock_status</v>
      </c>
    </row>
    <row r="105" spans="2:15" x14ac:dyDescent="0.45">
      <c r="B105" s="17"/>
      <c r="C105">
        <f t="shared" si="17"/>
        <v>1</v>
      </c>
      <c r="D105">
        <f t="shared" si="13"/>
        <v>0</v>
      </c>
      <c r="E105">
        <f t="shared" si="18"/>
        <v>0</v>
      </c>
      <c r="F105">
        <f t="shared" si="14"/>
        <v>0</v>
      </c>
      <c r="G105">
        <f t="shared" si="15"/>
        <v>0</v>
      </c>
      <c r="H105" t="str">
        <f t="shared" si="16"/>
        <v/>
      </c>
      <c r="I105" t="str">
        <f t="shared" si="19"/>
        <v/>
      </c>
      <c r="J105" t="str">
        <f t="shared" si="20"/>
        <v/>
      </c>
      <c r="K105" t="str">
        <f t="shared" si="21"/>
        <v/>
      </c>
      <c r="L105" t="str">
        <f t="shared" si="22"/>
        <v/>
      </c>
      <c r="M105" t="str">
        <f t="shared" si="23"/>
        <v>'Alarm Clock'</v>
      </c>
      <c r="N105" t="str">
        <f t="shared" si="24"/>
        <v/>
      </c>
      <c r="O105" t="str">
        <f t="shared" si="25"/>
        <v/>
      </c>
    </row>
    <row r="106" spans="2:15" x14ac:dyDescent="0.45">
      <c r="B106" s="17"/>
      <c r="C106">
        <f t="shared" si="17"/>
        <v>1</v>
      </c>
      <c r="D106">
        <f t="shared" si="13"/>
        <v>0</v>
      </c>
      <c r="E106">
        <f t="shared" si="18"/>
        <v>0</v>
      </c>
      <c r="F106">
        <f t="shared" si="14"/>
        <v>0</v>
      </c>
      <c r="G106">
        <f t="shared" si="15"/>
        <v>0</v>
      </c>
      <c r="H106" t="str">
        <f t="shared" si="16"/>
        <v/>
      </c>
      <c r="I106" t="str">
        <f t="shared" si="19"/>
        <v/>
      </c>
      <c r="J106" t="str">
        <f t="shared" si="20"/>
        <v/>
      </c>
      <c r="K106" t="str">
        <f t="shared" si="21"/>
        <v/>
      </c>
      <c r="L106" t="str">
        <f t="shared" si="22"/>
        <v/>
      </c>
      <c r="M106" t="str">
        <f t="shared" si="23"/>
        <v>'Alarm Clock'</v>
      </c>
      <c r="N106" t="str">
        <f t="shared" si="24"/>
        <v/>
      </c>
      <c r="O106" t="str">
        <f t="shared" si="25"/>
        <v/>
      </c>
    </row>
    <row r="107" spans="2:15" x14ac:dyDescent="0.45">
      <c r="B107" s="17"/>
      <c r="C107">
        <f t="shared" si="17"/>
        <v>1</v>
      </c>
      <c r="D107">
        <f t="shared" si="13"/>
        <v>0</v>
      </c>
      <c r="E107">
        <f t="shared" si="18"/>
        <v>0</v>
      </c>
      <c r="F107">
        <f t="shared" si="14"/>
        <v>0</v>
      </c>
      <c r="G107">
        <f t="shared" si="15"/>
        <v>0</v>
      </c>
      <c r="H107" t="str">
        <f t="shared" si="16"/>
        <v/>
      </c>
      <c r="I107" t="str">
        <f t="shared" si="19"/>
        <v/>
      </c>
      <c r="J107" t="str">
        <f t="shared" si="20"/>
        <v/>
      </c>
      <c r="K107" t="str">
        <f t="shared" si="21"/>
        <v/>
      </c>
      <c r="L107" t="str">
        <f t="shared" si="22"/>
        <v/>
      </c>
      <c r="M107" t="str">
        <f t="shared" si="23"/>
        <v>'Alarm Clock'</v>
      </c>
      <c r="N107" t="str">
        <f t="shared" si="24"/>
        <v/>
      </c>
      <c r="O107" t="str">
        <f t="shared" si="25"/>
        <v/>
      </c>
    </row>
    <row r="108" spans="2:15" x14ac:dyDescent="0.45">
      <c r="B108" s="17" t="s">
        <v>516</v>
      </c>
      <c r="C108">
        <f t="shared" si="17"/>
        <v>0</v>
      </c>
      <c r="D108">
        <f t="shared" si="13"/>
        <v>0</v>
      </c>
      <c r="E108">
        <f t="shared" si="18"/>
        <v>1</v>
      </c>
      <c r="F108">
        <f t="shared" si="14"/>
        <v>0</v>
      </c>
      <c r="G108">
        <f t="shared" si="15"/>
        <v>0</v>
      </c>
      <c r="H108" t="str">
        <f t="shared" si="16"/>
        <v>environment:</v>
      </c>
      <c r="I108" t="str">
        <f t="shared" si="19"/>
        <v>environment</v>
      </c>
      <c r="J108" t="str">
        <f t="shared" si="20"/>
        <v/>
      </c>
      <c r="K108" t="str">
        <f t="shared" si="21"/>
        <v/>
      </c>
      <c r="L108" t="str">
        <f t="shared" si="22"/>
        <v/>
      </c>
      <c r="M108" t="str">
        <f t="shared" si="23"/>
        <v>'Alarm Clock'</v>
      </c>
      <c r="N108" t="str">
        <f t="shared" si="24"/>
        <v/>
      </c>
      <c r="O108" t="str">
        <f t="shared" si="25"/>
        <v/>
      </c>
    </row>
    <row r="109" spans="2:15" x14ac:dyDescent="0.45">
      <c r="B109" s="17" t="s">
        <v>517</v>
      </c>
      <c r="C109">
        <f t="shared" si="17"/>
        <v>0</v>
      </c>
      <c r="D109">
        <f t="shared" si="13"/>
        <v>1</v>
      </c>
      <c r="E109">
        <f t="shared" si="18"/>
        <v>0</v>
      </c>
      <c r="F109">
        <f t="shared" si="14"/>
        <v>1</v>
      </c>
      <c r="G109">
        <f t="shared" si="15"/>
        <v>0</v>
      </c>
      <c r="H109" t="str">
        <f t="shared" si="16"/>
        <v/>
      </c>
      <c r="I109" t="str">
        <f t="shared" si="19"/>
        <v/>
      </c>
      <c r="J109" t="str">
        <f t="shared" si="20"/>
        <v xml:space="preserve">  name: Environment</v>
      </c>
      <c r="K109" t="str">
        <f t="shared" si="21"/>
        <v>Environment</v>
      </c>
      <c r="L109" t="str">
        <f t="shared" si="22"/>
        <v>Environment</v>
      </c>
      <c r="M109" t="str">
        <f t="shared" si="23"/>
        <v>Environment</v>
      </c>
      <c r="N109" t="str">
        <f t="shared" si="24"/>
        <v/>
      </c>
      <c r="O109" t="str">
        <f t="shared" si="25"/>
        <v/>
      </c>
    </row>
    <row r="110" spans="2:15" x14ac:dyDescent="0.45">
      <c r="B110" s="17" t="s">
        <v>56</v>
      </c>
      <c r="C110">
        <f t="shared" si="17"/>
        <v>0</v>
      </c>
      <c r="D110">
        <f t="shared" si="13"/>
        <v>1</v>
      </c>
      <c r="E110">
        <f t="shared" si="18"/>
        <v>0</v>
      </c>
      <c r="F110">
        <f t="shared" si="14"/>
        <v>0</v>
      </c>
      <c r="G110">
        <f t="shared" si="15"/>
        <v>0</v>
      </c>
      <c r="H110" t="str">
        <f t="shared" si="16"/>
        <v/>
      </c>
      <c r="I110" t="str">
        <f t="shared" si="19"/>
        <v/>
      </c>
      <c r="J110" t="str">
        <f t="shared" si="20"/>
        <v/>
      </c>
      <c r="K110" t="str">
        <f t="shared" si="21"/>
        <v/>
      </c>
      <c r="L110" t="str">
        <f t="shared" si="22"/>
        <v/>
      </c>
      <c r="M110" t="str">
        <f t="shared" si="23"/>
        <v>Environment</v>
      </c>
      <c r="N110" t="str">
        <f t="shared" si="24"/>
        <v/>
      </c>
      <c r="O110" t="str">
        <f t="shared" si="25"/>
        <v/>
      </c>
    </row>
    <row r="111" spans="2:15" x14ac:dyDescent="0.45">
      <c r="B111" s="17" t="s">
        <v>518</v>
      </c>
      <c r="C111">
        <f t="shared" si="17"/>
        <v>0</v>
      </c>
      <c r="D111">
        <f t="shared" si="13"/>
        <v>0</v>
      </c>
      <c r="E111">
        <f t="shared" si="18"/>
        <v>0</v>
      </c>
      <c r="F111">
        <f t="shared" si="14"/>
        <v>0</v>
      </c>
      <c r="G111">
        <f t="shared" si="15"/>
        <v>1</v>
      </c>
      <c r="H111" t="str">
        <f t="shared" si="16"/>
        <v/>
      </c>
      <c r="I111" t="str">
        <f t="shared" si="19"/>
        <v/>
      </c>
      <c r="J111" t="str">
        <f t="shared" si="20"/>
        <v/>
      </c>
      <c r="K111" t="str">
        <f t="shared" si="21"/>
        <v/>
      </c>
      <c r="L111" t="str">
        <f t="shared" si="22"/>
        <v/>
      </c>
      <c r="M111" t="str">
        <f t="shared" si="23"/>
        <v>Environment</v>
      </c>
      <c r="N111" t="str">
        <f t="shared" si="24"/>
        <v xml:space="preserve">    - sensor.dark_sky_apparent_temperature</v>
      </c>
      <c r="O111" t="str">
        <f t="shared" si="25"/>
        <v>sensor.dark_sky_apparent_temperature</v>
      </c>
    </row>
    <row r="112" spans="2:15" x14ac:dyDescent="0.45">
      <c r="B112" s="17" t="s">
        <v>519</v>
      </c>
      <c r="C112">
        <f t="shared" si="17"/>
        <v>0</v>
      </c>
      <c r="D112">
        <f t="shared" si="13"/>
        <v>0</v>
      </c>
      <c r="E112">
        <f t="shared" si="18"/>
        <v>0</v>
      </c>
      <c r="F112">
        <f t="shared" si="14"/>
        <v>0</v>
      </c>
      <c r="G112">
        <f t="shared" si="15"/>
        <v>1</v>
      </c>
      <c r="H112" t="str">
        <f t="shared" si="16"/>
        <v/>
      </c>
      <c r="I112" t="str">
        <f t="shared" si="19"/>
        <v/>
      </c>
      <c r="J112" t="str">
        <f t="shared" si="20"/>
        <v/>
      </c>
      <c r="K112" t="str">
        <f t="shared" si="21"/>
        <v/>
      </c>
      <c r="L112" t="str">
        <f t="shared" si="22"/>
        <v/>
      </c>
      <c r="M112" t="str">
        <f t="shared" si="23"/>
        <v>Environment</v>
      </c>
      <c r="N112" t="str">
        <f t="shared" si="24"/>
        <v xml:space="preserve">    - sensor.dark_sky_hourly_summary</v>
      </c>
      <c r="O112" t="str">
        <f t="shared" si="25"/>
        <v>sensor.dark_sky_hourly_summary</v>
      </c>
    </row>
    <row r="113" spans="2:15" x14ac:dyDescent="0.45">
      <c r="B113" s="17" t="s">
        <v>520</v>
      </c>
      <c r="C113">
        <f t="shared" si="17"/>
        <v>0</v>
      </c>
      <c r="D113">
        <f t="shared" si="13"/>
        <v>0</v>
      </c>
      <c r="E113">
        <f t="shared" si="18"/>
        <v>0</v>
      </c>
      <c r="F113">
        <f t="shared" si="14"/>
        <v>0</v>
      </c>
      <c r="G113">
        <f t="shared" si="15"/>
        <v>1</v>
      </c>
      <c r="H113" t="str">
        <f t="shared" si="16"/>
        <v/>
      </c>
      <c r="I113" t="str">
        <f t="shared" si="19"/>
        <v/>
      </c>
      <c r="J113" t="str">
        <f t="shared" si="20"/>
        <v/>
      </c>
      <c r="K113" t="str">
        <f t="shared" si="21"/>
        <v/>
      </c>
      <c r="L113" t="str">
        <f t="shared" si="22"/>
        <v/>
      </c>
      <c r="M113" t="str">
        <f t="shared" si="23"/>
        <v>Environment</v>
      </c>
      <c r="N113" t="str">
        <f t="shared" si="24"/>
        <v xml:space="preserve">    - sensor.dark_sky_daily_summary</v>
      </c>
      <c r="O113" t="str">
        <f t="shared" si="25"/>
        <v>sensor.dark_sky_daily_summary</v>
      </c>
    </row>
    <row r="114" spans="2:15" x14ac:dyDescent="0.45">
      <c r="B114" s="17" t="s">
        <v>521</v>
      </c>
      <c r="C114">
        <f t="shared" si="17"/>
        <v>0</v>
      </c>
      <c r="D114">
        <f t="shared" si="13"/>
        <v>0</v>
      </c>
      <c r="E114">
        <f t="shared" si="18"/>
        <v>0</v>
      </c>
      <c r="F114">
        <f t="shared" si="14"/>
        <v>0</v>
      </c>
      <c r="G114">
        <f t="shared" si="15"/>
        <v>1</v>
      </c>
      <c r="H114" t="str">
        <f t="shared" si="16"/>
        <v/>
      </c>
      <c r="I114" t="str">
        <f t="shared" si="19"/>
        <v/>
      </c>
      <c r="J114" t="str">
        <f t="shared" si="20"/>
        <v/>
      </c>
      <c r="K114" t="str">
        <f t="shared" si="21"/>
        <v/>
      </c>
      <c r="L114" t="str">
        <f t="shared" si="22"/>
        <v/>
      </c>
      <c r="M114" t="str">
        <f t="shared" si="23"/>
        <v>Environment</v>
      </c>
      <c r="N114" t="str">
        <f t="shared" si="24"/>
        <v xml:space="preserve">    - sensor.dark_sky_precip_probability</v>
      </c>
      <c r="O114" t="str">
        <f t="shared" si="25"/>
        <v>sensor.dark_sky_precip_probability</v>
      </c>
    </row>
    <row r="115" spans="2:15" x14ac:dyDescent="0.45">
      <c r="B115" s="17"/>
      <c r="C115">
        <f t="shared" si="17"/>
        <v>1</v>
      </c>
      <c r="D115">
        <f t="shared" si="13"/>
        <v>0</v>
      </c>
      <c r="E115">
        <f t="shared" si="18"/>
        <v>0</v>
      </c>
      <c r="F115">
        <f t="shared" si="14"/>
        <v>0</v>
      </c>
      <c r="G115">
        <f t="shared" si="15"/>
        <v>0</v>
      </c>
      <c r="H115" t="str">
        <f t="shared" si="16"/>
        <v/>
      </c>
      <c r="I115" t="str">
        <f t="shared" si="19"/>
        <v/>
      </c>
      <c r="J115" t="str">
        <f t="shared" si="20"/>
        <v/>
      </c>
      <c r="K115" t="str">
        <f t="shared" si="21"/>
        <v/>
      </c>
      <c r="L115" t="str">
        <f t="shared" si="22"/>
        <v/>
      </c>
      <c r="M115" t="str">
        <f t="shared" si="23"/>
        <v>Environment</v>
      </c>
      <c r="N115" t="str">
        <f t="shared" si="24"/>
        <v/>
      </c>
      <c r="O115" t="str">
        <f t="shared" si="25"/>
        <v/>
      </c>
    </row>
    <row r="116" spans="2:15" x14ac:dyDescent="0.45">
      <c r="B116" s="17" t="s">
        <v>522</v>
      </c>
      <c r="C116">
        <f t="shared" si="17"/>
        <v>0</v>
      </c>
      <c r="D116">
        <f t="shared" si="13"/>
        <v>0</v>
      </c>
      <c r="E116">
        <f t="shared" si="18"/>
        <v>1</v>
      </c>
      <c r="F116">
        <f t="shared" si="14"/>
        <v>0</v>
      </c>
      <c r="G116">
        <f t="shared" si="15"/>
        <v>0</v>
      </c>
      <c r="H116" t="str">
        <f t="shared" si="16"/>
        <v>environment_detail:</v>
      </c>
      <c r="I116" t="str">
        <f t="shared" si="19"/>
        <v>environment_detail</v>
      </c>
      <c r="J116" t="str">
        <f t="shared" si="20"/>
        <v/>
      </c>
      <c r="K116" t="str">
        <f t="shared" si="21"/>
        <v/>
      </c>
      <c r="L116" t="str">
        <f t="shared" si="22"/>
        <v/>
      </c>
      <c r="M116" t="str">
        <f t="shared" si="23"/>
        <v>Environment</v>
      </c>
      <c r="N116" t="str">
        <f t="shared" si="24"/>
        <v/>
      </c>
      <c r="O116" t="str">
        <f t="shared" si="25"/>
        <v/>
      </c>
    </row>
    <row r="117" spans="2:15" x14ac:dyDescent="0.45">
      <c r="B117" s="17" t="s">
        <v>523</v>
      </c>
      <c r="C117">
        <f t="shared" si="17"/>
        <v>0</v>
      </c>
      <c r="D117">
        <f t="shared" si="13"/>
        <v>1</v>
      </c>
      <c r="E117">
        <f t="shared" si="18"/>
        <v>0</v>
      </c>
      <c r="F117">
        <f t="shared" si="14"/>
        <v>1</v>
      </c>
      <c r="G117">
        <f t="shared" si="15"/>
        <v>0</v>
      </c>
      <c r="H117" t="str">
        <f t="shared" si="16"/>
        <v/>
      </c>
      <c r="I117" t="str">
        <f t="shared" si="19"/>
        <v/>
      </c>
      <c r="J117" t="str">
        <f t="shared" si="20"/>
        <v xml:space="preserve">  name: Environment Detail</v>
      </c>
      <c r="K117" t="str">
        <f t="shared" si="21"/>
        <v>Environment Detail</v>
      </c>
      <c r="L117" t="str">
        <f t="shared" si="22"/>
        <v>Environment Detail</v>
      </c>
      <c r="M117" t="str">
        <f t="shared" si="23"/>
        <v>Environment Detail</v>
      </c>
      <c r="N117" t="str">
        <f t="shared" si="24"/>
        <v/>
      </c>
      <c r="O117" t="str">
        <f t="shared" si="25"/>
        <v/>
      </c>
    </row>
    <row r="118" spans="2:15" x14ac:dyDescent="0.45">
      <c r="B118" s="17" t="s">
        <v>56</v>
      </c>
      <c r="C118">
        <f t="shared" si="17"/>
        <v>0</v>
      </c>
      <c r="D118">
        <f t="shared" si="13"/>
        <v>1</v>
      </c>
      <c r="E118">
        <f t="shared" si="18"/>
        <v>0</v>
      </c>
      <c r="F118">
        <f t="shared" si="14"/>
        <v>0</v>
      </c>
      <c r="G118">
        <f t="shared" si="15"/>
        <v>0</v>
      </c>
      <c r="H118" t="str">
        <f t="shared" si="16"/>
        <v/>
      </c>
      <c r="I118" t="str">
        <f t="shared" si="19"/>
        <v/>
      </c>
      <c r="J118" t="str">
        <f t="shared" si="20"/>
        <v/>
      </c>
      <c r="K118" t="str">
        <f t="shared" si="21"/>
        <v/>
      </c>
      <c r="L118" t="str">
        <f t="shared" si="22"/>
        <v/>
      </c>
      <c r="M118" t="str">
        <f t="shared" si="23"/>
        <v>Environment Detail</v>
      </c>
      <c r="N118" t="str">
        <f t="shared" si="24"/>
        <v/>
      </c>
      <c r="O118" t="str">
        <f t="shared" si="25"/>
        <v/>
      </c>
    </row>
    <row r="119" spans="2:15" x14ac:dyDescent="0.45">
      <c r="B119" s="17" t="s">
        <v>524</v>
      </c>
      <c r="C119">
        <f t="shared" si="17"/>
        <v>0</v>
      </c>
      <c r="D119">
        <f t="shared" si="13"/>
        <v>0</v>
      </c>
      <c r="E119">
        <f t="shared" si="18"/>
        <v>0</v>
      </c>
      <c r="F119">
        <f t="shared" si="14"/>
        <v>0</v>
      </c>
      <c r="G119">
        <f t="shared" si="15"/>
        <v>1</v>
      </c>
      <c r="H119" t="str">
        <f t="shared" si="16"/>
        <v/>
      </c>
      <c r="I119" t="str">
        <f t="shared" si="19"/>
        <v/>
      </c>
      <c r="J119" t="str">
        <f t="shared" si="20"/>
        <v/>
      </c>
      <c r="K119" t="str">
        <f t="shared" si="21"/>
        <v/>
      </c>
      <c r="L119" t="str">
        <f t="shared" si="22"/>
        <v/>
      </c>
      <c r="M119" t="str">
        <f t="shared" si="23"/>
        <v>Environment Detail</v>
      </c>
      <c r="N119" t="str">
        <f t="shared" si="24"/>
        <v xml:space="preserve">    - sensor.dark_sky_minutely_summary</v>
      </c>
      <c r="O119" t="str">
        <f t="shared" si="25"/>
        <v>sensor.dark_sky_minutely_summary</v>
      </c>
    </row>
    <row r="120" spans="2:15" x14ac:dyDescent="0.45">
      <c r="B120" s="17" t="s">
        <v>525</v>
      </c>
      <c r="C120">
        <f t="shared" si="17"/>
        <v>0</v>
      </c>
      <c r="D120">
        <f t="shared" si="13"/>
        <v>0</v>
      </c>
      <c r="E120">
        <f t="shared" si="18"/>
        <v>0</v>
      </c>
      <c r="F120">
        <f t="shared" si="14"/>
        <v>0</v>
      </c>
      <c r="G120">
        <f t="shared" si="15"/>
        <v>1</v>
      </c>
      <c r="H120" t="str">
        <f t="shared" si="16"/>
        <v/>
      </c>
      <c r="I120" t="str">
        <f t="shared" si="19"/>
        <v/>
      </c>
      <c r="J120" t="str">
        <f t="shared" si="20"/>
        <v/>
      </c>
      <c r="K120" t="str">
        <f t="shared" si="21"/>
        <v/>
      </c>
      <c r="L120" t="str">
        <f t="shared" si="22"/>
        <v/>
      </c>
      <c r="M120" t="str">
        <f t="shared" si="23"/>
        <v>Environment Detail</v>
      </c>
      <c r="N120" t="str">
        <f t="shared" si="24"/>
        <v xml:space="preserve">    - camera.radar</v>
      </c>
      <c r="O120" t="str">
        <f t="shared" si="25"/>
        <v>camera.radar</v>
      </c>
    </row>
    <row r="121" spans="2:15" x14ac:dyDescent="0.45">
      <c r="B121" s="17" t="s">
        <v>521</v>
      </c>
      <c r="C121">
        <f t="shared" si="17"/>
        <v>0</v>
      </c>
      <c r="D121">
        <f t="shared" si="13"/>
        <v>0</v>
      </c>
      <c r="E121">
        <f t="shared" si="18"/>
        <v>0</v>
      </c>
      <c r="F121">
        <f t="shared" si="14"/>
        <v>0</v>
      </c>
      <c r="G121">
        <f t="shared" si="15"/>
        <v>1</v>
      </c>
      <c r="H121" t="str">
        <f t="shared" si="16"/>
        <v/>
      </c>
      <c r="I121" t="str">
        <f t="shared" si="19"/>
        <v/>
      </c>
      <c r="J121" t="str">
        <f t="shared" si="20"/>
        <v/>
      </c>
      <c r="K121" t="str">
        <f t="shared" si="21"/>
        <v/>
      </c>
      <c r="L121" t="str">
        <f t="shared" si="22"/>
        <v/>
      </c>
      <c r="M121" t="str">
        <f t="shared" si="23"/>
        <v>Environment Detail</v>
      </c>
      <c r="N121" t="str">
        <f t="shared" si="24"/>
        <v xml:space="preserve">    - sensor.dark_sky_precip_probability</v>
      </c>
      <c r="O121" t="str">
        <f t="shared" si="25"/>
        <v>sensor.dark_sky_precip_probability</v>
      </c>
    </row>
    <row r="122" spans="2:15" x14ac:dyDescent="0.45">
      <c r="B122" s="17" t="s">
        <v>526</v>
      </c>
      <c r="C122">
        <f t="shared" si="17"/>
        <v>0</v>
      </c>
      <c r="D122">
        <f t="shared" si="13"/>
        <v>0</v>
      </c>
      <c r="E122">
        <f t="shared" si="18"/>
        <v>0</v>
      </c>
      <c r="F122">
        <f t="shared" si="14"/>
        <v>0</v>
      </c>
      <c r="G122">
        <f t="shared" si="15"/>
        <v>1</v>
      </c>
      <c r="H122" t="str">
        <f t="shared" si="16"/>
        <v/>
      </c>
      <c r="I122" t="str">
        <f t="shared" si="19"/>
        <v/>
      </c>
      <c r="J122" t="str">
        <f t="shared" si="20"/>
        <v/>
      </c>
      <c r="K122" t="str">
        <f t="shared" si="21"/>
        <v/>
      </c>
      <c r="L122" t="str">
        <f t="shared" si="22"/>
        <v/>
      </c>
      <c r="M122" t="str">
        <f t="shared" si="23"/>
        <v>Environment Detail</v>
      </c>
      <c r="N122" t="str">
        <f t="shared" si="24"/>
        <v xml:space="preserve">    - sensor.dark_sky_precip</v>
      </c>
      <c r="O122" t="str">
        <f t="shared" si="25"/>
        <v>sensor.dark_sky_precip</v>
      </c>
    </row>
    <row r="123" spans="2:15" x14ac:dyDescent="0.45">
      <c r="B123" s="17" t="s">
        <v>527</v>
      </c>
      <c r="C123">
        <f t="shared" si="17"/>
        <v>0</v>
      </c>
      <c r="D123">
        <f t="shared" si="13"/>
        <v>0</v>
      </c>
      <c r="E123">
        <f t="shared" si="18"/>
        <v>0</v>
      </c>
      <c r="F123">
        <f t="shared" si="14"/>
        <v>0</v>
      </c>
      <c r="G123">
        <f t="shared" si="15"/>
        <v>1</v>
      </c>
      <c r="H123" t="str">
        <f t="shared" si="16"/>
        <v/>
      </c>
      <c r="I123" t="str">
        <f t="shared" si="19"/>
        <v/>
      </c>
      <c r="J123" t="str">
        <f t="shared" si="20"/>
        <v/>
      </c>
      <c r="K123" t="str">
        <f t="shared" si="21"/>
        <v/>
      </c>
      <c r="L123" t="str">
        <f t="shared" si="22"/>
        <v/>
      </c>
      <c r="M123" t="str">
        <f t="shared" si="23"/>
        <v>Environment Detail</v>
      </c>
      <c r="N123" t="str">
        <f t="shared" si="24"/>
        <v xml:space="preserve">    - sensor.dark_sky_precip_intensity</v>
      </c>
      <c r="O123" t="str">
        <f t="shared" si="25"/>
        <v>sensor.dark_sky_precip_intensity</v>
      </c>
    </row>
    <row r="124" spans="2:15" x14ac:dyDescent="0.45">
      <c r="B124" s="17" t="s">
        <v>528</v>
      </c>
      <c r="C124">
        <f t="shared" si="17"/>
        <v>0</v>
      </c>
      <c r="D124">
        <f t="shared" si="13"/>
        <v>0</v>
      </c>
      <c r="E124">
        <f t="shared" si="18"/>
        <v>0</v>
      </c>
      <c r="F124">
        <f t="shared" si="14"/>
        <v>0</v>
      </c>
      <c r="G124">
        <f t="shared" si="15"/>
        <v>1</v>
      </c>
      <c r="H124" t="str">
        <f t="shared" si="16"/>
        <v/>
      </c>
      <c r="I124" t="str">
        <f t="shared" si="19"/>
        <v/>
      </c>
      <c r="J124" t="str">
        <f t="shared" si="20"/>
        <v/>
      </c>
      <c r="K124" t="str">
        <f t="shared" si="21"/>
        <v/>
      </c>
      <c r="L124" t="str">
        <f t="shared" si="22"/>
        <v/>
      </c>
      <c r="M124" t="str">
        <f t="shared" si="23"/>
        <v>Environment Detail</v>
      </c>
      <c r="N124" t="str">
        <f t="shared" si="24"/>
        <v xml:space="preserve">    - sensor.dark_sky_daily_max_precip_intensity</v>
      </c>
      <c r="O124" t="str">
        <f t="shared" si="25"/>
        <v>sensor.dark_sky_daily_max_precip_intensity</v>
      </c>
    </row>
    <row r="125" spans="2:15" x14ac:dyDescent="0.45">
      <c r="B125" s="17" t="s">
        <v>529</v>
      </c>
      <c r="C125">
        <f t="shared" si="17"/>
        <v>0</v>
      </c>
      <c r="D125">
        <f t="shared" si="13"/>
        <v>0</v>
      </c>
      <c r="E125">
        <f t="shared" si="18"/>
        <v>0</v>
      </c>
      <c r="F125">
        <f t="shared" si="14"/>
        <v>0</v>
      </c>
      <c r="G125">
        <f t="shared" si="15"/>
        <v>1</v>
      </c>
      <c r="H125" t="str">
        <f t="shared" si="16"/>
        <v/>
      </c>
      <c r="I125" t="str">
        <f t="shared" si="19"/>
        <v/>
      </c>
      <c r="J125" t="str">
        <f t="shared" si="20"/>
        <v/>
      </c>
      <c r="K125" t="str">
        <f t="shared" si="21"/>
        <v/>
      </c>
      <c r="L125" t="str">
        <f t="shared" si="22"/>
        <v/>
      </c>
      <c r="M125" t="str">
        <f t="shared" si="23"/>
        <v>Environment Detail</v>
      </c>
      <c r="N125" t="str">
        <f t="shared" si="24"/>
        <v xml:space="preserve">    - sensor.dark_sky_daily_high_temperature</v>
      </c>
      <c r="O125" t="str">
        <f t="shared" si="25"/>
        <v>sensor.dark_sky_daily_high_temperature</v>
      </c>
    </row>
    <row r="126" spans="2:15" x14ac:dyDescent="0.45">
      <c r="B126" s="17" t="s">
        <v>518</v>
      </c>
      <c r="C126">
        <f t="shared" si="17"/>
        <v>0</v>
      </c>
      <c r="D126">
        <f t="shared" si="13"/>
        <v>0</v>
      </c>
      <c r="E126">
        <f t="shared" si="18"/>
        <v>0</v>
      </c>
      <c r="F126">
        <f t="shared" si="14"/>
        <v>0</v>
      </c>
      <c r="G126">
        <f t="shared" si="15"/>
        <v>1</v>
      </c>
      <c r="H126" t="str">
        <f t="shared" si="16"/>
        <v/>
      </c>
      <c r="I126" t="str">
        <f t="shared" si="19"/>
        <v/>
      </c>
      <c r="J126" t="str">
        <f t="shared" si="20"/>
        <v/>
      </c>
      <c r="K126" t="str">
        <f t="shared" si="21"/>
        <v/>
      </c>
      <c r="L126" t="str">
        <f t="shared" si="22"/>
        <v/>
      </c>
      <c r="M126" t="str">
        <f t="shared" si="23"/>
        <v>Environment Detail</v>
      </c>
      <c r="N126" t="str">
        <f t="shared" si="24"/>
        <v xml:space="preserve">    - sensor.dark_sky_apparent_temperature</v>
      </c>
      <c r="O126" t="str">
        <f t="shared" si="25"/>
        <v>sensor.dark_sky_apparent_temperature</v>
      </c>
    </row>
    <row r="127" spans="2:15" x14ac:dyDescent="0.45">
      <c r="B127" s="17" t="s">
        <v>530</v>
      </c>
      <c r="C127">
        <f t="shared" si="17"/>
        <v>0</v>
      </c>
      <c r="D127">
        <f t="shared" si="13"/>
        <v>0</v>
      </c>
      <c r="E127">
        <f t="shared" si="18"/>
        <v>0</v>
      </c>
      <c r="F127">
        <f t="shared" si="14"/>
        <v>0</v>
      </c>
      <c r="G127">
        <f t="shared" si="15"/>
        <v>1</v>
      </c>
      <c r="H127" t="str">
        <f t="shared" si="16"/>
        <v/>
      </c>
      <c r="I127" t="str">
        <f t="shared" si="19"/>
        <v/>
      </c>
      <c r="J127" t="str">
        <f t="shared" si="20"/>
        <v/>
      </c>
      <c r="K127" t="str">
        <f t="shared" si="21"/>
        <v/>
      </c>
      <c r="L127" t="str">
        <f t="shared" si="22"/>
        <v/>
      </c>
      <c r="M127" t="str">
        <f t="shared" si="23"/>
        <v>Environment Detail</v>
      </c>
      <c r="N127" t="str">
        <f t="shared" si="24"/>
        <v xml:space="preserve">    - sensor.dark_sky_daily_low_temperature</v>
      </c>
      <c r="O127" t="str">
        <f t="shared" si="25"/>
        <v>sensor.dark_sky_daily_low_temperature</v>
      </c>
    </row>
    <row r="128" spans="2:15" x14ac:dyDescent="0.45">
      <c r="B128" s="17" t="s">
        <v>531</v>
      </c>
      <c r="C128">
        <f t="shared" si="17"/>
        <v>0</v>
      </c>
      <c r="D128">
        <f t="shared" si="13"/>
        <v>0</v>
      </c>
      <c r="E128">
        <f t="shared" si="18"/>
        <v>0</v>
      </c>
      <c r="F128">
        <f t="shared" si="14"/>
        <v>0</v>
      </c>
      <c r="G128">
        <f t="shared" si="15"/>
        <v>1</v>
      </c>
      <c r="H128" t="str">
        <f t="shared" si="16"/>
        <v/>
      </c>
      <c r="I128" t="str">
        <f t="shared" si="19"/>
        <v/>
      </c>
      <c r="J128" t="str">
        <f t="shared" si="20"/>
        <v/>
      </c>
      <c r="K128" t="str">
        <f t="shared" si="21"/>
        <v/>
      </c>
      <c r="L128" t="str">
        <f t="shared" si="22"/>
        <v/>
      </c>
      <c r="M128" t="str">
        <f t="shared" si="23"/>
        <v>Environment Detail</v>
      </c>
      <c r="N128" t="str">
        <f t="shared" si="24"/>
        <v xml:space="preserve">    - sensor.dark_sky_daily_high_apparent_temperature</v>
      </c>
      <c r="O128" t="str">
        <f t="shared" si="25"/>
        <v>sensor.dark_sky_daily_high_apparent_temperature</v>
      </c>
    </row>
    <row r="129" spans="2:15" x14ac:dyDescent="0.45">
      <c r="B129" s="17" t="s">
        <v>532</v>
      </c>
      <c r="C129">
        <f t="shared" si="17"/>
        <v>0</v>
      </c>
      <c r="D129">
        <f t="shared" si="13"/>
        <v>0</v>
      </c>
      <c r="E129">
        <f t="shared" si="18"/>
        <v>0</v>
      </c>
      <c r="F129">
        <f t="shared" si="14"/>
        <v>0</v>
      </c>
      <c r="G129">
        <f t="shared" si="15"/>
        <v>1</v>
      </c>
      <c r="H129" t="str">
        <f t="shared" si="16"/>
        <v/>
      </c>
      <c r="I129" t="str">
        <f t="shared" si="19"/>
        <v/>
      </c>
      <c r="J129" t="str">
        <f t="shared" si="20"/>
        <v/>
      </c>
      <c r="K129" t="str">
        <f t="shared" si="21"/>
        <v/>
      </c>
      <c r="L129" t="str">
        <f t="shared" si="22"/>
        <v/>
      </c>
      <c r="M129" t="str">
        <f t="shared" si="23"/>
        <v>Environment Detail</v>
      </c>
      <c r="N129" t="str">
        <f t="shared" si="24"/>
        <v xml:space="preserve">    - sensor.dark_sky_temperature</v>
      </c>
      <c r="O129" t="str">
        <f t="shared" si="25"/>
        <v>sensor.dark_sky_temperature</v>
      </c>
    </row>
    <row r="130" spans="2:15" x14ac:dyDescent="0.45">
      <c r="B130" s="17" t="s">
        <v>533</v>
      </c>
      <c r="C130">
        <f t="shared" si="17"/>
        <v>0</v>
      </c>
      <c r="D130">
        <f t="shared" si="13"/>
        <v>0</v>
      </c>
      <c r="E130">
        <f t="shared" si="18"/>
        <v>0</v>
      </c>
      <c r="F130">
        <f t="shared" si="14"/>
        <v>0</v>
      </c>
      <c r="G130">
        <f t="shared" si="15"/>
        <v>1</v>
      </c>
      <c r="H130" t="str">
        <f t="shared" si="16"/>
        <v/>
      </c>
      <c r="I130" t="str">
        <f t="shared" si="19"/>
        <v/>
      </c>
      <c r="J130" t="str">
        <f t="shared" si="20"/>
        <v/>
      </c>
      <c r="K130" t="str">
        <f t="shared" si="21"/>
        <v/>
      </c>
      <c r="L130" t="str">
        <f t="shared" si="22"/>
        <v/>
      </c>
      <c r="M130" t="str">
        <f t="shared" si="23"/>
        <v>Environment Detail</v>
      </c>
      <c r="N130" t="str">
        <f t="shared" si="24"/>
        <v xml:space="preserve">    - sensor.dark_sky_daily_low_apparent_temperature</v>
      </c>
      <c r="O130" t="str">
        <f t="shared" si="25"/>
        <v>sensor.dark_sky_daily_low_apparent_temperature</v>
      </c>
    </row>
    <row r="131" spans="2:15" x14ac:dyDescent="0.45">
      <c r="B131" s="17" t="s">
        <v>534</v>
      </c>
      <c r="C131">
        <f t="shared" si="17"/>
        <v>0</v>
      </c>
      <c r="D131">
        <f t="shared" si="13"/>
        <v>0</v>
      </c>
      <c r="E131">
        <f t="shared" si="18"/>
        <v>0</v>
      </c>
      <c r="F131">
        <f t="shared" si="14"/>
        <v>0</v>
      </c>
      <c r="G131">
        <f t="shared" si="15"/>
        <v>0</v>
      </c>
      <c r="H131" t="str">
        <f t="shared" si="16"/>
        <v/>
      </c>
      <c r="I131" t="str">
        <f t="shared" si="19"/>
        <v/>
      </c>
      <c r="J131" t="str">
        <f t="shared" si="20"/>
        <v/>
      </c>
      <c r="K131" t="str">
        <f t="shared" si="21"/>
        <v/>
      </c>
      <c r="L131" t="str">
        <f t="shared" si="22"/>
        <v/>
      </c>
      <c r="M131" t="str">
        <f t="shared" si="23"/>
        <v>Environment Detail</v>
      </c>
      <c r="N131" t="str">
        <f t="shared" si="24"/>
        <v/>
      </c>
      <c r="O131" t="str">
        <f t="shared" si="25"/>
        <v/>
      </c>
    </row>
    <row r="132" spans="2:15" x14ac:dyDescent="0.45">
      <c r="B132" s="17" t="s">
        <v>535</v>
      </c>
      <c r="C132">
        <f t="shared" si="17"/>
        <v>0</v>
      </c>
      <c r="D132">
        <f t="shared" si="13"/>
        <v>0</v>
      </c>
      <c r="E132">
        <f t="shared" si="18"/>
        <v>0</v>
      </c>
      <c r="F132">
        <f t="shared" si="14"/>
        <v>0</v>
      </c>
      <c r="G132">
        <f t="shared" si="15"/>
        <v>0</v>
      </c>
      <c r="H132" t="str">
        <f t="shared" si="16"/>
        <v/>
      </c>
      <c r="I132" t="str">
        <f t="shared" si="19"/>
        <v/>
      </c>
      <c r="J132" t="str">
        <f t="shared" si="20"/>
        <v/>
      </c>
      <c r="K132" t="str">
        <f t="shared" si="21"/>
        <v/>
      </c>
      <c r="L132" t="str">
        <f t="shared" si="22"/>
        <v/>
      </c>
      <c r="M132" t="str">
        <f t="shared" si="23"/>
        <v>Environment Detail</v>
      </c>
      <c r="N132" t="str">
        <f t="shared" si="24"/>
        <v/>
      </c>
      <c r="O132" t="str">
        <f t="shared" si="25"/>
        <v/>
      </c>
    </row>
    <row r="133" spans="2:15" x14ac:dyDescent="0.45">
      <c r="B133" s="17" t="s">
        <v>536</v>
      </c>
      <c r="C133">
        <f t="shared" si="17"/>
        <v>0</v>
      </c>
      <c r="D133">
        <f t="shared" si="13"/>
        <v>0</v>
      </c>
      <c r="E133">
        <f t="shared" si="18"/>
        <v>0</v>
      </c>
      <c r="F133">
        <f t="shared" si="14"/>
        <v>0</v>
      </c>
      <c r="G133">
        <f t="shared" si="15"/>
        <v>1</v>
      </c>
      <c r="H133" t="str">
        <f t="shared" si="16"/>
        <v/>
      </c>
      <c r="I133" t="str">
        <f t="shared" si="19"/>
        <v/>
      </c>
      <c r="J133" t="str">
        <f t="shared" si="20"/>
        <v/>
      </c>
      <c r="K133" t="str">
        <f t="shared" si="21"/>
        <v/>
      </c>
      <c r="L133" t="str">
        <f t="shared" si="22"/>
        <v/>
      </c>
      <c r="M133" t="str">
        <f t="shared" si="23"/>
        <v>Environment Detail</v>
      </c>
      <c r="N133" t="str">
        <f t="shared" si="24"/>
        <v xml:space="preserve">    - sensor.dark_sky_nearest_storm_distance</v>
      </c>
      <c r="O133" t="str">
        <f t="shared" si="25"/>
        <v>sensor.dark_sky_nearest_storm_distance</v>
      </c>
    </row>
    <row r="134" spans="2:15" x14ac:dyDescent="0.45">
      <c r="B134" s="17" t="s">
        <v>537</v>
      </c>
      <c r="C134">
        <f t="shared" si="17"/>
        <v>0</v>
      </c>
      <c r="D134">
        <f t="shared" si="13"/>
        <v>0</v>
      </c>
      <c r="E134">
        <f t="shared" si="18"/>
        <v>0</v>
      </c>
      <c r="F134">
        <f t="shared" si="14"/>
        <v>0</v>
      </c>
      <c r="G134">
        <f t="shared" si="15"/>
        <v>1</v>
      </c>
      <c r="H134" t="str">
        <f t="shared" si="16"/>
        <v/>
      </c>
      <c r="I134" t="str">
        <f t="shared" si="19"/>
        <v/>
      </c>
      <c r="J134" t="str">
        <f t="shared" si="20"/>
        <v/>
      </c>
      <c r="K134" t="str">
        <f t="shared" si="21"/>
        <v/>
      </c>
      <c r="L134" t="str">
        <f t="shared" si="22"/>
        <v/>
      </c>
      <c r="M134" t="str">
        <f t="shared" si="23"/>
        <v>Environment Detail</v>
      </c>
      <c r="N134" t="str">
        <f t="shared" si="24"/>
        <v xml:space="preserve">    - sensor.dark_sky_nearest_storm_bearing</v>
      </c>
      <c r="O134" t="str">
        <f t="shared" si="25"/>
        <v>sensor.dark_sky_nearest_storm_bearing</v>
      </c>
    </row>
    <row r="135" spans="2:15" x14ac:dyDescent="0.45">
      <c r="B135" s="17" t="s">
        <v>538</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t="shared" si="20"/>
        <v/>
      </c>
      <c r="K135" t="str">
        <f t="shared" si="21"/>
        <v/>
      </c>
      <c r="L135" t="str">
        <f t="shared" si="22"/>
        <v/>
      </c>
      <c r="M135" t="str">
        <f t="shared" si="23"/>
        <v>Environment Detail</v>
      </c>
      <c r="N135" t="str">
        <f t="shared" si="24"/>
        <v xml:space="preserve">    - sensor.dark_sky_dew_point</v>
      </c>
      <c r="O135" t="str">
        <f t="shared" si="25"/>
        <v>sensor.dark_sky_dew_point</v>
      </c>
    </row>
    <row r="136" spans="2:15" x14ac:dyDescent="0.45">
      <c r="B136" s="17" t="s">
        <v>539</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t="shared" ref="J136:J199" si="33">IF(F136=1,$B136,"")</f>
        <v/>
      </c>
      <c r="K136" t="str">
        <f t="shared" ref="K136:K199" si="34">IFERROR(MID(J136,  FIND("name:",J136)+6,99),"")</f>
        <v/>
      </c>
      <c r="L136" t="str">
        <f t="shared" ref="L136:L199" si="35">SUBSTITUTE(K136,"""","")</f>
        <v/>
      </c>
      <c r="M136" t="str">
        <f t="shared" ref="M136:M199" si="36">IF(L136="",M135,L136)</f>
        <v>Environment Detail</v>
      </c>
      <c r="N136" t="str">
        <f t="shared" ref="N136:N199" si="37">IF(G136=1,$B136,"")</f>
        <v xml:space="preserve">    - sensor.dark_sky_wind_speed</v>
      </c>
      <c r="O136" t="str">
        <f t="shared" ref="O136:O199" si="38">TRIM(SUBSTITUTE(N136,"-",""))</f>
        <v>sensor.dark_sky_wind_speed</v>
      </c>
    </row>
    <row r="137" spans="2:15" x14ac:dyDescent="0.45">
      <c r="B137" s="17" t="s">
        <v>540</v>
      </c>
      <c r="C137">
        <f t="shared" si="30"/>
        <v>0</v>
      </c>
      <c r="D137">
        <f t="shared" si="26"/>
        <v>0</v>
      </c>
      <c r="E137">
        <f t="shared" si="31"/>
        <v>0</v>
      </c>
      <c r="F137">
        <f t="shared" si="27"/>
        <v>0</v>
      </c>
      <c r="G137">
        <f t="shared" si="28"/>
        <v>1</v>
      </c>
      <c r="H137" t="str">
        <f t="shared" si="29"/>
        <v/>
      </c>
      <c r="I137" t="str">
        <f t="shared" si="32"/>
        <v/>
      </c>
      <c r="J137" t="str">
        <f t="shared" si="33"/>
        <v/>
      </c>
      <c r="K137" t="str">
        <f t="shared" si="34"/>
        <v/>
      </c>
      <c r="L137" t="str">
        <f t="shared" si="35"/>
        <v/>
      </c>
      <c r="M137" t="str">
        <f t="shared" si="36"/>
        <v>Environment Detail</v>
      </c>
      <c r="N137" t="str">
        <f t="shared" si="37"/>
        <v xml:space="preserve">    - sensor.dark_sky_wind_bearing</v>
      </c>
      <c r="O137" t="str">
        <f t="shared" si="38"/>
        <v>sensor.dark_sky_wind_bearing</v>
      </c>
    </row>
    <row r="138" spans="2:15" x14ac:dyDescent="0.45">
      <c r="B138" s="17" t="s">
        <v>541</v>
      </c>
      <c r="C138">
        <f t="shared" si="30"/>
        <v>0</v>
      </c>
      <c r="D138">
        <f t="shared" si="26"/>
        <v>0</v>
      </c>
      <c r="E138">
        <f t="shared" si="31"/>
        <v>0</v>
      </c>
      <c r="F138">
        <f t="shared" si="27"/>
        <v>0</v>
      </c>
      <c r="G138">
        <f t="shared" si="28"/>
        <v>1</v>
      </c>
      <c r="H138" t="str">
        <f t="shared" si="29"/>
        <v/>
      </c>
      <c r="I138" t="str">
        <f t="shared" si="32"/>
        <v/>
      </c>
      <c r="J138" t="str">
        <f t="shared" si="33"/>
        <v/>
      </c>
      <c r="K138" t="str">
        <f t="shared" si="34"/>
        <v/>
      </c>
      <c r="L138" t="str">
        <f t="shared" si="35"/>
        <v/>
      </c>
      <c r="M138" t="str">
        <f t="shared" si="36"/>
        <v>Environment Detail</v>
      </c>
      <c r="N138" t="str">
        <f t="shared" si="37"/>
        <v xml:space="preserve">    - sensor.dark_sky_cloud_coverage</v>
      </c>
      <c r="O138" t="str">
        <f t="shared" si="38"/>
        <v>sensor.dark_sky_cloud_coverage</v>
      </c>
    </row>
    <row r="139" spans="2:15" x14ac:dyDescent="0.45">
      <c r="B139" s="17" t="s">
        <v>542</v>
      </c>
      <c r="C139">
        <f t="shared" si="30"/>
        <v>0</v>
      </c>
      <c r="D139">
        <f t="shared" si="26"/>
        <v>0</v>
      </c>
      <c r="E139">
        <f t="shared" si="31"/>
        <v>0</v>
      </c>
      <c r="F139">
        <f t="shared" si="27"/>
        <v>0</v>
      </c>
      <c r="G139">
        <f t="shared" si="28"/>
        <v>1</v>
      </c>
      <c r="H139" t="str">
        <f t="shared" si="29"/>
        <v/>
      </c>
      <c r="I139" t="str">
        <f t="shared" si="32"/>
        <v/>
      </c>
      <c r="J139" t="str">
        <f t="shared" si="33"/>
        <v/>
      </c>
      <c r="K139" t="str">
        <f t="shared" si="34"/>
        <v/>
      </c>
      <c r="L139" t="str">
        <f t="shared" si="35"/>
        <v/>
      </c>
      <c r="M139" t="str">
        <f t="shared" si="36"/>
        <v>Environment Detail</v>
      </c>
      <c r="N139" t="str">
        <f t="shared" si="37"/>
        <v xml:space="preserve">    - sensor.dark_sky_humidity</v>
      </c>
      <c r="O139" t="str">
        <f t="shared" si="38"/>
        <v>sensor.dark_sky_humidity</v>
      </c>
    </row>
    <row r="140" spans="2:15" x14ac:dyDescent="0.45">
      <c r="B140" s="17" t="s">
        <v>543</v>
      </c>
      <c r="C140">
        <f t="shared" si="30"/>
        <v>0</v>
      </c>
      <c r="D140">
        <f t="shared" si="26"/>
        <v>0</v>
      </c>
      <c r="E140">
        <f t="shared" si="31"/>
        <v>0</v>
      </c>
      <c r="F140">
        <f t="shared" si="27"/>
        <v>0</v>
      </c>
      <c r="G140">
        <f t="shared" si="28"/>
        <v>1</v>
      </c>
      <c r="H140" t="str">
        <f t="shared" si="29"/>
        <v/>
      </c>
      <c r="I140" t="str">
        <f t="shared" si="32"/>
        <v/>
      </c>
      <c r="J140" t="str">
        <f t="shared" si="33"/>
        <v/>
      </c>
      <c r="K140" t="str">
        <f t="shared" si="34"/>
        <v/>
      </c>
      <c r="L140" t="str">
        <f t="shared" si="35"/>
        <v/>
      </c>
      <c r="M140" t="str">
        <f t="shared" si="36"/>
        <v>Environment Detail</v>
      </c>
      <c r="N140" t="str">
        <f t="shared" si="37"/>
        <v xml:space="preserve">    - sensor.dark_sky_pressure</v>
      </c>
      <c r="O140" t="str">
        <f t="shared" si="38"/>
        <v>sensor.dark_sky_pressure</v>
      </c>
    </row>
    <row r="141" spans="2:15" x14ac:dyDescent="0.45">
      <c r="B141" s="17" t="s">
        <v>544</v>
      </c>
      <c r="C141">
        <f t="shared" si="30"/>
        <v>0</v>
      </c>
      <c r="D141">
        <f t="shared" si="26"/>
        <v>0</v>
      </c>
      <c r="E141">
        <f t="shared" si="31"/>
        <v>0</v>
      </c>
      <c r="F141">
        <f t="shared" si="27"/>
        <v>0</v>
      </c>
      <c r="G141">
        <f t="shared" si="28"/>
        <v>1</v>
      </c>
      <c r="H141" t="str">
        <f t="shared" si="29"/>
        <v/>
      </c>
      <c r="I141" t="str">
        <f t="shared" si="32"/>
        <v/>
      </c>
      <c r="J141" t="str">
        <f t="shared" si="33"/>
        <v/>
      </c>
      <c r="K141" t="str">
        <f t="shared" si="34"/>
        <v/>
      </c>
      <c r="L141" t="str">
        <f t="shared" si="35"/>
        <v/>
      </c>
      <c r="M141" t="str">
        <f t="shared" si="36"/>
        <v>Environment Detail</v>
      </c>
      <c r="N141" t="str">
        <f t="shared" si="37"/>
        <v xml:space="preserve">    - sensor.dark_sky_visibility</v>
      </c>
      <c r="O141" t="str">
        <f t="shared" si="38"/>
        <v>sensor.dark_sky_visibility</v>
      </c>
    </row>
    <row r="142" spans="2:15" x14ac:dyDescent="0.45">
      <c r="B142" s="17" t="s">
        <v>545</v>
      </c>
      <c r="C142">
        <f t="shared" si="30"/>
        <v>0</v>
      </c>
      <c r="D142">
        <f t="shared" si="26"/>
        <v>0</v>
      </c>
      <c r="E142">
        <f t="shared" si="31"/>
        <v>0</v>
      </c>
      <c r="F142">
        <f t="shared" si="27"/>
        <v>0</v>
      </c>
      <c r="G142">
        <f t="shared" si="28"/>
        <v>1</v>
      </c>
      <c r="H142" t="str">
        <f t="shared" si="29"/>
        <v/>
      </c>
      <c r="I142" t="str">
        <f t="shared" si="32"/>
        <v/>
      </c>
      <c r="J142" t="str">
        <f t="shared" si="33"/>
        <v/>
      </c>
      <c r="K142" t="str">
        <f t="shared" si="34"/>
        <v/>
      </c>
      <c r="L142" t="str">
        <f t="shared" si="35"/>
        <v/>
      </c>
      <c r="M142" t="str">
        <f t="shared" si="36"/>
        <v>Environment Detail</v>
      </c>
      <c r="N142" t="str">
        <f t="shared" si="37"/>
        <v xml:space="preserve">    - sensor.dark_sky_ozone</v>
      </c>
      <c r="O142" t="str">
        <f t="shared" si="38"/>
        <v>sensor.dark_sky_ozone</v>
      </c>
    </row>
    <row r="143" spans="2:15" x14ac:dyDescent="0.45">
      <c r="B143" s="17" t="s">
        <v>546</v>
      </c>
      <c r="C143">
        <f t="shared" si="30"/>
        <v>0</v>
      </c>
      <c r="D143">
        <f t="shared" si="26"/>
        <v>0</v>
      </c>
      <c r="E143">
        <f t="shared" si="31"/>
        <v>0</v>
      </c>
      <c r="F143">
        <f t="shared" si="27"/>
        <v>0</v>
      </c>
      <c r="G143">
        <f t="shared" si="28"/>
        <v>1</v>
      </c>
      <c r="H143" t="str">
        <f t="shared" si="29"/>
        <v/>
      </c>
      <c r="I143" t="str">
        <f t="shared" si="32"/>
        <v/>
      </c>
      <c r="J143" t="str">
        <f t="shared" si="33"/>
        <v/>
      </c>
      <c r="K143" t="str">
        <f t="shared" si="34"/>
        <v/>
      </c>
      <c r="L143" t="str">
        <f t="shared" si="35"/>
        <v/>
      </c>
      <c r="M143" t="str">
        <f t="shared" si="36"/>
        <v>Environment Detail</v>
      </c>
      <c r="N143" t="str">
        <f t="shared" si="37"/>
        <v xml:space="preserve">    - sun.sun</v>
      </c>
      <c r="O143" t="str">
        <f t="shared" si="38"/>
        <v>sun.sun</v>
      </c>
    </row>
    <row r="144" spans="2:15" x14ac:dyDescent="0.45">
      <c r="B144" s="17"/>
      <c r="C144">
        <f t="shared" si="30"/>
        <v>1</v>
      </c>
      <c r="D144">
        <f t="shared" si="26"/>
        <v>0</v>
      </c>
      <c r="E144">
        <f t="shared" si="31"/>
        <v>0</v>
      </c>
      <c r="F144">
        <f t="shared" si="27"/>
        <v>0</v>
      </c>
      <c r="G144">
        <f t="shared" si="28"/>
        <v>0</v>
      </c>
      <c r="H144" t="str">
        <f t="shared" si="29"/>
        <v/>
      </c>
      <c r="I144" t="str">
        <f t="shared" si="32"/>
        <v/>
      </c>
      <c r="J144" t="str">
        <f t="shared" si="33"/>
        <v/>
      </c>
      <c r="K144" t="str">
        <f t="shared" si="34"/>
        <v/>
      </c>
      <c r="L144" t="str">
        <f t="shared" si="35"/>
        <v/>
      </c>
      <c r="M144" t="str">
        <f t="shared" si="36"/>
        <v>Environment Detail</v>
      </c>
      <c r="N144" t="str">
        <f t="shared" si="37"/>
        <v/>
      </c>
      <c r="O144" t="str">
        <f t="shared" si="38"/>
        <v/>
      </c>
    </row>
    <row r="145" spans="2:15" x14ac:dyDescent="0.45">
      <c r="B145" s="17" t="s">
        <v>547</v>
      </c>
      <c r="C145">
        <f t="shared" si="30"/>
        <v>0</v>
      </c>
      <c r="D145">
        <f t="shared" si="26"/>
        <v>0</v>
      </c>
      <c r="E145">
        <f t="shared" si="31"/>
        <v>1</v>
      </c>
      <c r="F145">
        <f t="shared" si="27"/>
        <v>0</v>
      </c>
      <c r="G145">
        <f t="shared" si="28"/>
        <v>0</v>
      </c>
      <c r="H145" t="str">
        <f t="shared" si="29"/>
        <v>livingroom:</v>
      </c>
      <c r="I145" t="str">
        <f t="shared" si="32"/>
        <v>livingroom</v>
      </c>
      <c r="J145" t="str">
        <f t="shared" si="33"/>
        <v/>
      </c>
      <c r="K145" t="str">
        <f t="shared" si="34"/>
        <v/>
      </c>
      <c r="L145" t="str">
        <f t="shared" si="35"/>
        <v/>
      </c>
      <c r="M145" t="str">
        <f t="shared" si="36"/>
        <v>Environment Detail</v>
      </c>
      <c r="N145" t="str">
        <f t="shared" si="37"/>
        <v/>
      </c>
      <c r="O145" t="str">
        <f t="shared" si="38"/>
        <v/>
      </c>
    </row>
    <row r="146" spans="2:15" x14ac:dyDescent="0.45">
      <c r="B146" s="17" t="s">
        <v>548</v>
      </c>
      <c r="C146">
        <f t="shared" si="30"/>
        <v>0</v>
      </c>
      <c r="D146">
        <f t="shared" si="26"/>
        <v>1</v>
      </c>
      <c r="E146">
        <f t="shared" si="31"/>
        <v>0</v>
      </c>
      <c r="F146">
        <f t="shared" si="27"/>
        <v>1</v>
      </c>
      <c r="G146">
        <f t="shared" si="28"/>
        <v>0</v>
      </c>
      <c r="H146" t="str">
        <f t="shared" si="29"/>
        <v/>
      </c>
      <c r="I146" t="str">
        <f t="shared" si="32"/>
        <v/>
      </c>
      <c r="J146" t="str">
        <f t="shared" si="33"/>
        <v xml:space="preserve">  name: Living Room</v>
      </c>
      <c r="K146" t="str">
        <f t="shared" si="34"/>
        <v>Living Room</v>
      </c>
      <c r="L146" t="str">
        <f t="shared" si="35"/>
        <v>Living Room</v>
      </c>
      <c r="M146" t="str">
        <f t="shared" si="36"/>
        <v>Living Room</v>
      </c>
      <c r="N146" t="str">
        <f t="shared" si="37"/>
        <v/>
      </c>
      <c r="O146" t="str">
        <f t="shared" si="38"/>
        <v/>
      </c>
    </row>
    <row r="147" spans="2:15" x14ac:dyDescent="0.45">
      <c r="B147" s="17" t="s">
        <v>56</v>
      </c>
      <c r="C147">
        <f t="shared" si="30"/>
        <v>0</v>
      </c>
      <c r="D147">
        <f t="shared" si="26"/>
        <v>1</v>
      </c>
      <c r="E147">
        <f t="shared" si="31"/>
        <v>0</v>
      </c>
      <c r="F147">
        <f t="shared" si="27"/>
        <v>0</v>
      </c>
      <c r="G147">
        <f t="shared" si="28"/>
        <v>0</v>
      </c>
      <c r="H147" t="str">
        <f t="shared" si="29"/>
        <v/>
      </c>
      <c r="I147" t="str">
        <f t="shared" si="32"/>
        <v/>
      </c>
      <c r="J147" t="str">
        <f t="shared" si="33"/>
        <v/>
      </c>
      <c r="K147" t="str">
        <f t="shared" si="34"/>
        <v/>
      </c>
      <c r="L147" t="str">
        <f t="shared" si="35"/>
        <v/>
      </c>
      <c r="M147" t="str">
        <f t="shared" si="36"/>
        <v>Living Room</v>
      </c>
      <c r="N147" t="str">
        <f t="shared" si="37"/>
        <v/>
      </c>
      <c r="O147" t="str">
        <f t="shared" si="38"/>
        <v/>
      </c>
    </row>
    <row r="148" spans="2:15" x14ac:dyDescent="0.45">
      <c r="B148" s="17" t="s">
        <v>549</v>
      </c>
      <c r="C148">
        <f t="shared" si="30"/>
        <v>0</v>
      </c>
      <c r="D148">
        <f t="shared" si="26"/>
        <v>0</v>
      </c>
      <c r="E148">
        <f t="shared" si="31"/>
        <v>0</v>
      </c>
      <c r="F148">
        <f t="shared" si="27"/>
        <v>0</v>
      </c>
      <c r="G148">
        <f t="shared" si="28"/>
        <v>1</v>
      </c>
      <c r="H148" t="str">
        <f t="shared" si="29"/>
        <v/>
      </c>
      <c r="I148" t="str">
        <f t="shared" si="32"/>
        <v/>
      </c>
      <c r="J148" t="str">
        <f t="shared" si="33"/>
        <v/>
      </c>
      <c r="K148" t="str">
        <f t="shared" si="34"/>
        <v/>
      </c>
      <c r="L148" t="str">
        <f t="shared" si="35"/>
        <v/>
      </c>
      <c r="M148" t="str">
        <f t="shared" si="36"/>
        <v>Living Room</v>
      </c>
      <c r="N148" t="str">
        <f t="shared" si="37"/>
        <v xml:space="preserve">    - switch.amp</v>
      </c>
      <c r="O148" t="str">
        <f t="shared" si="38"/>
        <v>switch.amp</v>
      </c>
    </row>
    <row r="149" spans="2:15" x14ac:dyDescent="0.45">
      <c r="B149" s="17"/>
      <c r="C149">
        <f t="shared" si="30"/>
        <v>1</v>
      </c>
      <c r="D149">
        <f t="shared" si="26"/>
        <v>0</v>
      </c>
      <c r="E149">
        <f t="shared" si="31"/>
        <v>0</v>
      </c>
      <c r="F149">
        <f t="shared" si="27"/>
        <v>0</v>
      </c>
      <c r="G149">
        <f t="shared" si="28"/>
        <v>0</v>
      </c>
      <c r="H149" t="str">
        <f t="shared" si="29"/>
        <v/>
      </c>
      <c r="I149" t="str">
        <f t="shared" si="32"/>
        <v/>
      </c>
      <c r="J149" t="str">
        <f t="shared" si="33"/>
        <v/>
      </c>
      <c r="K149" t="str">
        <f t="shared" si="34"/>
        <v/>
      </c>
      <c r="L149" t="str">
        <f t="shared" si="35"/>
        <v/>
      </c>
      <c r="M149" t="str">
        <f t="shared" si="36"/>
        <v>Living Room</v>
      </c>
      <c r="N149" t="str">
        <f t="shared" si="37"/>
        <v/>
      </c>
      <c r="O149" t="str">
        <f t="shared" si="38"/>
        <v/>
      </c>
    </row>
    <row r="150" spans="2:15" x14ac:dyDescent="0.45">
      <c r="B150" s="17" t="s">
        <v>550</v>
      </c>
      <c r="C150">
        <f t="shared" si="30"/>
        <v>0</v>
      </c>
      <c r="D150">
        <f t="shared" si="26"/>
        <v>0</v>
      </c>
      <c r="E150">
        <f t="shared" si="31"/>
        <v>1</v>
      </c>
      <c r="F150">
        <f t="shared" si="27"/>
        <v>0</v>
      </c>
      <c r="G150">
        <f t="shared" si="28"/>
        <v>0</v>
      </c>
      <c r="H150" t="str">
        <f t="shared" si="29"/>
        <v>livingroom_sensors:</v>
      </c>
      <c r="I150" t="str">
        <f t="shared" si="32"/>
        <v>livingroom_sensors</v>
      </c>
      <c r="J150" t="str">
        <f t="shared" si="33"/>
        <v/>
      </c>
      <c r="K150" t="str">
        <f t="shared" si="34"/>
        <v/>
      </c>
      <c r="L150" t="str">
        <f t="shared" si="35"/>
        <v/>
      </c>
      <c r="M150" t="str">
        <f t="shared" si="36"/>
        <v>Living Room</v>
      </c>
      <c r="N150" t="str">
        <f t="shared" si="37"/>
        <v/>
      </c>
      <c r="O150" t="str">
        <f t="shared" si="38"/>
        <v/>
      </c>
    </row>
    <row r="151" spans="2:15" x14ac:dyDescent="0.45">
      <c r="B151" s="17" t="s">
        <v>551</v>
      </c>
      <c r="C151">
        <f t="shared" si="30"/>
        <v>0</v>
      </c>
      <c r="D151">
        <f t="shared" si="26"/>
        <v>1</v>
      </c>
      <c r="E151">
        <f t="shared" si="31"/>
        <v>0</v>
      </c>
      <c r="F151">
        <f t="shared" si="27"/>
        <v>1</v>
      </c>
      <c r="G151">
        <f t="shared" si="28"/>
        <v>0</v>
      </c>
      <c r="H151" t="str">
        <f t="shared" si="29"/>
        <v/>
      </c>
      <c r="I151" t="str">
        <f t="shared" si="32"/>
        <v/>
      </c>
      <c r="J151" t="str">
        <f t="shared" si="33"/>
        <v xml:space="preserve">  name: Living Room Sensors</v>
      </c>
      <c r="K151" t="str">
        <f t="shared" si="34"/>
        <v>Living Room Sensors</v>
      </c>
      <c r="L151" t="str">
        <f t="shared" si="35"/>
        <v>Living Room Sensors</v>
      </c>
      <c r="M151" t="str">
        <f t="shared" si="36"/>
        <v>Living Room Sensors</v>
      </c>
      <c r="N151" t="str">
        <f t="shared" si="37"/>
        <v/>
      </c>
      <c r="O151" t="str">
        <f t="shared" si="38"/>
        <v/>
      </c>
    </row>
    <row r="152" spans="2:15" x14ac:dyDescent="0.45">
      <c r="B152" s="17" t="s">
        <v>56</v>
      </c>
      <c r="C152">
        <f t="shared" si="30"/>
        <v>0</v>
      </c>
      <c r="D152">
        <f t="shared" si="26"/>
        <v>1</v>
      </c>
      <c r="E152">
        <f t="shared" si="31"/>
        <v>0</v>
      </c>
      <c r="F152">
        <f t="shared" si="27"/>
        <v>0</v>
      </c>
      <c r="G152">
        <f t="shared" si="28"/>
        <v>0</v>
      </c>
      <c r="H152" t="str">
        <f t="shared" si="29"/>
        <v/>
      </c>
      <c r="I152" t="str">
        <f t="shared" si="32"/>
        <v/>
      </c>
      <c r="J152" t="str">
        <f t="shared" si="33"/>
        <v/>
      </c>
      <c r="K152" t="str">
        <f t="shared" si="34"/>
        <v/>
      </c>
      <c r="L152" t="str">
        <f t="shared" si="35"/>
        <v/>
      </c>
      <c r="M152" t="str">
        <f t="shared" si="36"/>
        <v>Living Room Sensors</v>
      </c>
      <c r="N152" t="str">
        <f t="shared" si="37"/>
        <v/>
      </c>
      <c r="O152" t="str">
        <f t="shared" si="38"/>
        <v/>
      </c>
    </row>
    <row r="153" spans="2:15" x14ac:dyDescent="0.45">
      <c r="B153" s="17" t="s">
        <v>552</v>
      </c>
      <c r="C153">
        <f t="shared" si="30"/>
        <v>0</v>
      </c>
      <c r="D153">
        <f t="shared" si="26"/>
        <v>0</v>
      </c>
      <c r="E153">
        <f t="shared" si="31"/>
        <v>0</v>
      </c>
      <c r="F153">
        <f t="shared" si="27"/>
        <v>0</v>
      </c>
      <c r="G153">
        <f t="shared" si="28"/>
        <v>1</v>
      </c>
      <c r="H153" t="str">
        <f t="shared" si="29"/>
        <v/>
      </c>
      <c r="I153" t="str">
        <f t="shared" si="32"/>
        <v/>
      </c>
      <c r="J153" t="str">
        <f t="shared" si="33"/>
        <v/>
      </c>
      <c r="K153" t="str">
        <f t="shared" si="34"/>
        <v/>
      </c>
      <c r="L153" t="str">
        <f t="shared" si="35"/>
        <v/>
      </c>
      <c r="M153" t="str">
        <f t="shared" si="36"/>
        <v>Living Room Sensors</v>
      </c>
      <c r="N153" t="str">
        <f t="shared" si="37"/>
        <v xml:space="preserve">    - sensor.temperature_sensor</v>
      </c>
      <c r="O153" t="str">
        <f t="shared" si="38"/>
        <v>sensor.temperature_sensor</v>
      </c>
    </row>
    <row r="154" spans="2:15" x14ac:dyDescent="0.45">
      <c r="B154" s="17" t="s">
        <v>553</v>
      </c>
      <c r="C154">
        <f t="shared" si="30"/>
        <v>0</v>
      </c>
      <c r="D154">
        <f t="shared" si="26"/>
        <v>0</v>
      </c>
      <c r="E154">
        <f t="shared" si="31"/>
        <v>0</v>
      </c>
      <c r="F154">
        <f t="shared" si="27"/>
        <v>0</v>
      </c>
      <c r="G154">
        <f t="shared" si="28"/>
        <v>1</v>
      </c>
      <c r="H154" t="str">
        <f t="shared" si="29"/>
        <v/>
      </c>
      <c r="I154" t="str">
        <f t="shared" si="32"/>
        <v/>
      </c>
      <c r="J154" t="str">
        <f t="shared" si="33"/>
        <v/>
      </c>
      <c r="K154" t="str">
        <f t="shared" si="34"/>
        <v/>
      </c>
      <c r="L154" t="str">
        <f t="shared" si="35"/>
        <v/>
      </c>
      <c r="M154" t="str">
        <f t="shared" si="36"/>
        <v>Living Room Sensors</v>
      </c>
      <c r="N154" t="str">
        <f t="shared" si="37"/>
        <v xml:space="preserve">    - binary_sensor.mutli_sensor</v>
      </c>
      <c r="O154" t="str">
        <f t="shared" si="38"/>
        <v>binary_sensor.mutli_sensor</v>
      </c>
    </row>
    <row r="155" spans="2:15" x14ac:dyDescent="0.45">
      <c r="B155" s="17" t="s">
        <v>554</v>
      </c>
      <c r="C155">
        <f t="shared" si="30"/>
        <v>0</v>
      </c>
      <c r="D155">
        <f t="shared" si="26"/>
        <v>0</v>
      </c>
      <c r="E155">
        <f t="shared" si="31"/>
        <v>0</v>
      </c>
      <c r="F155">
        <f t="shared" si="27"/>
        <v>0</v>
      </c>
      <c r="G155">
        <f t="shared" si="28"/>
        <v>1</v>
      </c>
      <c r="H155" t="str">
        <f t="shared" si="29"/>
        <v/>
      </c>
      <c r="I155" t="str">
        <f t="shared" si="32"/>
        <v/>
      </c>
      <c r="J155" t="str">
        <f t="shared" si="33"/>
        <v/>
      </c>
      <c r="K155" t="str">
        <f t="shared" si="34"/>
        <v/>
      </c>
      <c r="L155" t="str">
        <f t="shared" si="35"/>
        <v/>
      </c>
      <c r="M155" t="str">
        <f t="shared" si="36"/>
        <v>Living Room Sensors</v>
      </c>
      <c r="N155" t="str">
        <f t="shared" si="37"/>
        <v xml:space="preserve">    - sensor.light_sensor</v>
      </c>
      <c r="O155" t="str">
        <f t="shared" si="38"/>
        <v>sensor.light_sensor</v>
      </c>
    </row>
    <row r="156" spans="2:15" x14ac:dyDescent="0.45">
      <c r="B156" s="17" t="s">
        <v>555</v>
      </c>
      <c r="C156">
        <f t="shared" si="30"/>
        <v>0</v>
      </c>
      <c r="D156">
        <f t="shared" si="26"/>
        <v>0</v>
      </c>
      <c r="E156">
        <f t="shared" si="31"/>
        <v>0</v>
      </c>
      <c r="F156">
        <f t="shared" si="27"/>
        <v>0</v>
      </c>
      <c r="G156">
        <f t="shared" si="28"/>
        <v>1</v>
      </c>
      <c r="H156" t="str">
        <f t="shared" si="29"/>
        <v/>
      </c>
      <c r="I156" t="str">
        <f t="shared" si="32"/>
        <v/>
      </c>
      <c r="J156" t="str">
        <f t="shared" si="33"/>
        <v/>
      </c>
      <c r="K156" t="str">
        <f t="shared" si="34"/>
        <v/>
      </c>
      <c r="L156" t="str">
        <f t="shared" si="35"/>
        <v/>
      </c>
      <c r="M156" t="str">
        <f t="shared" si="36"/>
        <v>Living Room Sensors</v>
      </c>
      <c r="N156" t="str">
        <f t="shared" si="37"/>
        <v xml:space="preserve">    - sensor.humidity_sensor</v>
      </c>
      <c r="O156" t="str">
        <f t="shared" si="38"/>
        <v>sensor.humidity_sensor</v>
      </c>
    </row>
    <row r="157" spans="2:15" x14ac:dyDescent="0.45">
      <c r="B157" s="17" t="s">
        <v>556</v>
      </c>
      <c r="C157">
        <f t="shared" si="30"/>
        <v>0</v>
      </c>
      <c r="D157">
        <f t="shared" si="26"/>
        <v>0</v>
      </c>
      <c r="E157">
        <f t="shared" si="31"/>
        <v>0</v>
      </c>
      <c r="F157">
        <f t="shared" si="27"/>
        <v>0</v>
      </c>
      <c r="G157">
        <f t="shared" si="28"/>
        <v>1</v>
      </c>
      <c r="H157" t="str">
        <f t="shared" si="29"/>
        <v/>
      </c>
      <c r="I157" t="str">
        <f t="shared" si="32"/>
        <v/>
      </c>
      <c r="J157" t="str">
        <f t="shared" si="33"/>
        <v/>
      </c>
      <c r="K157" t="str">
        <f t="shared" si="34"/>
        <v/>
      </c>
      <c r="L157" t="str">
        <f t="shared" si="35"/>
        <v/>
      </c>
      <c r="M157" t="str">
        <f t="shared" si="36"/>
        <v>Living Room Sensors</v>
      </c>
      <c r="N157" t="str">
        <f t="shared" si="37"/>
        <v xml:space="preserve">    - switch.mutli_sensor</v>
      </c>
      <c r="O157" t="str">
        <f t="shared" si="38"/>
        <v>switch.mutli_sensor</v>
      </c>
    </row>
    <row r="158" spans="2:15" x14ac:dyDescent="0.45">
      <c r="B158" s="17" t="s">
        <v>557</v>
      </c>
      <c r="C158">
        <f t="shared" si="30"/>
        <v>0</v>
      </c>
      <c r="D158">
        <f t="shared" si="26"/>
        <v>0</v>
      </c>
      <c r="E158">
        <f t="shared" si="31"/>
        <v>0</v>
      </c>
      <c r="F158">
        <f t="shared" si="27"/>
        <v>0</v>
      </c>
      <c r="G158">
        <f t="shared" si="28"/>
        <v>1</v>
      </c>
      <c r="H158" t="str">
        <f t="shared" si="29"/>
        <v/>
      </c>
      <c r="I158" t="str">
        <f t="shared" si="32"/>
        <v/>
      </c>
      <c r="J158" t="str">
        <f t="shared" si="33"/>
        <v/>
      </c>
      <c r="K158" t="str">
        <f t="shared" si="34"/>
        <v/>
      </c>
      <c r="L158" t="str">
        <f t="shared" si="35"/>
        <v/>
      </c>
      <c r="M158" t="str">
        <f t="shared" si="36"/>
        <v>Living Room Sensors</v>
      </c>
      <c r="N158" t="str">
        <f t="shared" si="37"/>
        <v xml:space="preserve">    - sensor.batt_multi_sensor</v>
      </c>
      <c r="O158" t="str">
        <f t="shared" si="38"/>
        <v>sensor.batt_multi_sensor</v>
      </c>
    </row>
    <row r="159" spans="2:15" x14ac:dyDescent="0.45">
      <c r="B159" s="17"/>
      <c r="C159">
        <f t="shared" si="30"/>
        <v>1</v>
      </c>
      <c r="D159">
        <f t="shared" si="26"/>
        <v>0</v>
      </c>
      <c r="E159">
        <f t="shared" si="31"/>
        <v>0</v>
      </c>
      <c r="F159">
        <f t="shared" si="27"/>
        <v>0</v>
      </c>
      <c r="G159">
        <f t="shared" si="28"/>
        <v>0</v>
      </c>
      <c r="H159" t="str">
        <f t="shared" si="29"/>
        <v/>
      </c>
      <c r="I159" t="str">
        <f t="shared" si="32"/>
        <v/>
      </c>
      <c r="J159" t="str">
        <f t="shared" si="33"/>
        <v/>
      </c>
      <c r="K159" t="str">
        <f t="shared" si="34"/>
        <v/>
      </c>
      <c r="L159" t="str">
        <f t="shared" si="35"/>
        <v/>
      </c>
      <c r="M159" t="str">
        <f t="shared" si="36"/>
        <v>Living Room Sensors</v>
      </c>
      <c r="N159" t="str">
        <f t="shared" si="37"/>
        <v/>
      </c>
      <c r="O159" t="str">
        <f t="shared" si="38"/>
        <v/>
      </c>
    </row>
    <row r="160" spans="2:15" x14ac:dyDescent="0.45">
      <c r="B160" s="17" t="s">
        <v>558</v>
      </c>
      <c r="C160">
        <f t="shared" si="30"/>
        <v>0</v>
      </c>
      <c r="D160">
        <f t="shared" si="26"/>
        <v>0</v>
      </c>
      <c r="E160">
        <f t="shared" si="31"/>
        <v>0</v>
      </c>
      <c r="F160">
        <f t="shared" si="27"/>
        <v>0</v>
      </c>
      <c r="G160">
        <f t="shared" si="28"/>
        <v>0</v>
      </c>
      <c r="H160" t="str">
        <f t="shared" si="29"/>
        <v/>
      </c>
      <c r="I160" t="str">
        <f t="shared" si="32"/>
        <v/>
      </c>
      <c r="J160" t="str">
        <f t="shared" si="33"/>
        <v/>
      </c>
      <c r="K160" t="str">
        <f t="shared" si="34"/>
        <v/>
      </c>
      <c r="L160" t="str">
        <f t="shared" si="35"/>
        <v/>
      </c>
      <c r="M160" t="str">
        <f t="shared" si="36"/>
        <v>Living Room Sensors</v>
      </c>
      <c r="N160" t="str">
        <f t="shared" si="37"/>
        <v/>
      </c>
      <c r="O160" t="str">
        <f t="shared" si="38"/>
        <v/>
      </c>
    </row>
    <row r="161" spans="2:15" x14ac:dyDescent="0.45">
      <c r="B161" s="17"/>
      <c r="C161">
        <f t="shared" si="30"/>
        <v>1</v>
      </c>
      <c r="D161">
        <f t="shared" si="26"/>
        <v>0</v>
      </c>
      <c r="E161">
        <f t="shared" si="31"/>
        <v>0</v>
      </c>
      <c r="F161">
        <f t="shared" si="27"/>
        <v>0</v>
      </c>
      <c r="G161">
        <f t="shared" si="28"/>
        <v>0</v>
      </c>
      <c r="H161" t="str">
        <f t="shared" si="29"/>
        <v/>
      </c>
      <c r="I161" t="str">
        <f t="shared" si="32"/>
        <v/>
      </c>
      <c r="J161" t="str">
        <f t="shared" si="33"/>
        <v/>
      </c>
      <c r="K161" t="str">
        <f t="shared" si="34"/>
        <v/>
      </c>
      <c r="L161" t="str">
        <f t="shared" si="35"/>
        <v/>
      </c>
      <c r="M161" t="str">
        <f t="shared" si="36"/>
        <v>Living Room Sensors</v>
      </c>
      <c r="N161" t="str">
        <f t="shared" si="37"/>
        <v/>
      </c>
      <c r="O161" t="str">
        <f t="shared" si="38"/>
        <v/>
      </c>
    </row>
    <row r="162" spans="2:15" x14ac:dyDescent="0.45">
      <c r="B162" s="17" t="s">
        <v>559</v>
      </c>
      <c r="C162">
        <f t="shared" si="30"/>
        <v>0</v>
      </c>
      <c r="D162">
        <f t="shared" si="26"/>
        <v>0</v>
      </c>
      <c r="E162">
        <f t="shared" si="31"/>
        <v>1</v>
      </c>
      <c r="F162">
        <f t="shared" si="27"/>
        <v>0</v>
      </c>
      <c r="G162">
        <f t="shared" si="28"/>
        <v>0</v>
      </c>
      <c r="H162" t="str">
        <f t="shared" si="29"/>
        <v>status:</v>
      </c>
      <c r="I162" t="str">
        <f t="shared" si="32"/>
        <v>status</v>
      </c>
      <c r="J162" t="str">
        <f t="shared" si="33"/>
        <v/>
      </c>
      <c r="K162" t="str">
        <f t="shared" si="34"/>
        <v/>
      </c>
      <c r="L162" t="str">
        <f t="shared" si="35"/>
        <v/>
      </c>
      <c r="M162" t="str">
        <f t="shared" si="36"/>
        <v>Living Room Sensors</v>
      </c>
      <c r="N162" t="str">
        <f t="shared" si="37"/>
        <v/>
      </c>
      <c r="O162" t="str">
        <f t="shared" si="38"/>
        <v/>
      </c>
    </row>
    <row r="163" spans="2:15" x14ac:dyDescent="0.45">
      <c r="B163" s="17" t="s">
        <v>560</v>
      </c>
      <c r="C163">
        <f t="shared" si="30"/>
        <v>0</v>
      </c>
      <c r="D163">
        <f t="shared" si="26"/>
        <v>1</v>
      </c>
      <c r="E163">
        <f t="shared" si="31"/>
        <v>0</v>
      </c>
      <c r="F163">
        <f t="shared" si="27"/>
        <v>1</v>
      </c>
      <c r="G163">
        <f t="shared" si="28"/>
        <v>0</v>
      </c>
      <c r="H163" t="str">
        <f t="shared" si="29"/>
        <v/>
      </c>
      <c r="I163" t="str">
        <f t="shared" si="32"/>
        <v/>
      </c>
      <c r="J163" t="str">
        <f t="shared" si="33"/>
        <v xml:space="preserve">  name: Status</v>
      </c>
      <c r="K163" t="str">
        <f t="shared" si="34"/>
        <v>Status</v>
      </c>
      <c r="L163" t="str">
        <f t="shared" si="35"/>
        <v>Status</v>
      </c>
      <c r="M163" t="str">
        <f t="shared" si="36"/>
        <v>Status</v>
      </c>
      <c r="N163" t="str">
        <f t="shared" si="37"/>
        <v/>
      </c>
      <c r="O163" t="str">
        <f t="shared" si="38"/>
        <v/>
      </c>
    </row>
    <row r="164" spans="2:15" x14ac:dyDescent="0.45">
      <c r="B164" s="17" t="s">
        <v>56</v>
      </c>
      <c r="C164">
        <f t="shared" si="30"/>
        <v>0</v>
      </c>
      <c r="D164">
        <f t="shared" si="26"/>
        <v>1</v>
      </c>
      <c r="E164">
        <f t="shared" si="31"/>
        <v>0</v>
      </c>
      <c r="F164">
        <f t="shared" si="27"/>
        <v>0</v>
      </c>
      <c r="G164">
        <f t="shared" si="28"/>
        <v>0</v>
      </c>
      <c r="H164" t="str">
        <f t="shared" si="29"/>
        <v/>
      </c>
      <c r="I164" t="str">
        <f t="shared" si="32"/>
        <v/>
      </c>
      <c r="J164" t="str">
        <f t="shared" si="33"/>
        <v/>
      </c>
      <c r="K164" t="str">
        <f t="shared" si="34"/>
        <v/>
      </c>
      <c r="L164" t="str">
        <f t="shared" si="35"/>
        <v/>
      </c>
      <c r="M164" t="str">
        <f t="shared" si="36"/>
        <v>Status</v>
      </c>
      <c r="N164" t="str">
        <f t="shared" si="37"/>
        <v/>
      </c>
      <c r="O164" t="str">
        <f t="shared" si="38"/>
        <v/>
      </c>
    </row>
    <row r="165" spans="2:15" x14ac:dyDescent="0.45">
      <c r="B165" s="17" t="s">
        <v>561</v>
      </c>
      <c r="C165">
        <f t="shared" si="30"/>
        <v>0</v>
      </c>
      <c r="D165">
        <f t="shared" si="26"/>
        <v>0</v>
      </c>
      <c r="E165">
        <f t="shared" si="31"/>
        <v>0</v>
      </c>
      <c r="F165">
        <f t="shared" si="27"/>
        <v>0</v>
      </c>
      <c r="G165">
        <f t="shared" si="28"/>
        <v>1</v>
      </c>
      <c r="H165" t="str">
        <f t="shared" si="29"/>
        <v/>
      </c>
      <c r="I165" t="str">
        <f t="shared" si="32"/>
        <v/>
      </c>
      <c r="J165" t="str">
        <f t="shared" si="33"/>
        <v/>
      </c>
      <c r="K165" t="str">
        <f t="shared" si="34"/>
        <v/>
      </c>
      <c r="L165" t="str">
        <f t="shared" si="35"/>
        <v/>
      </c>
      <c r="M165" t="str">
        <f t="shared" si="36"/>
        <v>Status</v>
      </c>
      <c r="N165" t="str">
        <f t="shared" si="37"/>
        <v xml:space="preserve">    - input_select.ron_status</v>
      </c>
      <c r="O165" t="str">
        <f t="shared" si="38"/>
        <v>input_select.ron_status</v>
      </c>
    </row>
    <row r="166" spans="2:15" x14ac:dyDescent="0.45">
      <c r="B166" s="17" t="s">
        <v>562</v>
      </c>
      <c r="C166">
        <f t="shared" si="30"/>
        <v>0</v>
      </c>
      <c r="D166">
        <f t="shared" si="26"/>
        <v>0</v>
      </c>
      <c r="E166">
        <f t="shared" si="31"/>
        <v>0</v>
      </c>
      <c r="F166">
        <f t="shared" si="27"/>
        <v>0</v>
      </c>
      <c r="G166">
        <f t="shared" si="28"/>
        <v>1</v>
      </c>
      <c r="H166" t="str">
        <f t="shared" si="29"/>
        <v/>
      </c>
      <c r="I166" t="str">
        <f t="shared" si="32"/>
        <v/>
      </c>
      <c r="J166" t="str">
        <f t="shared" si="33"/>
        <v/>
      </c>
      <c r="K166" t="str">
        <f t="shared" si="34"/>
        <v/>
      </c>
      <c r="L166" t="str">
        <f t="shared" si="35"/>
        <v/>
      </c>
      <c r="M166" t="str">
        <f t="shared" si="36"/>
        <v>Status</v>
      </c>
      <c r="N166" t="str">
        <f t="shared" si="37"/>
        <v xml:space="preserve">    - input_boolean.friend_visiting</v>
      </c>
      <c r="O166" t="str">
        <f t="shared" si="38"/>
        <v>input_boolean.friend_visiting</v>
      </c>
    </row>
    <row r="167" spans="2:15" x14ac:dyDescent="0.45">
      <c r="B167" s="17" t="s">
        <v>563</v>
      </c>
      <c r="C167">
        <f t="shared" si="30"/>
        <v>0</v>
      </c>
      <c r="D167">
        <f t="shared" si="26"/>
        <v>0</v>
      </c>
      <c r="E167">
        <f t="shared" si="31"/>
        <v>0</v>
      </c>
      <c r="F167">
        <f t="shared" si="27"/>
        <v>0</v>
      </c>
      <c r="G167">
        <f t="shared" si="28"/>
        <v>1</v>
      </c>
      <c r="H167" t="str">
        <f t="shared" si="29"/>
        <v/>
      </c>
      <c r="I167" t="str">
        <f t="shared" si="32"/>
        <v/>
      </c>
      <c r="J167" t="str">
        <f t="shared" si="33"/>
        <v/>
      </c>
      <c r="K167" t="str">
        <f t="shared" si="34"/>
        <v/>
      </c>
      <c r="L167" t="str">
        <f t="shared" si="35"/>
        <v/>
      </c>
      <c r="M167" t="str">
        <f t="shared" si="36"/>
        <v>Status</v>
      </c>
      <c r="N167" t="str">
        <f t="shared" si="37"/>
        <v xml:space="preserve">    - input_boolean.vacation_mode</v>
      </c>
      <c r="O167" t="str">
        <f t="shared" si="38"/>
        <v>input_boolean.vacation_mode</v>
      </c>
    </row>
    <row r="168" spans="2:15" x14ac:dyDescent="0.45">
      <c r="B168" s="17"/>
      <c r="C168">
        <f t="shared" si="30"/>
        <v>1</v>
      </c>
      <c r="D168">
        <f t="shared" si="26"/>
        <v>0</v>
      </c>
      <c r="E168">
        <f t="shared" si="31"/>
        <v>0</v>
      </c>
      <c r="F168">
        <f t="shared" si="27"/>
        <v>0</v>
      </c>
      <c r="G168">
        <f t="shared" si="28"/>
        <v>0</v>
      </c>
      <c r="H168" t="str">
        <f t="shared" si="29"/>
        <v/>
      </c>
      <c r="I168" t="str">
        <f t="shared" si="32"/>
        <v/>
      </c>
      <c r="J168" t="str">
        <f t="shared" si="33"/>
        <v/>
      </c>
      <c r="K168" t="str">
        <f t="shared" si="34"/>
        <v/>
      </c>
      <c r="L168" t="str">
        <f t="shared" si="35"/>
        <v/>
      </c>
      <c r="M168" t="str">
        <f t="shared" si="36"/>
        <v>Status</v>
      </c>
      <c r="N168" t="str">
        <f t="shared" si="37"/>
        <v/>
      </c>
      <c r="O168" t="str">
        <f t="shared" si="38"/>
        <v/>
      </c>
    </row>
    <row r="169" spans="2:15" x14ac:dyDescent="0.45">
      <c r="B169" s="17" t="s">
        <v>564</v>
      </c>
      <c r="C169">
        <f t="shared" si="30"/>
        <v>0</v>
      </c>
      <c r="D169">
        <f t="shared" si="26"/>
        <v>0</v>
      </c>
      <c r="E169">
        <f t="shared" si="31"/>
        <v>1</v>
      </c>
      <c r="F169">
        <f t="shared" si="27"/>
        <v>0</v>
      </c>
      <c r="G169">
        <f t="shared" si="28"/>
        <v>0</v>
      </c>
      <c r="H169" t="str">
        <f t="shared" si="29"/>
        <v>network:</v>
      </c>
      <c r="I169" t="str">
        <f t="shared" si="32"/>
        <v>network</v>
      </c>
      <c r="J169" t="str">
        <f t="shared" si="33"/>
        <v/>
      </c>
      <c r="K169" t="str">
        <f t="shared" si="34"/>
        <v/>
      </c>
      <c r="L169" t="str">
        <f t="shared" si="35"/>
        <v/>
      </c>
      <c r="M169" t="str">
        <f t="shared" si="36"/>
        <v>Status</v>
      </c>
      <c r="N169" t="str">
        <f t="shared" si="37"/>
        <v/>
      </c>
      <c r="O169" t="str">
        <f t="shared" si="38"/>
        <v/>
      </c>
    </row>
    <row r="170" spans="2:15" x14ac:dyDescent="0.45">
      <c r="B170" s="17" t="s">
        <v>440</v>
      </c>
      <c r="C170">
        <f t="shared" si="30"/>
        <v>0</v>
      </c>
      <c r="D170">
        <f t="shared" si="26"/>
        <v>1</v>
      </c>
      <c r="E170">
        <f t="shared" si="31"/>
        <v>0</v>
      </c>
      <c r="F170">
        <f t="shared" si="27"/>
        <v>1</v>
      </c>
      <c r="G170">
        <f t="shared" si="28"/>
        <v>0</v>
      </c>
      <c r="H170" t="str">
        <f t="shared" si="29"/>
        <v/>
      </c>
      <c r="I170" t="str">
        <f t="shared" si="32"/>
        <v/>
      </c>
      <c r="J170" t="str">
        <f t="shared" si="33"/>
        <v xml:space="preserve">  name: Network</v>
      </c>
      <c r="K170" t="str">
        <f t="shared" si="34"/>
        <v>Network</v>
      </c>
      <c r="L170" t="str">
        <f t="shared" si="35"/>
        <v>Network</v>
      </c>
      <c r="M170" t="str">
        <f t="shared" si="36"/>
        <v>Network</v>
      </c>
      <c r="N170" t="str">
        <f t="shared" si="37"/>
        <v/>
      </c>
      <c r="O170" t="str">
        <f t="shared" si="38"/>
        <v/>
      </c>
    </row>
    <row r="171" spans="2:15" x14ac:dyDescent="0.45">
      <c r="B171" s="17" t="s">
        <v>56</v>
      </c>
      <c r="C171">
        <f t="shared" si="30"/>
        <v>0</v>
      </c>
      <c r="D171">
        <f t="shared" si="26"/>
        <v>1</v>
      </c>
      <c r="E171">
        <f t="shared" si="31"/>
        <v>0</v>
      </c>
      <c r="F171">
        <f t="shared" si="27"/>
        <v>0</v>
      </c>
      <c r="G171">
        <f t="shared" si="28"/>
        <v>0</v>
      </c>
      <c r="H171" t="str">
        <f t="shared" si="29"/>
        <v/>
      </c>
      <c r="I171" t="str">
        <f t="shared" si="32"/>
        <v/>
      </c>
      <c r="J171" t="str">
        <f t="shared" si="33"/>
        <v/>
      </c>
      <c r="K171" t="str">
        <f t="shared" si="34"/>
        <v/>
      </c>
      <c r="L171" t="str">
        <f t="shared" si="35"/>
        <v/>
      </c>
      <c r="M171" t="str">
        <f t="shared" si="36"/>
        <v>Network</v>
      </c>
      <c r="N171" t="str">
        <f t="shared" si="37"/>
        <v/>
      </c>
      <c r="O171" t="str">
        <f t="shared" si="38"/>
        <v/>
      </c>
    </row>
    <row r="172" spans="2:15" x14ac:dyDescent="0.45">
      <c r="B172" s="17" t="s">
        <v>565</v>
      </c>
      <c r="C172">
        <f t="shared" si="30"/>
        <v>0</v>
      </c>
      <c r="D172">
        <f t="shared" si="26"/>
        <v>0</v>
      </c>
      <c r="E172">
        <f t="shared" si="31"/>
        <v>0</v>
      </c>
      <c r="F172">
        <f t="shared" si="27"/>
        <v>0</v>
      </c>
      <c r="G172">
        <f t="shared" si="28"/>
        <v>1</v>
      </c>
      <c r="H172" t="str">
        <f t="shared" si="29"/>
        <v/>
      </c>
      <c r="I172" t="str">
        <f t="shared" si="32"/>
        <v/>
      </c>
      <c r="J172" t="str">
        <f t="shared" si="33"/>
        <v/>
      </c>
      <c r="K172" t="str">
        <f t="shared" si="34"/>
        <v/>
      </c>
      <c r="L172" t="str">
        <f t="shared" si="35"/>
        <v/>
      </c>
      <c r="M172" t="str">
        <f t="shared" si="36"/>
        <v>Network</v>
      </c>
      <c r="N172" t="str">
        <f t="shared" si="37"/>
        <v xml:space="preserve">    - sensor.speedtest_download</v>
      </c>
      <c r="O172" t="str">
        <f t="shared" si="38"/>
        <v>sensor.speedtest_download</v>
      </c>
    </row>
    <row r="173" spans="2:15" x14ac:dyDescent="0.45">
      <c r="B173" s="17" t="s">
        <v>566</v>
      </c>
      <c r="C173">
        <f t="shared" si="30"/>
        <v>0</v>
      </c>
      <c r="D173">
        <f t="shared" si="26"/>
        <v>0</v>
      </c>
      <c r="E173">
        <f t="shared" si="31"/>
        <v>0</v>
      </c>
      <c r="F173">
        <f t="shared" si="27"/>
        <v>0</v>
      </c>
      <c r="G173">
        <f t="shared" si="28"/>
        <v>1</v>
      </c>
      <c r="H173" t="str">
        <f t="shared" si="29"/>
        <v/>
      </c>
      <c r="I173" t="str">
        <f t="shared" si="32"/>
        <v/>
      </c>
      <c r="J173" t="str">
        <f t="shared" si="33"/>
        <v/>
      </c>
      <c r="K173" t="str">
        <f t="shared" si="34"/>
        <v/>
      </c>
      <c r="L173" t="str">
        <f t="shared" si="35"/>
        <v/>
      </c>
      <c r="M173" t="str">
        <f t="shared" si="36"/>
        <v>Network</v>
      </c>
      <c r="N173" t="str">
        <f t="shared" si="37"/>
        <v xml:space="preserve">    - sensor.speedtest_upload</v>
      </c>
      <c r="O173" t="str">
        <f t="shared" si="38"/>
        <v>sensor.speedtest_upload</v>
      </c>
    </row>
    <row r="174" spans="2:15" x14ac:dyDescent="0.45">
      <c r="B174" s="17" t="s">
        <v>567</v>
      </c>
      <c r="C174">
        <f t="shared" si="30"/>
        <v>0</v>
      </c>
      <c r="D174">
        <f t="shared" si="26"/>
        <v>0</v>
      </c>
      <c r="E174">
        <f t="shared" si="31"/>
        <v>0</v>
      </c>
      <c r="F174">
        <f t="shared" si="27"/>
        <v>0</v>
      </c>
      <c r="G174">
        <f t="shared" si="28"/>
        <v>1</v>
      </c>
      <c r="H174" t="str">
        <f t="shared" si="29"/>
        <v/>
      </c>
      <c r="I174" t="str">
        <f t="shared" si="32"/>
        <v/>
      </c>
      <c r="J174" t="str">
        <f t="shared" si="33"/>
        <v/>
      </c>
      <c r="K174" t="str">
        <f t="shared" si="34"/>
        <v/>
      </c>
      <c r="L174" t="str">
        <f t="shared" si="35"/>
        <v/>
      </c>
      <c r="M174" t="str">
        <f t="shared" si="36"/>
        <v>Network</v>
      </c>
      <c r="N174" t="str">
        <f t="shared" si="37"/>
        <v xml:space="preserve">    - sensor.speedtest_ping</v>
      </c>
      <c r="O174" t="str">
        <f t="shared" si="38"/>
        <v>sensor.speedtest_ping</v>
      </c>
    </row>
    <row r="175" spans="2:15" x14ac:dyDescent="0.45">
      <c r="B175" s="17" t="s">
        <v>568</v>
      </c>
      <c r="C175">
        <f t="shared" si="30"/>
        <v>0</v>
      </c>
      <c r="D175">
        <f t="shared" si="26"/>
        <v>0</v>
      </c>
      <c r="E175">
        <f t="shared" si="31"/>
        <v>0</v>
      </c>
      <c r="F175">
        <f t="shared" si="27"/>
        <v>0</v>
      </c>
      <c r="G175">
        <f t="shared" si="28"/>
        <v>1</v>
      </c>
      <c r="H175" t="str">
        <f t="shared" si="29"/>
        <v/>
      </c>
      <c r="I175" t="str">
        <f t="shared" si="32"/>
        <v/>
      </c>
      <c r="J175" t="str">
        <f t="shared" si="33"/>
        <v/>
      </c>
      <c r="K175" t="str">
        <f t="shared" si="34"/>
        <v/>
      </c>
      <c r="L175" t="str">
        <f t="shared" si="35"/>
        <v/>
      </c>
      <c r="M175" t="str">
        <f t="shared" si="36"/>
        <v>Network</v>
      </c>
      <c r="N175" t="str">
        <f t="shared" si="37"/>
        <v xml:space="preserve">    - sensor.sabnzbd_status</v>
      </c>
      <c r="O175" t="str">
        <f t="shared" si="38"/>
        <v>sensor.sabnzbd_status</v>
      </c>
    </row>
    <row r="176" spans="2:15" x14ac:dyDescent="0.45">
      <c r="B176" s="17" t="s">
        <v>569</v>
      </c>
      <c r="C176">
        <f t="shared" si="30"/>
        <v>0</v>
      </c>
      <c r="D176">
        <f t="shared" si="26"/>
        <v>0</v>
      </c>
      <c r="E176">
        <f t="shared" si="31"/>
        <v>0</v>
      </c>
      <c r="F176">
        <f t="shared" si="27"/>
        <v>0</v>
      </c>
      <c r="G176">
        <f t="shared" si="28"/>
        <v>1</v>
      </c>
      <c r="H176" t="str">
        <f t="shared" si="29"/>
        <v/>
      </c>
      <c r="I176" t="str">
        <f t="shared" si="32"/>
        <v/>
      </c>
      <c r="J176" t="str">
        <f t="shared" si="33"/>
        <v/>
      </c>
      <c r="K176" t="str">
        <f t="shared" si="34"/>
        <v/>
      </c>
      <c r="L176" t="str">
        <f t="shared" si="35"/>
        <v/>
      </c>
      <c r="M176" t="str">
        <f t="shared" si="36"/>
        <v>Network</v>
      </c>
      <c r="N176" t="str">
        <f t="shared" si="37"/>
        <v xml:space="preserve">    - sensor.sabnzbd_speed</v>
      </c>
      <c r="O176" t="str">
        <f t="shared" si="38"/>
        <v>sensor.sabnzbd_speed</v>
      </c>
    </row>
    <row r="177" spans="2:15" x14ac:dyDescent="0.45">
      <c r="B177" s="17" t="s">
        <v>570</v>
      </c>
      <c r="C177">
        <f t="shared" si="30"/>
        <v>0</v>
      </c>
      <c r="D177">
        <f t="shared" si="26"/>
        <v>0</v>
      </c>
      <c r="E177">
        <f t="shared" si="31"/>
        <v>0</v>
      </c>
      <c r="F177">
        <f t="shared" si="27"/>
        <v>0</v>
      </c>
      <c r="G177">
        <f t="shared" si="28"/>
        <v>1</v>
      </c>
      <c r="H177" t="str">
        <f t="shared" si="29"/>
        <v/>
      </c>
      <c r="I177" t="str">
        <f t="shared" si="32"/>
        <v/>
      </c>
      <c r="J177" t="str">
        <f t="shared" si="33"/>
        <v/>
      </c>
      <c r="K177" t="str">
        <f t="shared" si="34"/>
        <v/>
      </c>
      <c r="L177" t="str">
        <f t="shared" si="35"/>
        <v/>
      </c>
      <c r="M177" t="str">
        <f t="shared" si="36"/>
        <v>Network</v>
      </c>
      <c r="N177" t="str">
        <f t="shared" si="37"/>
        <v xml:space="preserve">    - sensor.plex</v>
      </c>
      <c r="O177" t="str">
        <f t="shared" si="38"/>
        <v>sensor.plex</v>
      </c>
    </row>
    <row r="178" spans="2:15" x14ac:dyDescent="0.45">
      <c r="B178" s="17"/>
      <c r="C178">
        <f t="shared" si="30"/>
        <v>1</v>
      </c>
      <c r="D178">
        <f t="shared" si="26"/>
        <v>0</v>
      </c>
      <c r="E178">
        <f t="shared" si="31"/>
        <v>0</v>
      </c>
      <c r="F178">
        <f t="shared" si="27"/>
        <v>0</v>
      </c>
      <c r="G178">
        <f t="shared" si="28"/>
        <v>0</v>
      </c>
      <c r="H178" t="str">
        <f t="shared" si="29"/>
        <v/>
      </c>
      <c r="I178" t="str">
        <f t="shared" si="32"/>
        <v/>
      </c>
      <c r="J178" t="str">
        <f t="shared" si="33"/>
        <v/>
      </c>
      <c r="K178" t="str">
        <f t="shared" si="34"/>
        <v/>
      </c>
      <c r="L178" t="str">
        <f t="shared" si="35"/>
        <v/>
      </c>
      <c r="M178" t="str">
        <f t="shared" si="36"/>
        <v>Network</v>
      </c>
      <c r="N178" t="str">
        <f t="shared" si="37"/>
        <v/>
      </c>
      <c r="O178" t="str">
        <f t="shared" si="38"/>
        <v/>
      </c>
    </row>
    <row r="179" spans="2:15" x14ac:dyDescent="0.45">
      <c r="B179" s="17" t="s">
        <v>571</v>
      </c>
      <c r="C179">
        <f t="shared" si="30"/>
        <v>0</v>
      </c>
      <c r="D179">
        <f t="shared" si="26"/>
        <v>0</v>
      </c>
      <c r="E179">
        <f t="shared" si="31"/>
        <v>1</v>
      </c>
      <c r="F179">
        <f t="shared" si="27"/>
        <v>0</v>
      </c>
      <c r="G179">
        <f t="shared" si="28"/>
        <v>0</v>
      </c>
      <c r="H179" t="str">
        <f t="shared" si="29"/>
        <v>phones:</v>
      </c>
      <c r="I179" t="str">
        <f t="shared" si="32"/>
        <v>phones</v>
      </c>
      <c r="J179" t="str">
        <f t="shared" si="33"/>
        <v/>
      </c>
      <c r="K179" t="str">
        <f t="shared" si="34"/>
        <v/>
      </c>
      <c r="L179" t="str">
        <f t="shared" si="35"/>
        <v/>
      </c>
      <c r="M179" t="str">
        <f t="shared" si="36"/>
        <v>Network</v>
      </c>
      <c r="N179" t="str">
        <f t="shared" si="37"/>
        <v/>
      </c>
      <c r="O179" t="str">
        <f t="shared" si="38"/>
        <v/>
      </c>
    </row>
    <row r="180" spans="2:15" x14ac:dyDescent="0.45">
      <c r="B180" s="17" t="s">
        <v>572</v>
      </c>
      <c r="C180">
        <f t="shared" si="30"/>
        <v>0</v>
      </c>
      <c r="D180">
        <f t="shared" si="26"/>
        <v>1</v>
      </c>
      <c r="E180">
        <f t="shared" si="31"/>
        <v>0</v>
      </c>
      <c r="F180">
        <f t="shared" si="27"/>
        <v>1</v>
      </c>
      <c r="G180">
        <f t="shared" si="28"/>
        <v>0</v>
      </c>
      <c r="H180" t="str">
        <f t="shared" si="29"/>
        <v/>
      </c>
      <c r="I180" t="str">
        <f t="shared" si="32"/>
        <v/>
      </c>
      <c r="J180" t="str">
        <f t="shared" si="33"/>
        <v xml:space="preserve">  name: Phones</v>
      </c>
      <c r="K180" t="str">
        <f t="shared" si="34"/>
        <v>Phones</v>
      </c>
      <c r="L180" t="str">
        <f t="shared" si="35"/>
        <v>Phones</v>
      </c>
      <c r="M180" t="str">
        <f t="shared" si="36"/>
        <v>Phones</v>
      </c>
      <c r="N180" t="str">
        <f t="shared" si="37"/>
        <v/>
      </c>
      <c r="O180" t="str">
        <f t="shared" si="38"/>
        <v/>
      </c>
    </row>
    <row r="181" spans="2:15" x14ac:dyDescent="0.45">
      <c r="B181" s="17" t="s">
        <v>56</v>
      </c>
      <c r="C181">
        <f t="shared" si="30"/>
        <v>0</v>
      </c>
      <c r="D181">
        <f t="shared" si="26"/>
        <v>1</v>
      </c>
      <c r="E181">
        <f t="shared" si="31"/>
        <v>0</v>
      </c>
      <c r="F181">
        <f t="shared" si="27"/>
        <v>0</v>
      </c>
      <c r="G181">
        <f t="shared" si="28"/>
        <v>0</v>
      </c>
      <c r="H181" t="str">
        <f t="shared" si="29"/>
        <v/>
      </c>
      <c r="I181" t="str">
        <f t="shared" si="32"/>
        <v/>
      </c>
      <c r="J181" t="str">
        <f t="shared" si="33"/>
        <v/>
      </c>
      <c r="K181" t="str">
        <f t="shared" si="34"/>
        <v/>
      </c>
      <c r="L181" t="str">
        <f t="shared" si="35"/>
        <v/>
      </c>
      <c r="M181" t="str">
        <f t="shared" si="36"/>
        <v>Phones</v>
      </c>
      <c r="N181" t="str">
        <f t="shared" si="37"/>
        <v/>
      </c>
      <c r="O181" t="str">
        <f t="shared" si="38"/>
        <v/>
      </c>
    </row>
    <row r="182" spans="2:15" x14ac:dyDescent="0.45">
      <c r="B182" s="17" t="s">
        <v>441</v>
      </c>
      <c r="C182">
        <f t="shared" si="30"/>
        <v>0</v>
      </c>
      <c r="D182">
        <f t="shared" si="26"/>
        <v>0</v>
      </c>
      <c r="E182">
        <f t="shared" si="31"/>
        <v>0</v>
      </c>
      <c r="F182">
        <f t="shared" si="27"/>
        <v>0</v>
      </c>
      <c r="G182">
        <f t="shared" si="28"/>
        <v>1</v>
      </c>
      <c r="H182" t="str">
        <f t="shared" si="29"/>
        <v/>
      </c>
      <c r="I182" t="str">
        <f t="shared" si="32"/>
        <v/>
      </c>
      <c r="J182" t="str">
        <f t="shared" si="33"/>
        <v/>
      </c>
      <c r="K182" t="str">
        <f t="shared" si="34"/>
        <v/>
      </c>
      <c r="L182" t="str">
        <f t="shared" si="35"/>
        <v/>
      </c>
      <c r="M182" t="str">
        <f t="shared" si="36"/>
        <v>Phones</v>
      </c>
      <c r="N182" t="str">
        <f t="shared" si="37"/>
        <v xml:space="preserve">    - device_tracker.ron_phone</v>
      </c>
      <c r="O182" t="str">
        <f t="shared" si="38"/>
        <v>device_tracker.ron_phone</v>
      </c>
    </row>
    <row r="183" spans="2:15" x14ac:dyDescent="0.45">
      <c r="B183" s="17" t="s">
        <v>442</v>
      </c>
      <c r="C183">
        <f t="shared" si="30"/>
        <v>0</v>
      </c>
      <c r="D183">
        <f t="shared" si="26"/>
        <v>0</v>
      </c>
      <c r="E183">
        <f t="shared" si="31"/>
        <v>0</v>
      </c>
      <c r="F183">
        <f t="shared" si="27"/>
        <v>0</v>
      </c>
      <c r="G183">
        <f t="shared" si="28"/>
        <v>1</v>
      </c>
      <c r="H183" t="str">
        <f t="shared" si="29"/>
        <v/>
      </c>
      <c r="I183" t="str">
        <f t="shared" si="32"/>
        <v/>
      </c>
      <c r="J183" t="str">
        <f t="shared" si="33"/>
        <v/>
      </c>
      <c r="K183" t="str">
        <f t="shared" si="34"/>
        <v/>
      </c>
      <c r="L183" t="str">
        <f t="shared" si="35"/>
        <v/>
      </c>
      <c r="M183" t="str">
        <f t="shared" si="36"/>
        <v>Phones</v>
      </c>
      <c r="N183" t="str">
        <f t="shared" si="37"/>
        <v xml:space="preserve">    - device_tracker.daniel_phone</v>
      </c>
      <c r="O183" t="str">
        <f t="shared" si="38"/>
        <v>device_tracker.daniel_phone</v>
      </c>
    </row>
    <row r="184" spans="2:15" x14ac:dyDescent="0.45">
      <c r="B184" s="17" t="s">
        <v>443</v>
      </c>
      <c r="C184">
        <f t="shared" si="30"/>
        <v>0</v>
      </c>
      <c r="D184">
        <f t="shared" si="26"/>
        <v>0</v>
      </c>
      <c r="E184">
        <f t="shared" si="31"/>
        <v>0</v>
      </c>
      <c r="F184">
        <f t="shared" si="27"/>
        <v>0</v>
      </c>
      <c r="G184">
        <f t="shared" si="28"/>
        <v>1</v>
      </c>
      <c r="H184" t="str">
        <f t="shared" si="29"/>
        <v/>
      </c>
      <c r="I184" t="str">
        <f t="shared" si="32"/>
        <v/>
      </c>
      <c r="J184" t="str">
        <f t="shared" si="33"/>
        <v/>
      </c>
      <c r="K184" t="str">
        <f t="shared" si="34"/>
        <v/>
      </c>
      <c r="L184" t="str">
        <f t="shared" si="35"/>
        <v/>
      </c>
      <c r="M184" t="str">
        <f t="shared" si="36"/>
        <v>Phones</v>
      </c>
      <c r="N184" t="str">
        <f t="shared" si="37"/>
        <v xml:space="preserve">    - device_tracker.carolyn_phone</v>
      </c>
      <c r="O184" t="str">
        <f t="shared" si="38"/>
        <v>device_tracker.carolyn_phone</v>
      </c>
    </row>
    <row r="185" spans="2:15" x14ac:dyDescent="0.45">
      <c r="B185" s="17"/>
      <c r="C185">
        <f t="shared" si="30"/>
        <v>1</v>
      </c>
      <c r="D185">
        <f t="shared" si="26"/>
        <v>0</v>
      </c>
      <c r="E185">
        <f t="shared" si="31"/>
        <v>0</v>
      </c>
      <c r="F185">
        <f t="shared" si="27"/>
        <v>0</v>
      </c>
      <c r="G185">
        <f t="shared" si="28"/>
        <v>0</v>
      </c>
      <c r="H185" t="str">
        <f t="shared" si="29"/>
        <v/>
      </c>
      <c r="I185" t="str">
        <f t="shared" si="32"/>
        <v/>
      </c>
      <c r="J185" t="str">
        <f t="shared" si="33"/>
        <v/>
      </c>
      <c r="K185" t="str">
        <f t="shared" si="34"/>
        <v/>
      </c>
      <c r="L185" t="str">
        <f t="shared" si="35"/>
        <v/>
      </c>
      <c r="M185" t="str">
        <f t="shared" si="36"/>
        <v>Phones</v>
      </c>
      <c r="N185" t="str">
        <f t="shared" si="37"/>
        <v/>
      </c>
      <c r="O185" t="str">
        <f t="shared" si="38"/>
        <v/>
      </c>
    </row>
    <row r="186" spans="2:15" x14ac:dyDescent="0.45">
      <c r="B186" s="17" t="s">
        <v>573</v>
      </c>
      <c r="C186">
        <f t="shared" si="30"/>
        <v>0</v>
      </c>
      <c r="D186">
        <f t="shared" si="26"/>
        <v>0</v>
      </c>
      <c r="E186">
        <f t="shared" si="31"/>
        <v>1</v>
      </c>
      <c r="F186">
        <f t="shared" si="27"/>
        <v>0</v>
      </c>
      <c r="G186">
        <f t="shared" si="28"/>
        <v>0</v>
      </c>
      <c r="H186" t="str">
        <f t="shared" si="29"/>
        <v>personal_devices:</v>
      </c>
      <c r="I186" t="str">
        <f t="shared" si="32"/>
        <v>personal_devices</v>
      </c>
      <c r="J186" t="str">
        <f t="shared" si="33"/>
        <v/>
      </c>
      <c r="K186" t="str">
        <f t="shared" si="34"/>
        <v/>
      </c>
      <c r="L186" t="str">
        <f t="shared" si="35"/>
        <v/>
      </c>
      <c r="M186" t="str">
        <f t="shared" si="36"/>
        <v>Phones</v>
      </c>
      <c r="N186" t="str">
        <f t="shared" si="37"/>
        <v/>
      </c>
      <c r="O186" t="str">
        <f t="shared" si="38"/>
        <v/>
      </c>
    </row>
    <row r="187" spans="2:15" x14ac:dyDescent="0.45">
      <c r="B187" s="17" t="s">
        <v>574</v>
      </c>
      <c r="C187">
        <f t="shared" si="30"/>
        <v>0</v>
      </c>
      <c r="D187">
        <f t="shared" si="26"/>
        <v>1</v>
      </c>
      <c r="E187">
        <f t="shared" si="31"/>
        <v>0</v>
      </c>
      <c r="F187">
        <f t="shared" si="27"/>
        <v>1</v>
      </c>
      <c r="G187">
        <f t="shared" si="28"/>
        <v>0</v>
      </c>
      <c r="H187" t="str">
        <f t="shared" si="29"/>
        <v/>
      </c>
      <c r="I187" t="str">
        <f t="shared" si="32"/>
        <v/>
      </c>
      <c r="J187" t="str">
        <f t="shared" si="33"/>
        <v xml:space="preserve">  name: Personal Devices</v>
      </c>
      <c r="K187" t="str">
        <f t="shared" si="34"/>
        <v>Personal Devices</v>
      </c>
      <c r="L187" t="str">
        <f t="shared" si="35"/>
        <v>Personal Devices</v>
      </c>
      <c r="M187" t="str">
        <f t="shared" si="36"/>
        <v>Personal Devices</v>
      </c>
      <c r="N187" t="str">
        <f t="shared" si="37"/>
        <v/>
      </c>
      <c r="O187" t="str">
        <f t="shared" si="38"/>
        <v/>
      </c>
    </row>
    <row r="188" spans="2:15" x14ac:dyDescent="0.45">
      <c r="B188" s="17" t="s">
        <v>56</v>
      </c>
      <c r="C188">
        <f t="shared" si="30"/>
        <v>0</v>
      </c>
      <c r="D188">
        <f t="shared" si="26"/>
        <v>1</v>
      </c>
      <c r="E188">
        <f t="shared" si="31"/>
        <v>0</v>
      </c>
      <c r="F188">
        <f t="shared" si="27"/>
        <v>0</v>
      </c>
      <c r="G188">
        <f t="shared" si="28"/>
        <v>0</v>
      </c>
      <c r="H188" t="str">
        <f t="shared" si="29"/>
        <v/>
      </c>
      <c r="I188" t="str">
        <f t="shared" si="32"/>
        <v/>
      </c>
      <c r="J188" t="str">
        <f t="shared" si="33"/>
        <v/>
      </c>
      <c r="K188" t="str">
        <f t="shared" si="34"/>
        <v/>
      </c>
      <c r="L188" t="str">
        <f t="shared" si="35"/>
        <v/>
      </c>
      <c r="M188" t="str">
        <f t="shared" si="36"/>
        <v>Personal Devices</v>
      </c>
      <c r="N188" t="str">
        <f t="shared" si="37"/>
        <v/>
      </c>
      <c r="O188" t="str">
        <f t="shared" si="38"/>
        <v/>
      </c>
    </row>
    <row r="189" spans="2:15" x14ac:dyDescent="0.45">
      <c r="B189" s="17" t="s">
        <v>575</v>
      </c>
      <c r="C189">
        <f t="shared" si="30"/>
        <v>0</v>
      </c>
      <c r="D189">
        <f t="shared" si="26"/>
        <v>0</v>
      </c>
      <c r="E189">
        <f t="shared" si="31"/>
        <v>0</v>
      </c>
      <c r="F189">
        <f t="shared" si="27"/>
        <v>0</v>
      </c>
      <c r="G189">
        <f t="shared" si="28"/>
        <v>1</v>
      </c>
      <c r="H189" t="str">
        <f t="shared" si="29"/>
        <v/>
      </c>
      <c r="I189" t="str">
        <f t="shared" si="32"/>
        <v/>
      </c>
      <c r="J189" t="str">
        <f t="shared" si="33"/>
        <v/>
      </c>
      <c r="K189" t="str">
        <f t="shared" si="34"/>
        <v/>
      </c>
      <c r="L189" t="str">
        <f t="shared" si="35"/>
        <v/>
      </c>
      <c r="M189" t="str">
        <f t="shared" si="36"/>
        <v>Personal Devices</v>
      </c>
      <c r="N189" t="str">
        <f t="shared" si="37"/>
        <v xml:space="preserve">    - device_tracker.humvee</v>
      </c>
      <c r="O189" t="str">
        <f t="shared" si="38"/>
        <v>device_tracker.humvee</v>
      </c>
    </row>
    <row r="190" spans="2:15" x14ac:dyDescent="0.45">
      <c r="B190" s="17" t="s">
        <v>576</v>
      </c>
      <c r="C190">
        <f t="shared" si="30"/>
        <v>0</v>
      </c>
      <c r="D190">
        <f t="shared" si="26"/>
        <v>0</v>
      </c>
      <c r="E190">
        <f t="shared" si="31"/>
        <v>0</v>
      </c>
      <c r="F190">
        <f t="shared" si="27"/>
        <v>0</v>
      </c>
      <c r="G190">
        <f t="shared" si="28"/>
        <v>1</v>
      </c>
      <c r="H190" t="str">
        <f t="shared" si="29"/>
        <v/>
      </c>
      <c r="I190" t="str">
        <f t="shared" si="32"/>
        <v/>
      </c>
      <c r="J190" t="str">
        <f t="shared" si="33"/>
        <v/>
      </c>
      <c r="K190" t="str">
        <f t="shared" si="34"/>
        <v/>
      </c>
      <c r="L190" t="str">
        <f t="shared" si="35"/>
        <v/>
      </c>
      <c r="M190" t="str">
        <f t="shared" si="36"/>
        <v>Personal Devices</v>
      </c>
      <c r="N190" t="str">
        <f t="shared" si="37"/>
        <v xml:space="preserve">    - device_tracker.tank</v>
      </c>
      <c r="O190" t="str">
        <f t="shared" si="38"/>
        <v>device_tracker.tank</v>
      </c>
    </row>
    <row r="191" spans="2:15" x14ac:dyDescent="0.45">
      <c r="B191" s="17" t="s">
        <v>577</v>
      </c>
      <c r="C191">
        <f t="shared" si="30"/>
        <v>0</v>
      </c>
      <c r="D191">
        <f t="shared" si="26"/>
        <v>0</v>
      </c>
      <c r="E191">
        <f t="shared" si="31"/>
        <v>0</v>
      </c>
      <c r="F191">
        <f t="shared" si="27"/>
        <v>0</v>
      </c>
      <c r="G191">
        <f t="shared" si="28"/>
        <v>1</v>
      </c>
      <c r="H191" t="str">
        <f t="shared" si="29"/>
        <v/>
      </c>
      <c r="I191" t="str">
        <f t="shared" si="32"/>
        <v/>
      </c>
      <c r="J191" t="str">
        <f t="shared" si="33"/>
        <v/>
      </c>
      <c r="K191" t="str">
        <f t="shared" si="34"/>
        <v/>
      </c>
      <c r="L191" t="str">
        <f t="shared" si="35"/>
        <v/>
      </c>
      <c r="M191" t="str">
        <f t="shared" si="36"/>
        <v>Personal Devices</v>
      </c>
      <c r="N191" t="str">
        <f t="shared" si="37"/>
        <v xml:space="preserve">    - device_tracker.tank_ipmi</v>
      </c>
      <c r="O191" t="str">
        <f t="shared" si="38"/>
        <v>device_tracker.tank_ipmi</v>
      </c>
    </row>
    <row r="192" spans="2:15" x14ac:dyDescent="0.45">
      <c r="B192" s="17" t="s">
        <v>578</v>
      </c>
      <c r="C192">
        <f t="shared" si="30"/>
        <v>0</v>
      </c>
      <c r="D192">
        <f t="shared" si="26"/>
        <v>0</v>
      </c>
      <c r="E192">
        <f t="shared" si="31"/>
        <v>0</v>
      </c>
      <c r="F192">
        <f t="shared" si="27"/>
        <v>0</v>
      </c>
      <c r="G192">
        <f t="shared" si="28"/>
        <v>1</v>
      </c>
      <c r="H192" t="str">
        <f t="shared" si="29"/>
        <v/>
      </c>
      <c r="I192" t="str">
        <f t="shared" si="32"/>
        <v/>
      </c>
      <c r="J192" t="str">
        <f t="shared" si="33"/>
        <v/>
      </c>
      <c r="K192" t="str">
        <f t="shared" si="34"/>
        <v/>
      </c>
      <c r="L192" t="str">
        <f t="shared" si="35"/>
        <v/>
      </c>
      <c r="M192" t="str">
        <f t="shared" si="36"/>
        <v>Personal Devices</v>
      </c>
      <c r="N192" t="str">
        <f t="shared" si="37"/>
        <v xml:space="preserve">    - device_tracker.tank_plex</v>
      </c>
      <c r="O192" t="str">
        <f t="shared" si="38"/>
        <v>device_tracker.tank_plex</v>
      </c>
    </row>
    <row r="193" spans="2:15" x14ac:dyDescent="0.45">
      <c r="B193" s="17" t="s">
        <v>579</v>
      </c>
      <c r="C193">
        <f t="shared" si="30"/>
        <v>0</v>
      </c>
      <c r="D193">
        <f t="shared" si="26"/>
        <v>0</v>
      </c>
      <c r="E193">
        <f t="shared" si="31"/>
        <v>0</v>
      </c>
      <c r="F193">
        <f t="shared" si="27"/>
        <v>0</v>
      </c>
      <c r="G193">
        <f t="shared" si="28"/>
        <v>1</v>
      </c>
      <c r="H193" t="str">
        <f t="shared" si="29"/>
        <v/>
      </c>
      <c r="I193" t="str">
        <f t="shared" si="32"/>
        <v/>
      </c>
      <c r="J193" t="str">
        <f t="shared" si="33"/>
        <v/>
      </c>
      <c r="K193" t="str">
        <f t="shared" si="34"/>
        <v/>
      </c>
      <c r="L193" t="str">
        <f t="shared" si="35"/>
        <v/>
      </c>
      <c r="M193" t="str">
        <f t="shared" si="36"/>
        <v>Personal Devices</v>
      </c>
      <c r="N193" t="str">
        <f t="shared" si="37"/>
        <v xml:space="preserve">    - device_tracker.growler</v>
      </c>
      <c r="O193" t="str">
        <f t="shared" si="38"/>
        <v>device_tracker.growler</v>
      </c>
    </row>
    <row r="194" spans="2:15" x14ac:dyDescent="0.45">
      <c r="B194" s="17" t="s">
        <v>580</v>
      </c>
      <c r="C194">
        <f t="shared" si="30"/>
        <v>0</v>
      </c>
      <c r="D194">
        <f t="shared" si="26"/>
        <v>0</v>
      </c>
      <c r="E194">
        <f t="shared" si="31"/>
        <v>0</v>
      </c>
      <c r="F194">
        <f t="shared" si="27"/>
        <v>0</v>
      </c>
      <c r="G194">
        <f t="shared" si="28"/>
        <v>1</v>
      </c>
      <c r="H194" t="str">
        <f t="shared" si="29"/>
        <v/>
      </c>
      <c r="I194" t="str">
        <f t="shared" si="32"/>
        <v/>
      </c>
      <c r="J194" t="str">
        <f t="shared" si="33"/>
        <v/>
      </c>
      <c r="K194" t="str">
        <f t="shared" si="34"/>
        <v/>
      </c>
      <c r="L194" t="str">
        <f t="shared" si="35"/>
        <v/>
      </c>
      <c r="M194" t="str">
        <f t="shared" si="36"/>
        <v>Personal Devices</v>
      </c>
      <c r="N194" t="str">
        <f t="shared" si="37"/>
        <v xml:space="preserve">    - device_tracker.jeep</v>
      </c>
      <c r="O194" t="str">
        <f t="shared" si="38"/>
        <v>device_tracker.jeep</v>
      </c>
    </row>
    <row r="195" spans="2:15" x14ac:dyDescent="0.45">
      <c r="B195" s="17" t="s">
        <v>581</v>
      </c>
      <c r="C195">
        <f t="shared" si="30"/>
        <v>0</v>
      </c>
      <c r="D195">
        <f t="shared" si="26"/>
        <v>0</v>
      </c>
      <c r="E195">
        <f t="shared" si="31"/>
        <v>0</v>
      </c>
      <c r="F195">
        <f t="shared" si="27"/>
        <v>0</v>
      </c>
      <c r="G195">
        <f t="shared" si="28"/>
        <v>1</v>
      </c>
      <c r="H195" t="str">
        <f t="shared" si="29"/>
        <v/>
      </c>
      <c r="I195" t="str">
        <f t="shared" si="32"/>
        <v/>
      </c>
      <c r="J195" t="str">
        <f t="shared" si="33"/>
        <v/>
      </c>
      <c r="K195" t="str">
        <f t="shared" si="34"/>
        <v/>
      </c>
      <c r="L195" t="str">
        <f t="shared" si="35"/>
        <v/>
      </c>
      <c r="M195" t="str">
        <f t="shared" si="36"/>
        <v>Personal Devices</v>
      </c>
      <c r="N195" t="str">
        <f t="shared" si="37"/>
        <v xml:space="preserve">    - device_tracker.daniel_laptop</v>
      </c>
      <c r="O195" t="str">
        <f t="shared" si="38"/>
        <v>device_tracker.daniel_laptop</v>
      </c>
    </row>
    <row r="196" spans="2:15" x14ac:dyDescent="0.45">
      <c r="B196" s="17" t="s">
        <v>582</v>
      </c>
      <c r="C196">
        <f t="shared" si="30"/>
        <v>0</v>
      </c>
      <c r="D196">
        <f t="shared" si="26"/>
        <v>0</v>
      </c>
      <c r="E196">
        <f t="shared" si="31"/>
        <v>0</v>
      </c>
      <c r="F196">
        <f t="shared" si="27"/>
        <v>0</v>
      </c>
      <c r="G196">
        <f t="shared" si="28"/>
        <v>1</v>
      </c>
      <c r="H196" t="str">
        <f t="shared" si="29"/>
        <v/>
      </c>
      <c r="I196" t="str">
        <f t="shared" si="32"/>
        <v/>
      </c>
      <c r="J196" t="str">
        <f t="shared" si="33"/>
        <v/>
      </c>
      <c r="K196" t="str">
        <f t="shared" si="34"/>
        <v/>
      </c>
      <c r="L196" t="str">
        <f t="shared" si="35"/>
        <v/>
      </c>
      <c r="M196" t="str">
        <f t="shared" si="36"/>
        <v>Personal Devices</v>
      </c>
      <c r="N196" t="str">
        <f t="shared" si="37"/>
        <v xml:space="preserve">    - device_tracker.carolynsair</v>
      </c>
      <c r="O196" t="str">
        <f t="shared" si="38"/>
        <v>device_tracker.carolynsair</v>
      </c>
    </row>
    <row r="197" spans="2:15" x14ac:dyDescent="0.45">
      <c r="B197" s="17" t="s">
        <v>583</v>
      </c>
      <c r="C197">
        <f t="shared" si="30"/>
        <v>0</v>
      </c>
      <c r="D197">
        <f t="shared" si="26"/>
        <v>0</v>
      </c>
      <c r="E197">
        <f t="shared" si="31"/>
        <v>0</v>
      </c>
      <c r="F197">
        <f t="shared" si="27"/>
        <v>0</v>
      </c>
      <c r="G197">
        <f t="shared" si="28"/>
        <v>1</v>
      </c>
      <c r="H197" t="str">
        <f t="shared" si="29"/>
        <v/>
      </c>
      <c r="I197" t="str">
        <f t="shared" si="32"/>
        <v/>
      </c>
      <c r="J197" t="str">
        <f t="shared" si="33"/>
        <v/>
      </c>
      <c r="K197" t="str">
        <f t="shared" si="34"/>
        <v/>
      </c>
      <c r="L197" t="str">
        <f t="shared" si="35"/>
        <v/>
      </c>
      <c r="M197" t="str">
        <f t="shared" si="36"/>
        <v>Personal Devices</v>
      </c>
      <c r="N197" t="str">
        <f t="shared" si="37"/>
        <v xml:space="preserve">    - device_tracker.daniel_br</v>
      </c>
      <c r="O197" t="str">
        <f t="shared" si="38"/>
        <v>device_tracker.daniel_br</v>
      </c>
    </row>
    <row r="198" spans="2:15" x14ac:dyDescent="0.45">
      <c r="B198" s="17" t="s">
        <v>584</v>
      </c>
      <c r="C198">
        <f t="shared" si="30"/>
        <v>0</v>
      </c>
      <c r="D198">
        <f t="shared" si="26"/>
        <v>0</v>
      </c>
      <c r="E198">
        <f t="shared" si="31"/>
        <v>0</v>
      </c>
      <c r="F198">
        <f t="shared" si="27"/>
        <v>0</v>
      </c>
      <c r="G198">
        <f t="shared" si="28"/>
        <v>1</v>
      </c>
      <c r="H198" t="str">
        <f t="shared" si="29"/>
        <v/>
      </c>
      <c r="I198" t="str">
        <f t="shared" si="32"/>
        <v/>
      </c>
      <c r="J198" t="str">
        <f t="shared" si="33"/>
        <v/>
      </c>
      <c r="K198" t="str">
        <f t="shared" si="34"/>
        <v/>
      </c>
      <c r="L198" t="str">
        <f t="shared" si="35"/>
        <v/>
      </c>
      <c r="M198" t="str">
        <f t="shared" si="36"/>
        <v>Personal Devices</v>
      </c>
      <c r="N198" t="str">
        <f t="shared" si="37"/>
        <v xml:space="preserve">    - device_tracker.ron_tablet</v>
      </c>
      <c r="O198" t="str">
        <f t="shared" si="38"/>
        <v>device_tracker.ron_tablet</v>
      </c>
    </row>
    <row r="199" spans="2:15" x14ac:dyDescent="0.45">
      <c r="B199" s="17" t="s">
        <v>585</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t="shared" si="33"/>
        <v/>
      </c>
      <c r="K199" t="str">
        <f t="shared" si="34"/>
        <v/>
      </c>
      <c r="L199" t="str">
        <f t="shared" si="35"/>
        <v/>
      </c>
      <c r="M199" t="str">
        <f t="shared" si="36"/>
        <v>Personal Devices</v>
      </c>
      <c r="N199" t="str">
        <f t="shared" si="37"/>
        <v xml:space="preserve">    - device_tracker.carolyn_tablet</v>
      </c>
      <c r="O199" t="str">
        <f t="shared" si="38"/>
        <v>device_tracker.carolyn_tablet</v>
      </c>
    </row>
    <row r="200" spans="2:15" x14ac:dyDescent="0.45">
      <c r="B200" s="17" t="s">
        <v>586</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t="shared" ref="J200:J252" si="46">IF(F200=1,$B200,"")</f>
        <v/>
      </c>
      <c r="K200" t="str">
        <f t="shared" ref="K200:K252" si="47">IFERROR(MID(J200,  FIND("name:",J200)+6,99),"")</f>
        <v/>
      </c>
      <c r="L200" t="str">
        <f t="shared" ref="L200:L252" si="48">SUBSTITUTE(K200,"""","")</f>
        <v/>
      </c>
      <c r="M200" t="str">
        <f t="shared" ref="M200:M252" si="49">IF(L200="",M199,L200)</f>
        <v>Personal Devices</v>
      </c>
      <c r="N200" t="str">
        <f t="shared" ref="N200:N252" si="50">IF(G200=1,$B200,"")</f>
        <v xml:space="preserve">    - device_tracker.carolynlipssmbp</v>
      </c>
      <c r="O200" t="str">
        <f t="shared" ref="O200:O252" si="51">TRIM(SUBSTITUTE(N200,"-",""))</f>
        <v>device_tracker.carolynlipssmbp</v>
      </c>
    </row>
    <row r="201" spans="2:15" x14ac:dyDescent="0.45">
      <c r="B201" s="17" t="s">
        <v>587</v>
      </c>
      <c r="C201">
        <f t="shared" si="43"/>
        <v>0</v>
      </c>
      <c r="D201">
        <f t="shared" si="39"/>
        <v>0</v>
      </c>
      <c r="E201">
        <f t="shared" si="44"/>
        <v>0</v>
      </c>
      <c r="F201">
        <f t="shared" si="40"/>
        <v>0</v>
      </c>
      <c r="G201">
        <f t="shared" si="41"/>
        <v>1</v>
      </c>
      <c r="H201" t="str">
        <f t="shared" si="42"/>
        <v/>
      </c>
      <c r="I201" t="str">
        <f t="shared" si="45"/>
        <v/>
      </c>
      <c r="J201" t="str">
        <f t="shared" si="46"/>
        <v/>
      </c>
      <c r="K201" t="str">
        <f t="shared" si="47"/>
        <v/>
      </c>
      <c r="L201" t="str">
        <f t="shared" si="48"/>
        <v/>
      </c>
      <c r="M201" t="str">
        <f t="shared" si="49"/>
        <v>Personal Devices</v>
      </c>
      <c r="N201" t="str">
        <f t="shared" si="50"/>
        <v xml:space="preserve">    - device_tracker.gear_fit_2</v>
      </c>
      <c r="O201" t="str">
        <f t="shared" si="51"/>
        <v>device_tracker.gear_fit_2</v>
      </c>
    </row>
    <row r="202" spans="2:15" x14ac:dyDescent="0.45">
      <c r="B202" s="17" t="s">
        <v>588</v>
      </c>
      <c r="C202">
        <f t="shared" si="43"/>
        <v>0</v>
      </c>
      <c r="D202">
        <f t="shared" si="39"/>
        <v>0</v>
      </c>
      <c r="E202">
        <f t="shared" si="44"/>
        <v>0</v>
      </c>
      <c r="F202">
        <f t="shared" si="40"/>
        <v>0</v>
      </c>
      <c r="G202">
        <f t="shared" si="41"/>
        <v>1</v>
      </c>
      <c r="H202" t="str">
        <f t="shared" si="42"/>
        <v/>
      </c>
      <c r="I202" t="str">
        <f t="shared" si="45"/>
        <v/>
      </c>
      <c r="J202" t="str">
        <f t="shared" si="46"/>
        <v/>
      </c>
      <c r="K202" t="str">
        <f t="shared" si="47"/>
        <v/>
      </c>
      <c r="L202" t="str">
        <f t="shared" si="48"/>
        <v/>
      </c>
      <c r="M202" t="str">
        <f t="shared" si="49"/>
        <v>Personal Devices</v>
      </c>
      <c r="N202" t="str">
        <f t="shared" si="50"/>
        <v xml:space="preserve">    - device_tracker.carolyn_watch</v>
      </c>
      <c r="O202" t="str">
        <f t="shared" si="51"/>
        <v>device_tracker.carolyn_watch</v>
      </c>
    </row>
    <row r="203" spans="2:15" x14ac:dyDescent="0.45">
      <c r="B203" s="17" t="s">
        <v>589</v>
      </c>
      <c r="C203">
        <f t="shared" si="43"/>
        <v>0</v>
      </c>
      <c r="D203">
        <f t="shared" si="39"/>
        <v>0</v>
      </c>
      <c r="E203">
        <f t="shared" si="44"/>
        <v>0</v>
      </c>
      <c r="F203">
        <f t="shared" si="40"/>
        <v>0</v>
      </c>
      <c r="G203">
        <f t="shared" si="41"/>
        <v>0</v>
      </c>
      <c r="H203" t="str">
        <f t="shared" si="42"/>
        <v/>
      </c>
      <c r="I203" t="str">
        <f t="shared" si="45"/>
        <v/>
      </c>
      <c r="J203" t="str">
        <f t="shared" si="46"/>
        <v/>
      </c>
      <c r="K203" t="str">
        <f t="shared" si="47"/>
        <v/>
      </c>
      <c r="L203" t="str">
        <f t="shared" si="48"/>
        <v/>
      </c>
      <c r="M203" t="str">
        <f t="shared" si="49"/>
        <v>Personal Devices</v>
      </c>
      <c r="N203" t="str">
        <f t="shared" si="50"/>
        <v/>
      </c>
      <c r="O203" t="str">
        <f t="shared" si="51"/>
        <v/>
      </c>
    </row>
    <row r="204" spans="2:15" x14ac:dyDescent="0.45">
      <c r="B204" s="17" t="s">
        <v>590</v>
      </c>
      <c r="C204">
        <f t="shared" si="43"/>
        <v>0</v>
      </c>
      <c r="D204">
        <f t="shared" si="39"/>
        <v>0</v>
      </c>
      <c r="E204">
        <f t="shared" si="44"/>
        <v>1</v>
      </c>
      <c r="F204">
        <f t="shared" si="40"/>
        <v>0</v>
      </c>
      <c r="G204">
        <f t="shared" si="41"/>
        <v>0</v>
      </c>
      <c r="H204" t="str">
        <f t="shared" si="42"/>
        <v>iot_devices:</v>
      </c>
      <c r="I204" t="str">
        <f t="shared" si="45"/>
        <v>iot_devices</v>
      </c>
      <c r="J204" t="str">
        <f t="shared" si="46"/>
        <v/>
      </c>
      <c r="K204" t="str">
        <f t="shared" si="47"/>
        <v/>
      </c>
      <c r="L204" t="str">
        <f t="shared" si="48"/>
        <v/>
      </c>
      <c r="M204" t="str">
        <f t="shared" si="49"/>
        <v>Personal Devices</v>
      </c>
      <c r="N204" t="str">
        <f t="shared" si="50"/>
        <v/>
      </c>
      <c r="O204" t="str">
        <f t="shared" si="51"/>
        <v/>
      </c>
    </row>
    <row r="205" spans="2:15" x14ac:dyDescent="0.45">
      <c r="B205" s="17" t="s">
        <v>591</v>
      </c>
      <c r="C205">
        <f t="shared" si="43"/>
        <v>0</v>
      </c>
      <c r="D205">
        <f t="shared" si="39"/>
        <v>1</v>
      </c>
      <c r="E205">
        <f t="shared" si="44"/>
        <v>0</v>
      </c>
      <c r="F205">
        <f t="shared" si="40"/>
        <v>1</v>
      </c>
      <c r="G205">
        <f t="shared" si="41"/>
        <v>0</v>
      </c>
      <c r="H205" t="str">
        <f t="shared" si="42"/>
        <v/>
      </c>
      <c r="I205" t="str">
        <f t="shared" si="45"/>
        <v/>
      </c>
      <c r="J205" t="str">
        <f t="shared" si="46"/>
        <v xml:space="preserve">  name: IoT Devices</v>
      </c>
      <c r="K205" t="str">
        <f t="shared" si="47"/>
        <v>IoT Devices</v>
      </c>
      <c r="L205" t="str">
        <f t="shared" si="48"/>
        <v>IoT Devices</v>
      </c>
      <c r="M205" t="str">
        <f t="shared" si="49"/>
        <v>IoT Devices</v>
      </c>
      <c r="N205" t="str">
        <f t="shared" si="50"/>
        <v/>
      </c>
      <c r="O205" t="str">
        <f t="shared" si="51"/>
        <v/>
      </c>
    </row>
    <row r="206" spans="2:15" x14ac:dyDescent="0.45">
      <c r="B206" s="17" t="s">
        <v>56</v>
      </c>
      <c r="C206">
        <f t="shared" si="43"/>
        <v>0</v>
      </c>
      <c r="D206">
        <f t="shared" si="39"/>
        <v>1</v>
      </c>
      <c r="E206">
        <f t="shared" si="44"/>
        <v>0</v>
      </c>
      <c r="F206">
        <f t="shared" si="40"/>
        <v>0</v>
      </c>
      <c r="G206">
        <f t="shared" si="41"/>
        <v>0</v>
      </c>
      <c r="H206" t="str">
        <f t="shared" si="42"/>
        <v/>
      </c>
      <c r="I206" t="str">
        <f t="shared" si="45"/>
        <v/>
      </c>
      <c r="J206" t="str">
        <f t="shared" si="46"/>
        <v/>
      </c>
      <c r="K206" t="str">
        <f t="shared" si="47"/>
        <v/>
      </c>
      <c r="L206" t="str">
        <f t="shared" si="48"/>
        <v/>
      </c>
      <c r="M206" t="str">
        <f t="shared" si="49"/>
        <v>IoT Devices</v>
      </c>
      <c r="N206" t="str">
        <f t="shared" si="50"/>
        <v/>
      </c>
      <c r="O206" t="str">
        <f t="shared" si="51"/>
        <v/>
      </c>
    </row>
    <row r="207" spans="2:15" x14ac:dyDescent="0.45">
      <c r="B207" s="17" t="s">
        <v>592</v>
      </c>
      <c r="C207">
        <f t="shared" si="43"/>
        <v>0</v>
      </c>
      <c r="D207">
        <f t="shared" si="39"/>
        <v>0</v>
      </c>
      <c r="E207">
        <f t="shared" si="44"/>
        <v>0</v>
      </c>
      <c r="F207">
        <f t="shared" si="40"/>
        <v>0</v>
      </c>
      <c r="G207">
        <f t="shared" si="41"/>
        <v>1</v>
      </c>
      <c r="H207" t="str">
        <f t="shared" si="42"/>
        <v/>
      </c>
      <c r="I207" t="str">
        <f t="shared" si="45"/>
        <v/>
      </c>
      <c r="J207" t="str">
        <f t="shared" si="46"/>
        <v/>
      </c>
      <c r="K207" t="str">
        <f t="shared" si="47"/>
        <v/>
      </c>
      <c r="L207" t="str">
        <f t="shared" si="48"/>
        <v/>
      </c>
      <c r="M207" t="str">
        <f t="shared" si="49"/>
        <v>IoT Devices</v>
      </c>
      <c r="N207" t="str">
        <f t="shared" si="50"/>
        <v xml:space="preserve">    - device_tracker.echo_dot</v>
      </c>
      <c r="O207" t="str">
        <f t="shared" si="51"/>
        <v>device_tracker.echo_dot</v>
      </c>
    </row>
    <row r="208" spans="2:15" x14ac:dyDescent="0.45">
      <c r="B208" s="17" t="s">
        <v>593</v>
      </c>
      <c r="C208">
        <f t="shared" si="43"/>
        <v>0</v>
      </c>
      <c r="D208">
        <f t="shared" si="39"/>
        <v>0</v>
      </c>
      <c r="E208">
        <f t="shared" si="44"/>
        <v>0</v>
      </c>
      <c r="F208">
        <f t="shared" si="40"/>
        <v>0</v>
      </c>
      <c r="G208">
        <f t="shared" si="41"/>
        <v>1</v>
      </c>
      <c r="H208" t="str">
        <f t="shared" si="42"/>
        <v/>
      </c>
      <c r="I208" t="str">
        <f t="shared" si="45"/>
        <v/>
      </c>
      <c r="J208" t="str">
        <f t="shared" si="46"/>
        <v/>
      </c>
      <c r="K208" t="str">
        <f t="shared" si="47"/>
        <v/>
      </c>
      <c r="L208" t="str">
        <f t="shared" si="48"/>
        <v/>
      </c>
      <c r="M208" t="str">
        <f t="shared" si="49"/>
        <v>IoT Devices</v>
      </c>
      <c r="N208" t="str">
        <f t="shared" si="50"/>
        <v xml:space="preserve">    - device_tracker.echo_tab</v>
      </c>
      <c r="O208" t="str">
        <f t="shared" si="51"/>
        <v>device_tracker.echo_tab</v>
      </c>
    </row>
    <row r="209" spans="2:15" x14ac:dyDescent="0.45">
      <c r="B209" s="17" t="s">
        <v>594</v>
      </c>
      <c r="C209">
        <f t="shared" si="43"/>
        <v>0</v>
      </c>
      <c r="D209">
        <f t="shared" si="39"/>
        <v>0</v>
      </c>
      <c r="E209">
        <f t="shared" si="44"/>
        <v>0</v>
      </c>
      <c r="F209">
        <f t="shared" si="40"/>
        <v>0</v>
      </c>
      <c r="G209">
        <f t="shared" si="41"/>
        <v>1</v>
      </c>
      <c r="H209" t="str">
        <f t="shared" si="42"/>
        <v/>
      </c>
      <c r="I209" t="str">
        <f t="shared" si="45"/>
        <v/>
      </c>
      <c r="J209" t="str">
        <f t="shared" si="46"/>
        <v/>
      </c>
      <c r="K209" t="str">
        <f t="shared" si="47"/>
        <v/>
      </c>
      <c r="L209" t="str">
        <f t="shared" si="48"/>
        <v/>
      </c>
      <c r="M209" t="str">
        <f t="shared" si="49"/>
        <v>IoT Devices</v>
      </c>
      <c r="N209" t="str">
        <f t="shared" si="50"/>
        <v xml:space="preserve">    - device_tracker.chromecast</v>
      </c>
      <c r="O209" t="str">
        <f t="shared" si="51"/>
        <v>device_tracker.chromecast</v>
      </c>
    </row>
    <row r="210" spans="2:15" x14ac:dyDescent="0.45">
      <c r="B210" s="17" t="s">
        <v>595</v>
      </c>
      <c r="C210">
        <f t="shared" si="43"/>
        <v>0</v>
      </c>
      <c r="D210">
        <f t="shared" si="39"/>
        <v>0</v>
      </c>
      <c r="E210">
        <f t="shared" si="44"/>
        <v>0</v>
      </c>
      <c r="F210">
        <f t="shared" si="40"/>
        <v>0</v>
      </c>
      <c r="G210">
        <f t="shared" si="41"/>
        <v>1</v>
      </c>
      <c r="H210" t="str">
        <f t="shared" si="42"/>
        <v/>
      </c>
      <c r="I210" t="str">
        <f t="shared" si="45"/>
        <v/>
      </c>
      <c r="J210" t="str">
        <f t="shared" si="46"/>
        <v/>
      </c>
      <c r="K210" t="str">
        <f t="shared" si="47"/>
        <v/>
      </c>
      <c r="L210" t="str">
        <f t="shared" si="48"/>
        <v/>
      </c>
      <c r="M210" t="str">
        <f t="shared" si="49"/>
        <v>IoT Devices</v>
      </c>
      <c r="N210" t="str">
        <f t="shared" si="50"/>
        <v xml:space="preserve">    - device_tracker.chromecast_2</v>
      </c>
      <c r="O210" t="str">
        <f t="shared" si="51"/>
        <v>device_tracker.chromecast_2</v>
      </c>
    </row>
    <row r="211" spans="2:15" x14ac:dyDescent="0.45">
      <c r="B211" s="17" t="s">
        <v>596</v>
      </c>
      <c r="C211">
        <f t="shared" si="43"/>
        <v>0</v>
      </c>
      <c r="D211">
        <f t="shared" si="39"/>
        <v>0</v>
      </c>
      <c r="E211">
        <f t="shared" si="44"/>
        <v>0</v>
      </c>
      <c r="F211">
        <f t="shared" si="40"/>
        <v>0</v>
      </c>
      <c r="G211">
        <f t="shared" si="41"/>
        <v>1</v>
      </c>
      <c r="H211" t="str">
        <f t="shared" si="42"/>
        <v/>
      </c>
      <c r="I211" t="str">
        <f t="shared" si="45"/>
        <v/>
      </c>
      <c r="J211" t="str">
        <f t="shared" si="46"/>
        <v/>
      </c>
      <c r="K211" t="str">
        <f t="shared" si="47"/>
        <v/>
      </c>
      <c r="L211" t="str">
        <f t="shared" si="48"/>
        <v/>
      </c>
      <c r="M211" t="str">
        <f t="shared" si="49"/>
        <v>IoT Devices</v>
      </c>
      <c r="N211" t="str">
        <f t="shared" si="50"/>
        <v xml:space="preserve">    - device_tracker.withings_scale</v>
      </c>
      <c r="O211" t="str">
        <f t="shared" si="51"/>
        <v>device_tracker.withings_scale</v>
      </c>
    </row>
    <row r="212" spans="2:15" x14ac:dyDescent="0.45">
      <c r="B212" s="17" t="s">
        <v>597</v>
      </c>
      <c r="C212">
        <f t="shared" si="43"/>
        <v>0</v>
      </c>
      <c r="D212">
        <f t="shared" si="39"/>
        <v>0</v>
      </c>
      <c r="E212">
        <f t="shared" si="44"/>
        <v>0</v>
      </c>
      <c r="F212">
        <f t="shared" si="40"/>
        <v>0</v>
      </c>
      <c r="G212">
        <f t="shared" si="41"/>
        <v>1</v>
      </c>
      <c r="H212" t="str">
        <f t="shared" si="42"/>
        <v/>
      </c>
      <c r="I212" t="str">
        <f t="shared" si="45"/>
        <v/>
      </c>
      <c r="J212" t="str">
        <f t="shared" si="46"/>
        <v/>
      </c>
      <c r="K212" t="str">
        <f t="shared" si="47"/>
        <v/>
      </c>
      <c r="L212" t="str">
        <f t="shared" si="48"/>
        <v/>
      </c>
      <c r="M212" t="str">
        <f t="shared" si="49"/>
        <v>IoT Devices</v>
      </c>
      <c r="N212" t="str">
        <f t="shared" si="50"/>
        <v xml:space="preserve">    - device_tracker.vera_lite</v>
      </c>
      <c r="O212" t="str">
        <f t="shared" si="51"/>
        <v>device_tracker.vera_lite</v>
      </c>
    </row>
    <row r="213" spans="2:15" x14ac:dyDescent="0.45">
      <c r="B213" s="17" t="s">
        <v>598</v>
      </c>
      <c r="C213">
        <f t="shared" si="43"/>
        <v>0</v>
      </c>
      <c r="D213">
        <f t="shared" si="39"/>
        <v>0</v>
      </c>
      <c r="E213">
        <f t="shared" si="44"/>
        <v>0</v>
      </c>
      <c r="F213">
        <f t="shared" si="40"/>
        <v>0</v>
      </c>
      <c r="G213">
        <f t="shared" si="41"/>
        <v>1</v>
      </c>
      <c r="H213" t="str">
        <f t="shared" si="42"/>
        <v/>
      </c>
      <c r="I213" t="str">
        <f t="shared" si="45"/>
        <v/>
      </c>
      <c r="J213" t="str">
        <f t="shared" si="46"/>
        <v/>
      </c>
      <c r="K213" t="str">
        <f t="shared" si="47"/>
        <v/>
      </c>
      <c r="L213" t="str">
        <f t="shared" si="48"/>
        <v/>
      </c>
      <c r="M213" t="str">
        <f t="shared" si="49"/>
        <v>IoT Devices</v>
      </c>
      <c r="N213" t="str">
        <f t="shared" si="50"/>
        <v xml:space="preserve">    - device_tracker.hue_hub</v>
      </c>
      <c r="O213" t="str">
        <f t="shared" si="51"/>
        <v>device_tracker.hue_hub</v>
      </c>
    </row>
    <row r="214" spans="2:15" x14ac:dyDescent="0.45">
      <c r="B214" s="17" t="s">
        <v>599</v>
      </c>
      <c r="C214">
        <f t="shared" si="43"/>
        <v>0</v>
      </c>
      <c r="D214">
        <f t="shared" si="39"/>
        <v>0</v>
      </c>
      <c r="E214">
        <f t="shared" si="44"/>
        <v>0</v>
      </c>
      <c r="F214">
        <f t="shared" si="40"/>
        <v>0</v>
      </c>
      <c r="G214">
        <f t="shared" si="41"/>
        <v>1</v>
      </c>
      <c r="H214" t="str">
        <f t="shared" si="42"/>
        <v/>
      </c>
      <c r="I214" t="str">
        <f t="shared" si="45"/>
        <v/>
      </c>
      <c r="J214" t="str">
        <f t="shared" si="46"/>
        <v/>
      </c>
      <c r="K214" t="str">
        <f t="shared" si="47"/>
        <v/>
      </c>
      <c r="L214" t="str">
        <f t="shared" si="48"/>
        <v/>
      </c>
      <c r="M214" t="str">
        <f t="shared" si="49"/>
        <v>IoT Devices</v>
      </c>
      <c r="N214" t="str">
        <f t="shared" si="50"/>
        <v xml:space="preserve">    - device_tracker.wf2ir</v>
      </c>
      <c r="O214" t="str">
        <f t="shared" si="51"/>
        <v>device_tracker.wf2ir</v>
      </c>
    </row>
    <row r="215" spans="2:15" x14ac:dyDescent="0.45">
      <c r="B215" s="17" t="s">
        <v>600</v>
      </c>
      <c r="C215">
        <f t="shared" si="43"/>
        <v>0</v>
      </c>
      <c r="D215">
        <f t="shared" si="39"/>
        <v>0</v>
      </c>
      <c r="E215">
        <f t="shared" si="44"/>
        <v>0</v>
      </c>
      <c r="F215">
        <f t="shared" si="40"/>
        <v>0</v>
      </c>
      <c r="G215">
        <f t="shared" si="41"/>
        <v>1</v>
      </c>
      <c r="H215" t="str">
        <f t="shared" si="42"/>
        <v/>
      </c>
      <c r="I215" t="str">
        <f t="shared" si="45"/>
        <v/>
      </c>
      <c r="J215" t="str">
        <f t="shared" si="46"/>
        <v/>
      </c>
      <c r="K215" t="str">
        <f t="shared" si="47"/>
        <v/>
      </c>
      <c r="L215" t="str">
        <f t="shared" si="48"/>
        <v/>
      </c>
      <c r="M215" t="str">
        <f t="shared" si="49"/>
        <v>IoT Devices</v>
      </c>
      <c r="N215" t="str">
        <f t="shared" si="50"/>
        <v xml:space="preserve">    - device_tracker.raspi_vpn</v>
      </c>
      <c r="O215" t="str">
        <f t="shared" si="51"/>
        <v>device_tracker.raspi_vpn</v>
      </c>
    </row>
    <row r="216" spans="2:15" x14ac:dyDescent="0.45">
      <c r="B216" s="17" t="s">
        <v>601</v>
      </c>
      <c r="C216">
        <f t="shared" si="43"/>
        <v>0</v>
      </c>
      <c r="D216">
        <f t="shared" si="39"/>
        <v>0</v>
      </c>
      <c r="E216">
        <f t="shared" si="44"/>
        <v>0</v>
      </c>
      <c r="F216">
        <f t="shared" si="40"/>
        <v>0</v>
      </c>
      <c r="G216">
        <f t="shared" si="41"/>
        <v>1</v>
      </c>
      <c r="H216" t="str">
        <f t="shared" si="42"/>
        <v/>
      </c>
      <c r="I216" t="str">
        <f t="shared" si="45"/>
        <v/>
      </c>
      <c r="J216" t="str">
        <f t="shared" si="46"/>
        <v/>
      </c>
      <c r="K216" t="str">
        <f t="shared" si="47"/>
        <v/>
      </c>
      <c r="L216" t="str">
        <f t="shared" si="48"/>
        <v/>
      </c>
      <c r="M216" t="str">
        <f t="shared" si="49"/>
        <v>IoT Devices</v>
      </c>
      <c r="N216" t="str">
        <f t="shared" si="50"/>
        <v xml:space="preserve">    - device_tracker.jtac</v>
      </c>
      <c r="O216" t="str">
        <f t="shared" si="51"/>
        <v>device_tracker.jtac</v>
      </c>
    </row>
    <row r="217" spans="2:15" x14ac:dyDescent="0.45">
      <c r="B217" s="17" t="s">
        <v>602</v>
      </c>
      <c r="C217">
        <f t="shared" si="43"/>
        <v>0</v>
      </c>
      <c r="D217">
        <f t="shared" si="39"/>
        <v>0</v>
      </c>
      <c r="E217">
        <f t="shared" si="44"/>
        <v>0</v>
      </c>
      <c r="F217">
        <f t="shared" si="40"/>
        <v>0</v>
      </c>
      <c r="G217">
        <f t="shared" si="41"/>
        <v>1</v>
      </c>
      <c r="H217" t="str">
        <f t="shared" si="42"/>
        <v/>
      </c>
      <c r="I217" t="str">
        <f t="shared" si="45"/>
        <v/>
      </c>
      <c r="J217" t="str">
        <f t="shared" si="46"/>
        <v/>
      </c>
      <c r="K217" t="str">
        <f t="shared" si="47"/>
        <v/>
      </c>
      <c r="L217" t="str">
        <f t="shared" si="48"/>
        <v/>
      </c>
      <c r="M217" t="str">
        <f t="shared" si="49"/>
        <v>IoT Devices</v>
      </c>
      <c r="N217" t="str">
        <f t="shared" si="50"/>
        <v xml:space="preserve">    - device_tracker.tplink_switch</v>
      </c>
      <c r="O217" t="str">
        <f t="shared" si="51"/>
        <v>device_tracker.tplink_switch</v>
      </c>
    </row>
    <row r="218" spans="2:15" x14ac:dyDescent="0.45">
      <c r="B218" s="17"/>
      <c r="C218">
        <f t="shared" si="43"/>
        <v>1</v>
      </c>
      <c r="D218">
        <f t="shared" si="39"/>
        <v>0</v>
      </c>
      <c r="E218">
        <f t="shared" si="44"/>
        <v>0</v>
      </c>
      <c r="F218">
        <f t="shared" si="40"/>
        <v>0</v>
      </c>
      <c r="G218">
        <f t="shared" si="41"/>
        <v>0</v>
      </c>
      <c r="H218" t="str">
        <f t="shared" si="42"/>
        <v/>
      </c>
      <c r="I218" t="str">
        <f t="shared" si="45"/>
        <v/>
      </c>
      <c r="J218" t="str">
        <f t="shared" si="46"/>
        <v/>
      </c>
      <c r="K218" t="str">
        <f t="shared" si="47"/>
        <v/>
      </c>
      <c r="L218" t="str">
        <f t="shared" si="48"/>
        <v/>
      </c>
      <c r="M218" t="str">
        <f t="shared" si="49"/>
        <v>IoT Devices</v>
      </c>
      <c r="N218" t="str">
        <f t="shared" si="50"/>
        <v/>
      </c>
      <c r="O218" t="str">
        <f t="shared" si="51"/>
        <v/>
      </c>
    </row>
    <row r="219" spans="2:15" x14ac:dyDescent="0.45">
      <c r="B219" s="17" t="s">
        <v>603</v>
      </c>
      <c r="C219">
        <f t="shared" si="43"/>
        <v>0</v>
      </c>
      <c r="D219">
        <f t="shared" si="39"/>
        <v>0</v>
      </c>
      <c r="E219">
        <f t="shared" si="44"/>
        <v>1</v>
      </c>
      <c r="F219">
        <f t="shared" si="40"/>
        <v>0</v>
      </c>
      <c r="G219">
        <f t="shared" si="41"/>
        <v>0</v>
      </c>
      <c r="H219" t="str">
        <f t="shared" si="42"/>
        <v>host_device:</v>
      </c>
      <c r="I219" t="str">
        <f t="shared" si="45"/>
        <v>host_device</v>
      </c>
      <c r="J219" t="str">
        <f t="shared" si="46"/>
        <v/>
      </c>
      <c r="K219" t="str">
        <f t="shared" si="47"/>
        <v/>
      </c>
      <c r="L219" t="str">
        <f t="shared" si="48"/>
        <v/>
      </c>
      <c r="M219" t="str">
        <f t="shared" si="49"/>
        <v>IoT Devices</v>
      </c>
      <c r="N219" t="str">
        <f t="shared" si="50"/>
        <v/>
      </c>
      <c r="O219" t="str">
        <f t="shared" si="51"/>
        <v/>
      </c>
    </row>
    <row r="220" spans="2:15" x14ac:dyDescent="0.45">
      <c r="B220" s="17" t="s">
        <v>604</v>
      </c>
      <c r="C220">
        <f t="shared" si="43"/>
        <v>0</v>
      </c>
      <c r="D220">
        <f t="shared" si="39"/>
        <v>1</v>
      </c>
      <c r="E220">
        <f t="shared" si="44"/>
        <v>0</v>
      </c>
      <c r="F220">
        <f t="shared" si="40"/>
        <v>1</v>
      </c>
      <c r="G220">
        <f t="shared" si="41"/>
        <v>0</v>
      </c>
      <c r="H220" t="str">
        <f t="shared" si="42"/>
        <v/>
      </c>
      <c r="I220" t="str">
        <f t="shared" si="45"/>
        <v/>
      </c>
      <c r="J220" t="str">
        <f t="shared" si="46"/>
        <v xml:space="preserve">  name: Raspi-HA</v>
      </c>
      <c r="K220" t="str">
        <f t="shared" si="47"/>
        <v>Raspi-HA</v>
      </c>
      <c r="L220" t="str">
        <f t="shared" si="48"/>
        <v>Raspi-HA</v>
      </c>
      <c r="M220" t="str">
        <f t="shared" si="49"/>
        <v>Raspi-HA</v>
      </c>
      <c r="N220" t="str">
        <f t="shared" si="50"/>
        <v/>
      </c>
      <c r="O220" t="str">
        <f t="shared" si="51"/>
        <v/>
      </c>
    </row>
    <row r="221" spans="2:15" x14ac:dyDescent="0.45">
      <c r="B221" s="17" t="s">
        <v>56</v>
      </c>
      <c r="C221">
        <f t="shared" si="43"/>
        <v>0</v>
      </c>
      <c r="D221">
        <f t="shared" si="39"/>
        <v>1</v>
      </c>
      <c r="E221">
        <f t="shared" si="44"/>
        <v>0</v>
      </c>
      <c r="F221">
        <f t="shared" si="40"/>
        <v>0</v>
      </c>
      <c r="G221">
        <f t="shared" si="41"/>
        <v>0</v>
      </c>
      <c r="H221" t="str">
        <f t="shared" si="42"/>
        <v/>
      </c>
      <c r="I221" t="str">
        <f t="shared" si="45"/>
        <v/>
      </c>
      <c r="J221" t="str">
        <f t="shared" si="46"/>
        <v/>
      </c>
      <c r="K221" t="str">
        <f t="shared" si="47"/>
        <v/>
      </c>
      <c r="L221" t="str">
        <f t="shared" si="48"/>
        <v/>
      </c>
      <c r="M221" t="str">
        <f t="shared" si="49"/>
        <v>Raspi-HA</v>
      </c>
      <c r="N221" t="str">
        <f t="shared" si="50"/>
        <v/>
      </c>
      <c r="O221" t="str">
        <f t="shared" si="51"/>
        <v/>
      </c>
    </row>
    <row r="222" spans="2:15" x14ac:dyDescent="0.45">
      <c r="B222" s="17" t="s">
        <v>605</v>
      </c>
      <c r="C222">
        <f t="shared" si="43"/>
        <v>0</v>
      </c>
      <c r="D222">
        <f t="shared" si="39"/>
        <v>0</v>
      </c>
      <c r="E222">
        <f t="shared" si="44"/>
        <v>0</v>
      </c>
      <c r="F222">
        <f t="shared" si="40"/>
        <v>0</v>
      </c>
      <c r="G222">
        <f t="shared" si="41"/>
        <v>1</v>
      </c>
      <c r="H222" t="str">
        <f t="shared" si="42"/>
        <v/>
      </c>
      <c r="I222" t="str">
        <f t="shared" si="45"/>
        <v/>
      </c>
      <c r="J222" t="str">
        <f t="shared" si="46"/>
        <v/>
      </c>
      <c r="K222" t="str">
        <f t="shared" si="47"/>
        <v/>
      </c>
      <c r="L222" t="str">
        <f t="shared" si="48"/>
        <v/>
      </c>
      <c r="M222" t="str">
        <f t="shared" si="49"/>
        <v>Raspi-HA</v>
      </c>
      <c r="N222" t="str">
        <f t="shared" si="50"/>
        <v xml:space="preserve">    - sensor.cpu_temp</v>
      </c>
      <c r="O222" t="str">
        <f t="shared" si="51"/>
        <v>sensor.cpu_temp</v>
      </c>
    </row>
    <row r="223" spans="2:15" x14ac:dyDescent="0.45">
      <c r="B223" s="17" t="s">
        <v>606</v>
      </c>
      <c r="C223">
        <f t="shared" si="43"/>
        <v>0</v>
      </c>
      <c r="D223">
        <f t="shared" si="39"/>
        <v>0</v>
      </c>
      <c r="E223">
        <f t="shared" si="44"/>
        <v>0</v>
      </c>
      <c r="F223">
        <f t="shared" si="40"/>
        <v>0</v>
      </c>
      <c r="G223">
        <f t="shared" si="41"/>
        <v>1</v>
      </c>
      <c r="H223" t="str">
        <f t="shared" si="42"/>
        <v/>
      </c>
      <c r="I223" t="str">
        <f t="shared" si="45"/>
        <v/>
      </c>
      <c r="J223" t="str">
        <f t="shared" si="46"/>
        <v/>
      </c>
      <c r="K223" t="str">
        <f t="shared" si="47"/>
        <v/>
      </c>
      <c r="L223" t="str">
        <f t="shared" si="48"/>
        <v/>
      </c>
      <c r="M223" t="str">
        <f t="shared" si="49"/>
        <v>Raspi-HA</v>
      </c>
      <c r="N223" t="str">
        <f t="shared" si="50"/>
        <v xml:space="preserve">    - sensor.cpu_use</v>
      </c>
      <c r="O223" t="str">
        <f t="shared" si="51"/>
        <v>sensor.cpu_use</v>
      </c>
    </row>
    <row r="224" spans="2:15" x14ac:dyDescent="0.45">
      <c r="B224" s="17" t="s">
        <v>607</v>
      </c>
      <c r="C224">
        <f t="shared" si="43"/>
        <v>0</v>
      </c>
      <c r="D224">
        <f t="shared" si="39"/>
        <v>0</v>
      </c>
      <c r="E224">
        <f t="shared" si="44"/>
        <v>0</v>
      </c>
      <c r="F224">
        <f t="shared" si="40"/>
        <v>0</v>
      </c>
      <c r="G224">
        <f t="shared" si="41"/>
        <v>1</v>
      </c>
      <c r="H224" t="str">
        <f t="shared" si="42"/>
        <v/>
      </c>
      <c r="I224" t="str">
        <f t="shared" si="45"/>
        <v/>
      </c>
      <c r="J224" t="str">
        <f t="shared" si="46"/>
        <v/>
      </c>
      <c r="K224" t="str">
        <f t="shared" si="47"/>
        <v/>
      </c>
      <c r="L224" t="str">
        <f t="shared" si="48"/>
        <v/>
      </c>
      <c r="M224" t="str">
        <f t="shared" si="49"/>
        <v>Raspi-HA</v>
      </c>
      <c r="N224" t="str">
        <f t="shared" si="50"/>
        <v xml:space="preserve">    - sensor.ram_free</v>
      </c>
      <c r="O224" t="str">
        <f t="shared" si="51"/>
        <v>sensor.ram_free</v>
      </c>
    </row>
    <row r="225" spans="2:15" x14ac:dyDescent="0.45">
      <c r="B225" s="17" t="s">
        <v>608</v>
      </c>
      <c r="C225">
        <f t="shared" si="43"/>
        <v>0</v>
      </c>
      <c r="D225">
        <f t="shared" si="39"/>
        <v>0</v>
      </c>
      <c r="E225">
        <f t="shared" si="44"/>
        <v>0</v>
      </c>
      <c r="F225">
        <f t="shared" si="40"/>
        <v>0</v>
      </c>
      <c r="G225">
        <f t="shared" si="41"/>
        <v>1</v>
      </c>
      <c r="H225" t="str">
        <f t="shared" si="42"/>
        <v/>
      </c>
      <c r="I225" t="str">
        <f t="shared" si="45"/>
        <v/>
      </c>
      <c r="J225" t="str">
        <f t="shared" si="46"/>
        <v/>
      </c>
      <c r="K225" t="str">
        <f t="shared" si="47"/>
        <v/>
      </c>
      <c r="L225" t="str">
        <f t="shared" si="48"/>
        <v/>
      </c>
      <c r="M225" t="str">
        <f t="shared" si="49"/>
        <v>Raspi-HA</v>
      </c>
      <c r="N225" t="str">
        <f t="shared" si="50"/>
        <v xml:space="preserve">    - sensor.disk_use_home</v>
      </c>
      <c r="O225" t="str">
        <f t="shared" si="51"/>
        <v>sensor.disk_use_home</v>
      </c>
    </row>
    <row r="226" spans="2:15" x14ac:dyDescent="0.45">
      <c r="B226" s="17" t="s">
        <v>609</v>
      </c>
      <c r="C226">
        <f t="shared" si="43"/>
        <v>0</v>
      </c>
      <c r="D226">
        <f t="shared" si="39"/>
        <v>0</v>
      </c>
      <c r="E226">
        <f t="shared" si="44"/>
        <v>0</v>
      </c>
      <c r="F226">
        <f t="shared" si="40"/>
        <v>0</v>
      </c>
      <c r="G226">
        <f t="shared" si="41"/>
        <v>1</v>
      </c>
      <c r="H226" t="str">
        <f t="shared" si="42"/>
        <v/>
      </c>
      <c r="I226" t="str">
        <f t="shared" si="45"/>
        <v/>
      </c>
      <c r="J226" t="str">
        <f t="shared" si="46"/>
        <v/>
      </c>
      <c r="K226" t="str">
        <f t="shared" si="47"/>
        <v/>
      </c>
      <c r="L226" t="str">
        <f t="shared" si="48"/>
        <v/>
      </c>
      <c r="M226" t="str">
        <f t="shared" si="49"/>
        <v>Raspi-HA</v>
      </c>
      <c r="N226" t="str">
        <f t="shared" si="50"/>
        <v xml:space="preserve">    - sensor.last_boot</v>
      </c>
      <c r="O226" t="str">
        <f t="shared" si="51"/>
        <v>sensor.last_boot</v>
      </c>
    </row>
    <row r="227" spans="2:15" x14ac:dyDescent="0.45">
      <c r="B227" s="17"/>
      <c r="C227">
        <f t="shared" si="43"/>
        <v>1</v>
      </c>
      <c r="D227">
        <f t="shared" si="39"/>
        <v>0</v>
      </c>
      <c r="E227">
        <f t="shared" si="44"/>
        <v>0</v>
      </c>
      <c r="F227">
        <f t="shared" si="40"/>
        <v>0</v>
      </c>
      <c r="G227">
        <f t="shared" si="41"/>
        <v>0</v>
      </c>
      <c r="H227" t="str">
        <f t="shared" si="42"/>
        <v/>
      </c>
      <c r="I227" t="str">
        <f t="shared" si="45"/>
        <v/>
      </c>
      <c r="J227" t="str">
        <f t="shared" si="46"/>
        <v/>
      </c>
      <c r="K227" t="str">
        <f t="shared" si="47"/>
        <v/>
      </c>
      <c r="L227" t="str">
        <f t="shared" si="48"/>
        <v/>
      </c>
      <c r="M227" t="str">
        <f t="shared" si="49"/>
        <v>Raspi-HA</v>
      </c>
      <c r="N227" t="str">
        <f t="shared" si="50"/>
        <v/>
      </c>
      <c r="O227" t="str">
        <f t="shared" si="51"/>
        <v/>
      </c>
    </row>
    <row r="228" spans="2:15" x14ac:dyDescent="0.45">
      <c r="B228" s="17" t="s">
        <v>610</v>
      </c>
      <c r="C228">
        <f t="shared" si="43"/>
        <v>0</v>
      </c>
      <c r="D228">
        <f t="shared" si="39"/>
        <v>0</v>
      </c>
      <c r="E228">
        <f t="shared" si="44"/>
        <v>1</v>
      </c>
      <c r="F228">
        <f t="shared" si="40"/>
        <v>0</v>
      </c>
      <c r="G228">
        <f t="shared" si="41"/>
        <v>0</v>
      </c>
      <c r="H228" t="str">
        <f t="shared" si="42"/>
        <v>unknown_devices:</v>
      </c>
      <c r="I228" t="str">
        <f t="shared" si="45"/>
        <v>unknown_devices</v>
      </c>
      <c r="J228" t="str">
        <f t="shared" si="46"/>
        <v/>
      </c>
      <c r="K228" t="str">
        <f t="shared" si="47"/>
        <v/>
      </c>
      <c r="L228" t="str">
        <f t="shared" si="48"/>
        <v/>
      </c>
      <c r="M228" t="str">
        <f t="shared" si="49"/>
        <v>Raspi-HA</v>
      </c>
      <c r="N228" t="str">
        <f t="shared" si="50"/>
        <v/>
      </c>
      <c r="O228" t="str">
        <f t="shared" si="51"/>
        <v/>
      </c>
    </row>
    <row r="229" spans="2:15" x14ac:dyDescent="0.45">
      <c r="B229" s="17" t="s">
        <v>611</v>
      </c>
      <c r="C229">
        <f t="shared" si="43"/>
        <v>0</v>
      </c>
      <c r="D229">
        <f t="shared" si="39"/>
        <v>1</v>
      </c>
      <c r="E229">
        <f t="shared" si="44"/>
        <v>0</v>
      </c>
      <c r="F229">
        <f t="shared" si="40"/>
        <v>1</v>
      </c>
      <c r="G229">
        <f t="shared" si="41"/>
        <v>0</v>
      </c>
      <c r="H229" t="str">
        <f t="shared" si="42"/>
        <v/>
      </c>
      <c r="I229" t="str">
        <f t="shared" si="45"/>
        <v/>
      </c>
      <c r="J229" t="str">
        <f t="shared" si="46"/>
        <v xml:space="preserve">  name: Unknown Devices</v>
      </c>
      <c r="K229" t="str">
        <f t="shared" si="47"/>
        <v>Unknown Devices</v>
      </c>
      <c r="L229" t="str">
        <f t="shared" si="48"/>
        <v>Unknown Devices</v>
      </c>
      <c r="M229" t="str">
        <f t="shared" si="49"/>
        <v>Unknown Devices</v>
      </c>
      <c r="N229" t="str">
        <f t="shared" si="50"/>
        <v/>
      </c>
      <c r="O229" t="str">
        <f t="shared" si="51"/>
        <v/>
      </c>
    </row>
    <row r="230" spans="2:15" x14ac:dyDescent="0.45">
      <c r="B230" s="17" t="s">
        <v>56</v>
      </c>
      <c r="C230">
        <f t="shared" si="43"/>
        <v>0</v>
      </c>
      <c r="D230">
        <f t="shared" si="39"/>
        <v>1</v>
      </c>
      <c r="E230">
        <f t="shared" si="44"/>
        <v>0</v>
      </c>
      <c r="F230">
        <f t="shared" si="40"/>
        <v>0</v>
      </c>
      <c r="G230">
        <f t="shared" si="41"/>
        <v>0</v>
      </c>
      <c r="H230" t="str">
        <f t="shared" si="42"/>
        <v/>
      </c>
      <c r="I230" t="str">
        <f t="shared" si="45"/>
        <v/>
      </c>
      <c r="J230" t="str">
        <f t="shared" si="46"/>
        <v/>
      </c>
      <c r="K230" t="str">
        <f t="shared" si="47"/>
        <v/>
      </c>
      <c r="L230" t="str">
        <f t="shared" si="48"/>
        <v/>
      </c>
      <c r="M230" t="str">
        <f t="shared" si="49"/>
        <v>Unknown Devices</v>
      </c>
      <c r="N230" t="str">
        <f t="shared" si="50"/>
        <v/>
      </c>
      <c r="O230" t="str">
        <f t="shared" si="51"/>
        <v/>
      </c>
    </row>
    <row r="231" spans="2:15" x14ac:dyDescent="0.45">
      <c r="B231" s="17" t="s">
        <v>612</v>
      </c>
      <c r="C231">
        <f t="shared" si="43"/>
        <v>0</v>
      </c>
      <c r="D231">
        <f t="shared" si="39"/>
        <v>0</v>
      </c>
      <c r="E231">
        <f t="shared" si="44"/>
        <v>0</v>
      </c>
      <c r="F231">
        <f t="shared" si="40"/>
        <v>0</v>
      </c>
      <c r="G231">
        <f t="shared" si="41"/>
        <v>1</v>
      </c>
      <c r="H231" t="str">
        <f t="shared" si="42"/>
        <v/>
      </c>
      <c r="I231" t="str">
        <f t="shared" si="45"/>
        <v/>
      </c>
      <c r="J231" t="str">
        <f t="shared" si="46"/>
        <v/>
      </c>
      <c r="K231" t="str">
        <f t="shared" si="47"/>
        <v/>
      </c>
      <c r="L231" t="str">
        <f t="shared" si="48"/>
        <v/>
      </c>
      <c r="M231" t="str">
        <f t="shared" si="49"/>
        <v>Unknown Devices</v>
      </c>
      <c r="N231" t="str">
        <f t="shared" si="50"/>
        <v xml:space="preserve">    - device_tracker.libp03pgs4bhl9</v>
      </c>
      <c r="O231" t="str">
        <f t="shared" si="51"/>
        <v>device_tracker.libp03pgs4bhl9</v>
      </c>
    </row>
    <row r="232" spans="2:15" x14ac:dyDescent="0.45">
      <c r="B232" s="17" t="s">
        <v>613</v>
      </c>
      <c r="C232">
        <f t="shared" si="43"/>
        <v>0</v>
      </c>
      <c r="D232">
        <f t="shared" si="39"/>
        <v>0</v>
      </c>
      <c r="E232">
        <f t="shared" si="44"/>
        <v>0</v>
      </c>
      <c r="F232">
        <f t="shared" si="40"/>
        <v>0</v>
      </c>
      <c r="G232">
        <f t="shared" si="41"/>
        <v>1</v>
      </c>
      <c r="H232" t="str">
        <f t="shared" si="42"/>
        <v/>
      </c>
      <c r="I232" t="str">
        <f t="shared" si="45"/>
        <v/>
      </c>
      <c r="J232" t="str">
        <f t="shared" si="46"/>
        <v/>
      </c>
      <c r="K232" t="str">
        <f t="shared" si="47"/>
        <v/>
      </c>
      <c r="L232" t="str">
        <f t="shared" si="48"/>
        <v/>
      </c>
      <c r="M232" t="str">
        <f t="shared" si="49"/>
        <v>Unknown Devices</v>
      </c>
      <c r="N232" t="str">
        <f t="shared" si="50"/>
        <v xml:space="preserve">    - device_tracker.unknown</v>
      </c>
      <c r="O232" t="str">
        <f t="shared" si="51"/>
        <v>device_tracker.unknown</v>
      </c>
    </row>
    <row r="233" spans="2:15" x14ac:dyDescent="0.45">
      <c r="B233" s="17" t="s">
        <v>614</v>
      </c>
      <c r="C233">
        <f t="shared" si="43"/>
        <v>0</v>
      </c>
      <c r="D233">
        <f t="shared" si="39"/>
        <v>0</v>
      </c>
      <c r="E233">
        <f t="shared" si="44"/>
        <v>0</v>
      </c>
      <c r="F233">
        <f t="shared" si="40"/>
        <v>0</v>
      </c>
      <c r="G233">
        <f t="shared" si="41"/>
        <v>1</v>
      </c>
      <c r="H233" t="str">
        <f t="shared" si="42"/>
        <v/>
      </c>
      <c r="I233" t="str">
        <f t="shared" si="45"/>
        <v/>
      </c>
      <c r="J233" t="str">
        <f t="shared" si="46"/>
        <v/>
      </c>
      <c r="K233" t="str">
        <f t="shared" si="47"/>
        <v/>
      </c>
      <c r="L233" t="str">
        <f t="shared" si="48"/>
        <v/>
      </c>
      <c r="M233" t="str">
        <f t="shared" si="49"/>
        <v>Unknown Devices</v>
      </c>
      <c r="N233" t="str">
        <f t="shared" si="50"/>
        <v xml:space="preserve">    - device_tracker.unknown_2</v>
      </c>
      <c r="O233" t="str">
        <f t="shared" si="51"/>
        <v>device_tracker.unknown_2</v>
      </c>
    </row>
    <row r="234" spans="2:15" x14ac:dyDescent="0.45">
      <c r="B234" s="17" t="s">
        <v>615</v>
      </c>
      <c r="C234">
        <f t="shared" si="43"/>
        <v>0</v>
      </c>
      <c r="D234">
        <f t="shared" si="39"/>
        <v>0</v>
      </c>
      <c r="E234">
        <f t="shared" si="44"/>
        <v>0</v>
      </c>
      <c r="F234">
        <f t="shared" si="40"/>
        <v>0</v>
      </c>
      <c r="G234">
        <f t="shared" si="41"/>
        <v>1</v>
      </c>
      <c r="H234" t="str">
        <f t="shared" si="42"/>
        <v/>
      </c>
      <c r="I234" t="str">
        <f t="shared" si="45"/>
        <v/>
      </c>
      <c r="J234" t="str">
        <f t="shared" si="46"/>
        <v/>
      </c>
      <c r="K234" t="str">
        <f t="shared" si="47"/>
        <v/>
      </c>
      <c r="L234" t="str">
        <f t="shared" si="48"/>
        <v/>
      </c>
      <c r="M234" t="str">
        <f t="shared" si="49"/>
        <v>Unknown Devices</v>
      </c>
      <c r="N234" t="str">
        <f t="shared" si="50"/>
        <v xml:space="preserve">    - device_tracker.unknown_3</v>
      </c>
      <c r="O234" t="str">
        <f t="shared" si="51"/>
        <v>device_tracker.unknown_3</v>
      </c>
    </row>
    <row r="235" spans="2:15" x14ac:dyDescent="0.45">
      <c r="B235" s="17" t="s">
        <v>616</v>
      </c>
      <c r="C235">
        <f t="shared" si="43"/>
        <v>0</v>
      </c>
      <c r="D235">
        <f t="shared" si="39"/>
        <v>0</v>
      </c>
      <c r="E235">
        <f t="shared" si="44"/>
        <v>0</v>
      </c>
      <c r="F235">
        <f t="shared" si="40"/>
        <v>0</v>
      </c>
      <c r="G235">
        <f t="shared" si="41"/>
        <v>1</v>
      </c>
      <c r="H235" t="str">
        <f t="shared" si="42"/>
        <v/>
      </c>
      <c r="I235" t="str">
        <f t="shared" si="45"/>
        <v/>
      </c>
      <c r="J235" t="str">
        <f t="shared" si="46"/>
        <v/>
      </c>
      <c r="K235" t="str">
        <f t="shared" si="47"/>
        <v/>
      </c>
      <c r="L235" t="str">
        <f t="shared" si="48"/>
        <v/>
      </c>
      <c r="M235" t="str">
        <f t="shared" si="49"/>
        <v>Unknown Devices</v>
      </c>
      <c r="N235" t="str">
        <f t="shared" si="50"/>
        <v xml:space="preserve">    - device_tracker.unknown_4</v>
      </c>
      <c r="O235" t="str">
        <f t="shared" si="51"/>
        <v>device_tracker.unknown_4</v>
      </c>
    </row>
    <row r="236" spans="2:15" x14ac:dyDescent="0.45">
      <c r="B236" s="17" t="s">
        <v>617</v>
      </c>
      <c r="C236">
        <f t="shared" si="43"/>
        <v>0</v>
      </c>
      <c r="D236">
        <f t="shared" si="39"/>
        <v>0</v>
      </c>
      <c r="E236">
        <f t="shared" si="44"/>
        <v>0</v>
      </c>
      <c r="F236">
        <f t="shared" si="40"/>
        <v>0</v>
      </c>
      <c r="G236">
        <f t="shared" si="41"/>
        <v>1</v>
      </c>
      <c r="H236" t="str">
        <f t="shared" si="42"/>
        <v/>
      </c>
      <c r="I236" t="str">
        <f t="shared" si="45"/>
        <v/>
      </c>
      <c r="J236" t="str">
        <f t="shared" si="46"/>
        <v/>
      </c>
      <c r="K236" t="str">
        <f t="shared" si="47"/>
        <v/>
      </c>
      <c r="L236" t="str">
        <f t="shared" si="48"/>
        <v/>
      </c>
      <c r="M236" t="str">
        <f t="shared" si="49"/>
        <v>Unknown Devices</v>
      </c>
      <c r="N236" t="str">
        <f t="shared" si="50"/>
        <v xml:space="preserve">    - device_tracker.unknown_5</v>
      </c>
      <c r="O236" t="str">
        <f t="shared" si="51"/>
        <v>device_tracker.unknown_5</v>
      </c>
    </row>
    <row r="237" spans="2:15" x14ac:dyDescent="0.45">
      <c r="B237" s="17" t="s">
        <v>618</v>
      </c>
      <c r="C237">
        <f t="shared" si="43"/>
        <v>0</v>
      </c>
      <c r="D237">
        <f t="shared" si="39"/>
        <v>0</v>
      </c>
      <c r="E237">
        <f t="shared" si="44"/>
        <v>0</v>
      </c>
      <c r="F237">
        <f t="shared" si="40"/>
        <v>0</v>
      </c>
      <c r="G237">
        <f t="shared" si="41"/>
        <v>1</v>
      </c>
      <c r="H237" t="str">
        <f t="shared" si="42"/>
        <v/>
      </c>
      <c r="I237" t="str">
        <f t="shared" si="45"/>
        <v/>
      </c>
      <c r="J237" t="str">
        <f t="shared" si="46"/>
        <v/>
      </c>
      <c r="K237" t="str">
        <f t="shared" si="47"/>
        <v/>
      </c>
      <c r="L237" t="str">
        <f t="shared" si="48"/>
        <v/>
      </c>
      <c r="M237" t="str">
        <f t="shared" si="49"/>
        <v>Unknown Devices</v>
      </c>
      <c r="N237" t="str">
        <f t="shared" si="50"/>
        <v xml:space="preserve">    - device_tracker.unknown_6</v>
      </c>
      <c r="O237" t="str">
        <f t="shared" si="51"/>
        <v>device_tracker.unknown_6</v>
      </c>
    </row>
    <row r="238" spans="2:15" x14ac:dyDescent="0.45">
      <c r="B238" s="17" t="s">
        <v>619</v>
      </c>
      <c r="C238">
        <f t="shared" si="43"/>
        <v>0</v>
      </c>
      <c r="D238">
        <f t="shared" si="39"/>
        <v>0</v>
      </c>
      <c r="E238">
        <f t="shared" si="44"/>
        <v>0</v>
      </c>
      <c r="F238">
        <f t="shared" si="40"/>
        <v>0</v>
      </c>
      <c r="G238">
        <f t="shared" si="41"/>
        <v>1</v>
      </c>
      <c r="H238" t="str">
        <f t="shared" si="42"/>
        <v/>
      </c>
      <c r="I238" t="str">
        <f t="shared" si="45"/>
        <v/>
      </c>
      <c r="J238" t="str">
        <f t="shared" si="46"/>
        <v/>
      </c>
      <c r="K238" t="str">
        <f t="shared" si="47"/>
        <v/>
      </c>
      <c r="L238" t="str">
        <f t="shared" si="48"/>
        <v/>
      </c>
      <c r="M238" t="str">
        <f t="shared" si="49"/>
        <v>Unknown Devices</v>
      </c>
      <c r="N238" t="str">
        <f t="shared" si="50"/>
        <v xml:space="preserve">    - device_tracker.unknown_7</v>
      </c>
      <c r="O238" t="str">
        <f t="shared" si="51"/>
        <v>device_tracker.unknown_7</v>
      </c>
    </row>
    <row r="239" spans="2:15" x14ac:dyDescent="0.45">
      <c r="B239" s="17" t="s">
        <v>620</v>
      </c>
      <c r="C239">
        <f t="shared" si="43"/>
        <v>0</v>
      </c>
      <c r="D239">
        <f t="shared" si="39"/>
        <v>0</v>
      </c>
      <c r="E239">
        <f t="shared" si="44"/>
        <v>0</v>
      </c>
      <c r="F239">
        <f t="shared" si="40"/>
        <v>0</v>
      </c>
      <c r="G239">
        <f t="shared" si="41"/>
        <v>1</v>
      </c>
      <c r="H239" t="str">
        <f t="shared" si="42"/>
        <v/>
      </c>
      <c r="I239" t="str">
        <f t="shared" si="45"/>
        <v/>
      </c>
      <c r="J239" t="str">
        <f t="shared" si="46"/>
        <v/>
      </c>
      <c r="K239" t="str">
        <f t="shared" si="47"/>
        <v/>
      </c>
      <c r="L239" t="str">
        <f t="shared" si="48"/>
        <v/>
      </c>
      <c r="M239" t="str">
        <f t="shared" si="49"/>
        <v>Unknown Devices</v>
      </c>
      <c r="N239" t="str">
        <f t="shared" si="50"/>
        <v xml:space="preserve">    - device_tracker.unknown_8</v>
      </c>
      <c r="O239" t="str">
        <f t="shared" si="51"/>
        <v>device_tracker.unknown_8</v>
      </c>
    </row>
    <row r="240" spans="2:15" x14ac:dyDescent="0.45">
      <c r="B240" s="17" t="s">
        <v>621</v>
      </c>
      <c r="C240">
        <f t="shared" si="43"/>
        <v>0</v>
      </c>
      <c r="D240">
        <f t="shared" si="39"/>
        <v>0</v>
      </c>
      <c r="E240">
        <f t="shared" si="44"/>
        <v>0</v>
      </c>
      <c r="F240">
        <f t="shared" si="40"/>
        <v>0</v>
      </c>
      <c r="G240">
        <f t="shared" si="41"/>
        <v>1</v>
      </c>
      <c r="H240" t="str">
        <f t="shared" si="42"/>
        <v/>
      </c>
      <c r="I240" t="str">
        <f t="shared" si="45"/>
        <v/>
      </c>
      <c r="J240" t="str">
        <f t="shared" si="46"/>
        <v/>
      </c>
      <c r="K240" t="str">
        <f t="shared" si="47"/>
        <v/>
      </c>
      <c r="L240" t="str">
        <f t="shared" si="48"/>
        <v/>
      </c>
      <c r="M240" t="str">
        <f t="shared" si="49"/>
        <v>Unknown Devices</v>
      </c>
      <c r="N240" t="str">
        <f t="shared" si="50"/>
        <v xml:space="preserve">    - device_tracker.unknown_9</v>
      </c>
      <c r="O240" t="str">
        <f t="shared" si="51"/>
        <v>device_tracker.unknown_9</v>
      </c>
    </row>
    <row r="241" spans="2:15" x14ac:dyDescent="0.45">
      <c r="B241" s="17" t="s">
        <v>622</v>
      </c>
      <c r="C241">
        <f t="shared" si="43"/>
        <v>0</v>
      </c>
      <c r="D241">
        <f t="shared" si="39"/>
        <v>0</v>
      </c>
      <c r="E241">
        <f t="shared" si="44"/>
        <v>0</v>
      </c>
      <c r="F241">
        <f t="shared" si="40"/>
        <v>0</v>
      </c>
      <c r="G241">
        <f t="shared" si="41"/>
        <v>1</v>
      </c>
      <c r="H241" t="str">
        <f t="shared" si="42"/>
        <v/>
      </c>
      <c r="I241" t="str">
        <f t="shared" si="45"/>
        <v/>
      </c>
      <c r="J241" t="str">
        <f t="shared" si="46"/>
        <v/>
      </c>
      <c r="K241" t="str">
        <f t="shared" si="47"/>
        <v/>
      </c>
      <c r="L241" t="str">
        <f t="shared" si="48"/>
        <v/>
      </c>
      <c r="M241" t="str">
        <f t="shared" si="49"/>
        <v>Unknown Devices</v>
      </c>
      <c r="N241" t="str">
        <f t="shared" si="50"/>
        <v xml:space="preserve">    - device_tracker.unknown_10</v>
      </c>
      <c r="O241" t="str">
        <f t="shared" si="51"/>
        <v>device_tracker.unknown_10</v>
      </c>
    </row>
    <row r="242" spans="2:15" x14ac:dyDescent="0.45">
      <c r="B242" s="17" t="s">
        <v>623</v>
      </c>
      <c r="C242">
        <f t="shared" si="43"/>
        <v>0</v>
      </c>
      <c r="D242">
        <f t="shared" si="39"/>
        <v>0</v>
      </c>
      <c r="E242">
        <f t="shared" si="44"/>
        <v>0</v>
      </c>
      <c r="F242">
        <f t="shared" si="40"/>
        <v>0</v>
      </c>
      <c r="G242">
        <f t="shared" si="41"/>
        <v>1</v>
      </c>
      <c r="H242" t="str">
        <f t="shared" si="42"/>
        <v/>
      </c>
      <c r="I242" t="str">
        <f t="shared" si="45"/>
        <v/>
      </c>
      <c r="J242" t="str">
        <f t="shared" si="46"/>
        <v/>
      </c>
      <c r="K242" t="str">
        <f t="shared" si="47"/>
        <v/>
      </c>
      <c r="L242" t="str">
        <f t="shared" si="48"/>
        <v/>
      </c>
      <c r="M242" t="str">
        <f t="shared" si="49"/>
        <v>Unknown Devices</v>
      </c>
      <c r="N242" t="str">
        <f t="shared" si="50"/>
        <v xml:space="preserve">    - device_tracker.unknown_11</v>
      </c>
      <c r="O242" t="str">
        <f t="shared" si="51"/>
        <v>device_tracker.unknown_11</v>
      </c>
    </row>
    <row r="243" spans="2:15" x14ac:dyDescent="0.45">
      <c r="B243" s="17" t="s">
        <v>624</v>
      </c>
      <c r="C243">
        <f t="shared" si="43"/>
        <v>0</v>
      </c>
      <c r="D243">
        <f t="shared" si="39"/>
        <v>0</v>
      </c>
      <c r="E243">
        <f t="shared" si="44"/>
        <v>0</v>
      </c>
      <c r="F243">
        <f t="shared" si="40"/>
        <v>0</v>
      </c>
      <c r="G243">
        <f t="shared" si="41"/>
        <v>1</v>
      </c>
      <c r="H243" t="str">
        <f t="shared" si="42"/>
        <v/>
      </c>
      <c r="I243" t="str">
        <f t="shared" si="45"/>
        <v/>
      </c>
      <c r="J243" t="str">
        <f t="shared" si="46"/>
        <v/>
      </c>
      <c r="K243" t="str">
        <f t="shared" si="47"/>
        <v/>
      </c>
      <c r="L243" t="str">
        <f t="shared" si="48"/>
        <v/>
      </c>
      <c r="M243" t="str">
        <f t="shared" si="49"/>
        <v>Unknown Devices</v>
      </c>
      <c r="N243" t="str">
        <f t="shared" si="50"/>
        <v xml:space="preserve">    - device_tracker.unknown_12</v>
      </c>
      <c r="O243" t="str">
        <f t="shared" si="51"/>
        <v>device_tracker.unknown_12</v>
      </c>
    </row>
    <row r="244" spans="2:15" x14ac:dyDescent="0.45">
      <c r="B244" s="17" t="s">
        <v>625</v>
      </c>
      <c r="C244">
        <f t="shared" si="43"/>
        <v>0</v>
      </c>
      <c r="D244">
        <f t="shared" si="39"/>
        <v>0</v>
      </c>
      <c r="E244">
        <f t="shared" si="44"/>
        <v>0</v>
      </c>
      <c r="F244">
        <f t="shared" si="40"/>
        <v>0</v>
      </c>
      <c r="G244">
        <f t="shared" si="41"/>
        <v>1</v>
      </c>
      <c r="H244" t="str">
        <f t="shared" si="42"/>
        <v/>
      </c>
      <c r="I244" t="str">
        <f t="shared" si="45"/>
        <v/>
      </c>
      <c r="J244" t="str">
        <f t="shared" si="46"/>
        <v/>
      </c>
      <c r="K244" t="str">
        <f t="shared" si="47"/>
        <v/>
      </c>
      <c r="L244" t="str">
        <f t="shared" si="48"/>
        <v/>
      </c>
      <c r="M244" t="str">
        <f t="shared" si="49"/>
        <v>Unknown Devices</v>
      </c>
      <c r="N244" t="str">
        <f t="shared" si="50"/>
        <v xml:space="preserve">    - device_tracker.unknown_13</v>
      </c>
      <c r="O244" t="str">
        <f t="shared" si="51"/>
        <v>device_tracker.unknown_13</v>
      </c>
    </row>
    <row r="245" spans="2:15" x14ac:dyDescent="0.45">
      <c r="B245" s="17" t="s">
        <v>626</v>
      </c>
      <c r="C245">
        <f t="shared" si="43"/>
        <v>0</v>
      </c>
      <c r="D245">
        <f t="shared" si="39"/>
        <v>0</v>
      </c>
      <c r="E245">
        <f t="shared" si="44"/>
        <v>0</v>
      </c>
      <c r="F245">
        <f t="shared" si="40"/>
        <v>0</v>
      </c>
      <c r="G245">
        <f t="shared" si="41"/>
        <v>1</v>
      </c>
      <c r="H245" t="str">
        <f t="shared" si="42"/>
        <v/>
      </c>
      <c r="I245" t="str">
        <f t="shared" si="45"/>
        <v/>
      </c>
      <c r="J245" t="str">
        <f t="shared" si="46"/>
        <v/>
      </c>
      <c r="K245" t="str">
        <f t="shared" si="47"/>
        <v/>
      </c>
      <c r="L245" t="str">
        <f t="shared" si="48"/>
        <v/>
      </c>
      <c r="M245" t="str">
        <f t="shared" si="49"/>
        <v>Unknown Devices</v>
      </c>
      <c r="N245" t="str">
        <f t="shared" si="50"/>
        <v xml:space="preserve">    - device_tracker.unknown_14</v>
      </c>
      <c r="O245" t="str">
        <f t="shared" si="51"/>
        <v>device_tracker.unknown_14</v>
      </c>
    </row>
    <row r="246" spans="2:15" x14ac:dyDescent="0.45">
      <c r="B246" s="17" t="s">
        <v>627</v>
      </c>
      <c r="C246">
        <f t="shared" si="43"/>
        <v>0</v>
      </c>
      <c r="D246">
        <f t="shared" si="39"/>
        <v>0</v>
      </c>
      <c r="E246">
        <f t="shared" si="44"/>
        <v>0</v>
      </c>
      <c r="F246">
        <f t="shared" si="40"/>
        <v>0</v>
      </c>
      <c r="G246">
        <f t="shared" si="41"/>
        <v>1</v>
      </c>
      <c r="H246" t="str">
        <f t="shared" si="42"/>
        <v/>
      </c>
      <c r="I246" t="str">
        <f t="shared" si="45"/>
        <v/>
      </c>
      <c r="J246" t="str">
        <f t="shared" si="46"/>
        <v/>
      </c>
      <c r="K246" t="str">
        <f t="shared" si="47"/>
        <v/>
      </c>
      <c r="L246" t="str">
        <f t="shared" si="48"/>
        <v/>
      </c>
      <c r="M246" t="str">
        <f t="shared" si="49"/>
        <v>Unknown Devices</v>
      </c>
      <c r="N246" t="str">
        <f t="shared" si="50"/>
        <v xml:space="preserve">    - device_tracker.unknown_15</v>
      </c>
      <c r="O246" t="str">
        <f t="shared" si="51"/>
        <v>device_tracker.unknown_15</v>
      </c>
    </row>
    <row r="247" spans="2:15" x14ac:dyDescent="0.45">
      <c r="B247" s="17" t="s">
        <v>628</v>
      </c>
      <c r="C247">
        <f t="shared" si="43"/>
        <v>0</v>
      </c>
      <c r="D247">
        <f t="shared" si="39"/>
        <v>0</v>
      </c>
      <c r="E247">
        <f t="shared" si="44"/>
        <v>0</v>
      </c>
      <c r="F247">
        <f t="shared" si="40"/>
        <v>0</v>
      </c>
      <c r="G247">
        <f t="shared" si="41"/>
        <v>1</v>
      </c>
      <c r="H247" t="str">
        <f t="shared" si="42"/>
        <v/>
      </c>
      <c r="I247" t="str">
        <f t="shared" si="45"/>
        <v/>
      </c>
      <c r="J247" t="str">
        <f t="shared" si="46"/>
        <v/>
      </c>
      <c r="K247" t="str">
        <f t="shared" si="47"/>
        <v/>
      </c>
      <c r="L247" t="str">
        <f t="shared" si="48"/>
        <v/>
      </c>
      <c r="M247" t="str">
        <f t="shared" si="49"/>
        <v>Unknown Devices</v>
      </c>
      <c r="N247" t="str">
        <f t="shared" si="50"/>
        <v xml:space="preserve">    - device_tracker.unknown_16</v>
      </c>
      <c r="O247" t="str">
        <f t="shared" si="51"/>
        <v>device_tracker.unknown_16</v>
      </c>
    </row>
    <row r="248" spans="2:15" x14ac:dyDescent="0.45">
      <c r="B248" s="17" t="s">
        <v>629</v>
      </c>
      <c r="C248">
        <f t="shared" si="43"/>
        <v>0</v>
      </c>
      <c r="D248">
        <f t="shared" si="39"/>
        <v>0</v>
      </c>
      <c r="E248">
        <f t="shared" si="44"/>
        <v>0</v>
      </c>
      <c r="F248">
        <f t="shared" si="40"/>
        <v>0</v>
      </c>
      <c r="G248">
        <f t="shared" si="41"/>
        <v>1</v>
      </c>
      <c r="H248" t="str">
        <f t="shared" si="42"/>
        <v/>
      </c>
      <c r="I248" t="str">
        <f t="shared" si="45"/>
        <v/>
      </c>
      <c r="J248" t="str">
        <f t="shared" si="46"/>
        <v/>
      </c>
      <c r="K248" t="str">
        <f t="shared" si="47"/>
        <v/>
      </c>
      <c r="L248" t="str">
        <f t="shared" si="48"/>
        <v/>
      </c>
      <c r="M248" t="str">
        <f t="shared" si="49"/>
        <v>Unknown Devices</v>
      </c>
      <c r="N248" t="str">
        <f t="shared" si="50"/>
        <v xml:space="preserve">    - device_tracker.unknown_17</v>
      </c>
      <c r="O248" t="str">
        <f t="shared" si="51"/>
        <v>device_tracker.unknown_17</v>
      </c>
    </row>
    <row r="249" spans="2:15" x14ac:dyDescent="0.45">
      <c r="B249" s="17" t="s">
        <v>630</v>
      </c>
      <c r="C249">
        <f t="shared" si="43"/>
        <v>0</v>
      </c>
      <c r="D249">
        <f t="shared" si="39"/>
        <v>0</v>
      </c>
      <c r="E249">
        <f t="shared" si="44"/>
        <v>0</v>
      </c>
      <c r="F249">
        <f t="shared" si="40"/>
        <v>0</v>
      </c>
      <c r="G249">
        <f t="shared" si="41"/>
        <v>1</v>
      </c>
      <c r="H249" t="str">
        <f t="shared" si="42"/>
        <v/>
      </c>
      <c r="I249" t="str">
        <f t="shared" si="45"/>
        <v/>
      </c>
      <c r="J249" t="str">
        <f t="shared" si="46"/>
        <v/>
      </c>
      <c r="K249" t="str">
        <f t="shared" si="47"/>
        <v/>
      </c>
      <c r="L249" t="str">
        <f t="shared" si="48"/>
        <v/>
      </c>
      <c r="M249" t="str">
        <f t="shared" si="49"/>
        <v>Unknown Devices</v>
      </c>
      <c r="N249" t="str">
        <f t="shared" si="50"/>
        <v xml:space="preserve">    - device_tracker.unknown_18</v>
      </c>
      <c r="O249" t="str">
        <f t="shared" si="51"/>
        <v>device_tracker.unknown_18</v>
      </c>
    </row>
    <row r="250" spans="2:15" x14ac:dyDescent="0.45">
      <c r="B250" s="17" t="s">
        <v>631</v>
      </c>
      <c r="C250">
        <f t="shared" si="43"/>
        <v>0</v>
      </c>
      <c r="D250">
        <f t="shared" si="39"/>
        <v>0</v>
      </c>
      <c r="E250">
        <f t="shared" si="44"/>
        <v>0</v>
      </c>
      <c r="F250">
        <f t="shared" si="40"/>
        <v>0</v>
      </c>
      <c r="G250">
        <f t="shared" si="41"/>
        <v>1</v>
      </c>
      <c r="H250" t="str">
        <f t="shared" si="42"/>
        <v/>
      </c>
      <c r="I250" t="str">
        <f t="shared" si="45"/>
        <v/>
      </c>
      <c r="J250" t="str">
        <f t="shared" si="46"/>
        <v/>
      </c>
      <c r="K250" t="str">
        <f t="shared" si="47"/>
        <v/>
      </c>
      <c r="L250" t="str">
        <f t="shared" si="48"/>
        <v/>
      </c>
      <c r="M250" t="str">
        <f t="shared" si="49"/>
        <v>Unknown Devices</v>
      </c>
      <c r="N250" t="str">
        <f t="shared" si="50"/>
        <v xml:space="preserve">    - device_tracker.unknown_19</v>
      </c>
      <c r="O250" t="str">
        <f t="shared" si="51"/>
        <v>device_tracker.unknown_19</v>
      </c>
    </row>
    <row r="251" spans="2:15" x14ac:dyDescent="0.45">
      <c r="B251" s="17" t="s">
        <v>632</v>
      </c>
      <c r="C251">
        <f t="shared" si="43"/>
        <v>0</v>
      </c>
      <c r="D251">
        <f t="shared" si="39"/>
        <v>0</v>
      </c>
      <c r="E251">
        <f t="shared" si="44"/>
        <v>0</v>
      </c>
      <c r="F251">
        <f t="shared" si="40"/>
        <v>0</v>
      </c>
      <c r="G251">
        <f t="shared" si="41"/>
        <v>1</v>
      </c>
      <c r="H251" t="str">
        <f t="shared" si="42"/>
        <v/>
      </c>
      <c r="I251" t="str">
        <f t="shared" si="45"/>
        <v/>
      </c>
      <c r="J251" t="str">
        <f t="shared" si="46"/>
        <v/>
      </c>
      <c r="K251" t="str">
        <f t="shared" si="47"/>
        <v/>
      </c>
      <c r="L251" t="str">
        <f t="shared" si="48"/>
        <v/>
      </c>
      <c r="M251" t="str">
        <f t="shared" si="49"/>
        <v>Unknown Devices</v>
      </c>
      <c r="N251" t="str">
        <f t="shared" si="50"/>
        <v xml:space="preserve">    - device_tracker.unknown_20</v>
      </c>
      <c r="O251" t="str">
        <f t="shared" si="51"/>
        <v>device_tracker.unknown_20</v>
      </c>
    </row>
    <row r="252" spans="2:15" x14ac:dyDescent="0.45">
      <c r="B252" s="17" t="s">
        <v>633</v>
      </c>
      <c r="C252">
        <f t="shared" si="43"/>
        <v>0</v>
      </c>
      <c r="D252">
        <f t="shared" si="39"/>
        <v>0</v>
      </c>
      <c r="E252">
        <f t="shared" si="44"/>
        <v>0</v>
      </c>
      <c r="F252">
        <f t="shared" si="40"/>
        <v>0</v>
      </c>
      <c r="G252">
        <f t="shared" si="41"/>
        <v>1</v>
      </c>
      <c r="H252" t="str">
        <f t="shared" si="42"/>
        <v/>
      </c>
      <c r="I252" t="str">
        <f t="shared" si="45"/>
        <v/>
      </c>
      <c r="J252" t="str">
        <f t="shared" si="46"/>
        <v/>
      </c>
      <c r="K252" t="str">
        <f t="shared" si="47"/>
        <v/>
      </c>
      <c r="L252" t="str">
        <f t="shared" si="48"/>
        <v/>
      </c>
      <c r="M252" t="str">
        <f t="shared" si="49"/>
        <v>Unknown Devices</v>
      </c>
      <c r="N252" t="str">
        <f t="shared" si="50"/>
        <v xml:space="preserve">    - device_tracker.unknown_21</v>
      </c>
      <c r="O252" t="str">
        <f t="shared" si="51"/>
        <v>device_tracker.unknown_21</v>
      </c>
    </row>
  </sheetData>
  <autoFilter ref="B6:O25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States</vt:lpstr>
      <vt:lpstr>Entities &gt;&gt;</vt:lpstr>
      <vt:lpstr>Entities</vt:lpstr>
      <vt:lpstr>Cards</vt:lpstr>
      <vt:lpstr>Views</vt:lpstr>
      <vt:lpstr>cust-code</vt:lpstr>
      <vt:lpstr>group-code</vt:lpstr>
      <vt:lpstr>Automations &gt;&gt;</vt:lpstr>
      <vt:lpstr>Auto Categories</vt:lpstr>
      <vt:lpstr>Automations</vt:lpstr>
      <vt:lpstr>ref&gt;&gt;</vt:lpstr>
      <vt:lpstr>Lookup</vt:lpstr>
      <vt:lpstr>card-code</vt:lpstr>
      <vt:lpstr>view-code</vt:lpstr>
      <vt:lpstr>yaml processing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cp:lastModifiedBy>
  <dcterms:created xsi:type="dcterms:W3CDTF">2017-03-08T01:47:40Z</dcterms:created>
  <dcterms:modified xsi:type="dcterms:W3CDTF">2017-04-03T16:44:23Z</dcterms:modified>
</cp:coreProperties>
</file>